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eu Drive\ACR\"/>
    </mc:Choice>
  </mc:AlternateContent>
  <xr:revisionPtr revIDLastSave="0" documentId="13_ncr:1_{4BE3CA26-3248-4256-978C-602B54BC69D0}" xr6:coauthVersionLast="47" xr6:coauthVersionMax="47" xr10:uidLastSave="{00000000-0000-0000-0000-000000000000}"/>
  <bookViews>
    <workbookView xWindow="-108" yWindow="-108" windowWidth="23256" windowHeight="12456" tabRatio="759" firstSheet="51" activeTab="58" xr2:uid="{00000000-000D-0000-FFFF-FFFF00000000}"/>
  </bookViews>
  <sheets>
    <sheet name="VIGÊNCIA MAIO 2021" sheetId="111" r:id="rId1"/>
    <sheet name="VIGÊNCIA JUNHO 2021" sheetId="120" r:id="rId2"/>
    <sheet name="VIGÊNCIA JULHO 2021" sheetId="121" r:id="rId3"/>
    <sheet name="VIGÊNCIA AGOSTO 2021" sheetId="122" r:id="rId4"/>
    <sheet name="VIGÊNCIA SETEMBRO 2021" sheetId="123" r:id="rId5"/>
    <sheet name="VIGÊNCIA OUTUBRO 2021" sheetId="124" r:id="rId6"/>
    <sheet name="VIGÊNCIA NOVEMBRO 2021" sheetId="125" r:id="rId7"/>
    <sheet name="VIGÊNCIA DEZEMBRO 2021" sheetId="126" r:id="rId8"/>
    <sheet name="VIGÊNCIA JANEIRO 2022" sheetId="128" r:id="rId9"/>
    <sheet name="VIGÊNCIA FEVEREIRO 2022" sheetId="129" r:id="rId10"/>
    <sheet name="VIGÊNCIA MARÇO 2022" sheetId="130" r:id="rId11"/>
    <sheet name="VIGÊNCIA ABRIL 2022" sheetId="131" r:id="rId12"/>
    <sheet name="VIGÊNCIA MAIO 2022" sheetId="132" r:id="rId13"/>
    <sheet name="VIGÊNCIA JUNHO 2022" sheetId="133" r:id="rId14"/>
    <sheet name="VIGÊNCIA JULHO 2022" sheetId="134" r:id="rId15"/>
    <sheet name="VIGÊNCIA AGOSTO 2022" sheetId="135" r:id="rId16"/>
    <sheet name="VIGÊNCIA SETEMBRO 2022" sheetId="136" r:id="rId17"/>
    <sheet name="VIGÊNCIA OUTUBRO 2022" sheetId="137" r:id="rId18"/>
    <sheet name="VIGÊNCIA NOVEMBRO 2022" sheetId="138" r:id="rId19"/>
    <sheet name="VIGÊNCIA DEZEMBRO 2022" sheetId="139" r:id="rId20"/>
    <sheet name="VIGÊNCIA JANEIRO 2023" sheetId="141" r:id="rId21"/>
    <sheet name="VIGÊNCIA FEVEREIRO 2023" sheetId="142" r:id="rId22"/>
    <sheet name="VIGÊNCIA MARÇO 2023" sheetId="143" r:id="rId23"/>
    <sheet name="VIGÊNCIA ABRIL 2023" sheetId="144" r:id="rId24"/>
    <sheet name="VIGÊNCIA MAIO 2023" sheetId="145" r:id="rId25"/>
    <sheet name="VIGÊNCIA JUNHO 2023" sheetId="146" r:id="rId26"/>
    <sheet name="VIGÊNCIA JULHO 2023" sheetId="147" r:id="rId27"/>
    <sheet name="VIGÊNCIA AGOSTO 2023" sheetId="148" r:id="rId28"/>
    <sheet name="VIGÊNCIA SETEMBRO 2023" sheetId="149" r:id="rId29"/>
    <sheet name="VIGÊNCIA OUTUBRO 2023" sheetId="151" r:id="rId30"/>
    <sheet name="VIGÊNCIA NOVEMBRO 2023" sheetId="152" r:id="rId31"/>
    <sheet name="VIGÊNCIA DEZEMBRO 2023" sheetId="153" r:id="rId32"/>
    <sheet name="VIGÊNCIA JANEIRO 2024" sheetId="155" r:id="rId33"/>
    <sheet name="VIGÊNCIA FEVEREIRO 2024" sheetId="156" r:id="rId34"/>
    <sheet name="VIGÊNCIA MARÇO 2024" sheetId="157" r:id="rId35"/>
    <sheet name="VIGÊNCIA ABRIL 2024" sheetId="158" r:id="rId36"/>
    <sheet name="VIGÊNCIA MAIO 2024" sheetId="159" r:id="rId37"/>
    <sheet name="VIGÊNCIA JUNHO 2024" sheetId="160" r:id="rId38"/>
    <sheet name="VIGÊNCIA JULHO 2024" sheetId="161" r:id="rId39"/>
    <sheet name="VIGÊNCIA AGOSTO 2024" sheetId="162" r:id="rId40"/>
    <sheet name="VIGÊNCIA SETEMBRO 2024" sheetId="163" r:id="rId41"/>
    <sheet name="VIGÊNCIA OUTUBRO 2024" sheetId="164" r:id="rId42"/>
    <sheet name="VIGÊNCIA NOVEMBRO 2024" sheetId="165" r:id="rId43"/>
    <sheet name="VIGÊNCIA DEZEMBRO 2024" sheetId="166" r:id="rId44"/>
    <sheet name="JANEIRO 2025" sheetId="167" r:id="rId45"/>
    <sheet name="FEVEREIRO 2025" sheetId="169" r:id="rId46"/>
    <sheet name="MARÇO 2025" sheetId="170" r:id="rId47"/>
    <sheet name="ABRIL 2025" sheetId="171" r:id="rId48"/>
    <sheet name="MAIO 2025" sheetId="172" r:id="rId49"/>
    <sheet name="JUNHO 2025" sheetId="173" r:id="rId50"/>
    <sheet name="JULHO 2025" sheetId="174" r:id="rId51"/>
    <sheet name="AGOSTO 2025" sheetId="175" r:id="rId52"/>
    <sheet name="SETEMBRO 2025" sheetId="176" r:id="rId53"/>
    <sheet name="OUTUBRO 2025" sheetId="177" r:id="rId54"/>
    <sheet name="NOVEMBRO 2025" sheetId="178" r:id="rId55"/>
    <sheet name="DEZEMBRO 2025" sheetId="179" r:id="rId56"/>
    <sheet name="JAN 26" sheetId="180" r:id="rId57"/>
    <sheet name="FEV 26" sheetId="181" r:id="rId58"/>
    <sheet name="MAR 26" sheetId="182" r:id="rId59"/>
    <sheet name="GERAL 2025" sheetId="168" r:id="rId60"/>
    <sheet name="GERAL 2024" sheetId="154" r:id="rId61"/>
    <sheet name="GERAL 2023" sheetId="140" r:id="rId62"/>
    <sheet name="GERAL 2022" sheetId="127" r:id="rId63"/>
    <sheet name="GERAL 2021" sheetId="119" r:id="rId64"/>
  </sheets>
  <externalReferences>
    <externalReference r:id="rId65"/>
    <externalReference r:id="rId66"/>
  </externalReferenc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9" i="182" l="1"/>
  <c r="D49" i="182"/>
  <c r="K47" i="182"/>
  <c r="D47" i="182"/>
  <c r="K46" i="182"/>
  <c r="D46" i="182"/>
  <c r="K45" i="182"/>
  <c r="K52" i="182" s="1"/>
  <c r="D45" i="182"/>
  <c r="K44" i="182"/>
  <c r="D44" i="182"/>
  <c r="F39" i="182"/>
  <c r="K39" i="182" s="1"/>
  <c r="J36" i="182"/>
  <c r="E36" i="182"/>
  <c r="I35" i="182"/>
  <c r="H35" i="182"/>
  <c r="K35" i="182" s="1"/>
  <c r="F35" i="182"/>
  <c r="I34" i="182"/>
  <c r="H34" i="182"/>
  <c r="D34" i="182"/>
  <c r="F34" i="182" s="1"/>
  <c r="K34" i="182" s="1"/>
  <c r="I33" i="182"/>
  <c r="K33" i="182" s="1"/>
  <c r="H33" i="182"/>
  <c r="F33" i="182"/>
  <c r="I32" i="182"/>
  <c r="H32" i="182"/>
  <c r="G32" i="182"/>
  <c r="D32" i="182"/>
  <c r="F32" i="182" s="1"/>
  <c r="K32" i="182" s="1"/>
  <c r="I31" i="182"/>
  <c r="H31" i="182"/>
  <c r="G31" i="182"/>
  <c r="D31" i="182"/>
  <c r="F31" i="182" s="1"/>
  <c r="K31" i="182" s="1"/>
  <c r="L31" i="182" s="1"/>
  <c r="M31" i="182" s="1"/>
  <c r="I30" i="182"/>
  <c r="H30" i="182"/>
  <c r="F30" i="182"/>
  <c r="K30" i="182" s="1"/>
  <c r="I29" i="182"/>
  <c r="H29" i="182"/>
  <c r="D29" i="182"/>
  <c r="F29" i="182" s="1"/>
  <c r="K29" i="182" s="1"/>
  <c r="I28" i="182"/>
  <c r="H28" i="182"/>
  <c r="G28" i="182"/>
  <c r="D28" i="182"/>
  <c r="F28" i="182" s="1"/>
  <c r="K28" i="182" s="1"/>
  <c r="I27" i="182"/>
  <c r="H27" i="182"/>
  <c r="D27" i="182"/>
  <c r="F27" i="182" s="1"/>
  <c r="K27" i="182" s="1"/>
  <c r="L26" i="182"/>
  <c r="M26" i="182" s="1"/>
  <c r="I26" i="182"/>
  <c r="H26" i="182"/>
  <c r="F26" i="182"/>
  <c r="K26" i="182" s="1"/>
  <c r="I25" i="182"/>
  <c r="H25" i="182"/>
  <c r="D25" i="182"/>
  <c r="F25" i="182" s="1"/>
  <c r="K25" i="182" s="1"/>
  <c r="I24" i="182"/>
  <c r="H24" i="182"/>
  <c r="G24" i="182"/>
  <c r="D24" i="182"/>
  <c r="F24" i="182" s="1"/>
  <c r="K24" i="182" s="1"/>
  <c r="L24" i="182" s="1"/>
  <c r="I23" i="182"/>
  <c r="H23" i="182"/>
  <c r="K23" i="182" s="1"/>
  <c r="F23" i="182"/>
  <c r="I22" i="182"/>
  <c r="H22" i="182"/>
  <c r="G22" i="182"/>
  <c r="D22" i="182"/>
  <c r="F22" i="182" s="1"/>
  <c r="K22" i="182" s="1"/>
  <c r="K21" i="182"/>
  <c r="I21" i="182"/>
  <c r="H21" i="182"/>
  <c r="F21" i="182"/>
  <c r="I20" i="182"/>
  <c r="H20" i="182"/>
  <c r="F20" i="182"/>
  <c r="K20" i="182" s="1"/>
  <c r="K19" i="182"/>
  <c r="I19" i="182"/>
  <c r="H19" i="182"/>
  <c r="G19" i="182"/>
  <c r="D19" i="182"/>
  <c r="F19" i="182" s="1"/>
  <c r="I18" i="182"/>
  <c r="H18" i="182"/>
  <c r="D18" i="182"/>
  <c r="F18" i="182" s="1"/>
  <c r="K18" i="182" s="1"/>
  <c r="I17" i="182"/>
  <c r="H17" i="182"/>
  <c r="D17" i="182"/>
  <c r="F17" i="182" s="1"/>
  <c r="K17" i="182" s="1"/>
  <c r="I16" i="182"/>
  <c r="H16" i="182"/>
  <c r="K16" i="182" s="1"/>
  <c r="D16" i="182"/>
  <c r="F16" i="182" s="1"/>
  <c r="I15" i="182"/>
  <c r="H15" i="182"/>
  <c r="D15" i="182"/>
  <c r="F15" i="182" s="1"/>
  <c r="K15" i="182" s="1"/>
  <c r="I14" i="182"/>
  <c r="H14" i="182"/>
  <c r="D14" i="182"/>
  <c r="F14" i="182" s="1"/>
  <c r="K14" i="182" s="1"/>
  <c r="I13" i="182"/>
  <c r="H13" i="182"/>
  <c r="G13" i="182"/>
  <c r="F13" i="182"/>
  <c r="D13" i="182"/>
  <c r="I12" i="182"/>
  <c r="H12" i="182"/>
  <c r="F12" i="182"/>
  <c r="K12" i="182" s="1"/>
  <c r="F11" i="182"/>
  <c r="K11" i="182" s="1"/>
  <c r="I10" i="182"/>
  <c r="H10" i="182"/>
  <c r="G10" i="182"/>
  <c r="G36" i="182" s="1"/>
  <c r="D10" i="182"/>
  <c r="F10" i="182" s="1"/>
  <c r="K10" i="182" s="1"/>
  <c r="I9" i="182"/>
  <c r="H9" i="182"/>
  <c r="F9" i="182"/>
  <c r="J6" i="182"/>
  <c r="I6" i="182"/>
  <c r="H6" i="182"/>
  <c r="G6" i="182"/>
  <c r="F6" i="182"/>
  <c r="E6" i="182"/>
  <c r="D6" i="182"/>
  <c r="M5" i="182"/>
  <c r="L5" i="182"/>
  <c r="F5" i="182"/>
  <c r="K5" i="182" s="1"/>
  <c r="L4" i="182"/>
  <c r="L6" i="182" s="1"/>
  <c r="P56" i="182" s="1"/>
  <c r="F4" i="182"/>
  <c r="K4" i="182" s="1"/>
  <c r="M25" i="182" l="1"/>
  <c r="L25" i="182"/>
  <c r="L32" i="182"/>
  <c r="M32" i="182" s="1"/>
  <c r="L11" i="182"/>
  <c r="M11" i="182" s="1"/>
  <c r="L16" i="182"/>
  <c r="M16" i="182" s="1"/>
  <c r="M19" i="182"/>
  <c r="L30" i="182"/>
  <c r="M30" i="182" s="1"/>
  <c r="L23" i="182"/>
  <c r="M23" i="182" s="1"/>
  <c r="L33" i="182"/>
  <c r="M33" i="182" s="1"/>
  <c r="L27" i="182"/>
  <c r="M27" i="182" s="1"/>
  <c r="L14" i="182"/>
  <c r="M14" i="182" s="1"/>
  <c r="L18" i="182"/>
  <c r="M18" i="182" s="1"/>
  <c r="M28" i="182"/>
  <c r="L28" i="182"/>
  <c r="M35" i="182"/>
  <c r="L35" i="182"/>
  <c r="L29" i="182"/>
  <c r="M29" i="182" s="1"/>
  <c r="K40" i="182"/>
  <c r="L39" i="182"/>
  <c r="L40" i="182" s="1"/>
  <c r="L21" i="182"/>
  <c r="M21" i="182" s="1"/>
  <c r="L10" i="182"/>
  <c r="M10" i="182" s="1"/>
  <c r="L22" i="182"/>
  <c r="M22" i="182" s="1"/>
  <c r="L17" i="182"/>
  <c r="M17" i="182" s="1"/>
  <c r="L19" i="182"/>
  <c r="M24" i="182"/>
  <c r="K6" i="182"/>
  <c r="M4" i="182"/>
  <c r="M6" i="182" s="1"/>
  <c r="F36" i="182"/>
  <c r="L12" i="182"/>
  <c r="M12" i="182" s="1"/>
  <c r="L20" i="182"/>
  <c r="M20" i="182" s="1"/>
  <c r="H36" i="182"/>
  <c r="I36" i="182"/>
  <c r="M15" i="182"/>
  <c r="L15" i="182"/>
  <c r="K9" i="182"/>
  <c r="D36" i="182"/>
  <c r="L34" i="182"/>
  <c r="M34" i="182" s="1"/>
  <c r="K13" i="182"/>
  <c r="M13" i="182" l="1"/>
  <c r="L13" i="182"/>
  <c r="M39" i="182"/>
  <c r="M40" i="182" s="1"/>
  <c r="L9" i="182"/>
  <c r="L36" i="182" s="1"/>
  <c r="P55" i="182" s="1"/>
  <c r="P66" i="182" s="1"/>
  <c r="K36" i="182"/>
  <c r="P68" i="182" s="1"/>
  <c r="P70" i="182" s="1"/>
  <c r="M9" i="182" l="1"/>
  <c r="M36" i="182" s="1"/>
  <c r="K49" i="181" l="1"/>
  <c r="D49" i="181"/>
  <c r="K47" i="181"/>
  <c r="D47" i="181"/>
  <c r="K46" i="181"/>
  <c r="K52" i="181" s="1"/>
  <c r="D46" i="181"/>
  <c r="K45" i="181"/>
  <c r="D45" i="181"/>
  <c r="K44" i="181"/>
  <c r="D44" i="181"/>
  <c r="F39" i="181"/>
  <c r="K39" i="181" s="1"/>
  <c r="J36" i="181"/>
  <c r="E36" i="181"/>
  <c r="I35" i="181"/>
  <c r="K35" i="181" s="1"/>
  <c r="L35" i="181" s="1"/>
  <c r="H35" i="181"/>
  <c r="F35" i="181"/>
  <c r="I34" i="181"/>
  <c r="H34" i="181"/>
  <c r="D34" i="181"/>
  <c r="F34" i="181" s="1"/>
  <c r="K34" i="181" s="1"/>
  <c r="I33" i="181"/>
  <c r="H33" i="181"/>
  <c r="F33" i="181"/>
  <c r="I32" i="181"/>
  <c r="H32" i="181"/>
  <c r="G32" i="181"/>
  <c r="D32" i="181"/>
  <c r="F32" i="181" s="1"/>
  <c r="K32" i="181" s="1"/>
  <c r="I31" i="181"/>
  <c r="H31" i="181"/>
  <c r="G31" i="181"/>
  <c r="D31" i="181"/>
  <c r="F31" i="181" s="1"/>
  <c r="K31" i="181" s="1"/>
  <c r="I30" i="181"/>
  <c r="K30" i="181" s="1"/>
  <c r="H30" i="181"/>
  <c r="F30" i="181"/>
  <c r="I29" i="181"/>
  <c r="H29" i="181"/>
  <c r="D29" i="181"/>
  <c r="F29" i="181" s="1"/>
  <c r="I28" i="181"/>
  <c r="H28" i="181"/>
  <c r="G28" i="181"/>
  <c r="D28" i="181"/>
  <c r="F28" i="181" s="1"/>
  <c r="K28" i="181" s="1"/>
  <c r="I27" i="181"/>
  <c r="H27" i="181"/>
  <c r="D27" i="181"/>
  <c r="F27" i="181" s="1"/>
  <c r="K27" i="181" s="1"/>
  <c r="I26" i="181"/>
  <c r="H26" i="181"/>
  <c r="F26" i="181"/>
  <c r="I25" i="181"/>
  <c r="H25" i="181"/>
  <c r="F25" i="181"/>
  <c r="K25" i="181" s="1"/>
  <c r="D25" i="181"/>
  <c r="I24" i="181"/>
  <c r="H24" i="181"/>
  <c r="G24" i="181"/>
  <c r="D24" i="181"/>
  <c r="F24" i="181" s="1"/>
  <c r="K24" i="181" s="1"/>
  <c r="I23" i="181"/>
  <c r="K23" i="181" s="1"/>
  <c r="H23" i="181"/>
  <c r="F23" i="181"/>
  <c r="F22" i="181"/>
  <c r="K22" i="181" s="1"/>
  <c r="I21" i="181"/>
  <c r="H21" i="181"/>
  <c r="K21" i="181" s="1"/>
  <c r="F21" i="181"/>
  <c r="I20" i="181"/>
  <c r="H20" i="181"/>
  <c r="F20" i="181"/>
  <c r="K20" i="181" s="1"/>
  <c r="I19" i="181"/>
  <c r="H19" i="181"/>
  <c r="G19" i="181"/>
  <c r="D19" i="181"/>
  <c r="F19" i="181" s="1"/>
  <c r="K19" i="181" s="1"/>
  <c r="I18" i="181"/>
  <c r="H18" i="181"/>
  <c r="D18" i="181"/>
  <c r="F18" i="181" s="1"/>
  <c r="K18" i="181" s="1"/>
  <c r="I17" i="181"/>
  <c r="H17" i="181"/>
  <c r="D17" i="181"/>
  <c r="F17" i="181" s="1"/>
  <c r="K17" i="181" s="1"/>
  <c r="I16" i="181"/>
  <c r="H16" i="181"/>
  <c r="D16" i="181"/>
  <c r="F16" i="181" s="1"/>
  <c r="K16" i="181" s="1"/>
  <c r="I15" i="181"/>
  <c r="H15" i="181"/>
  <c r="D15" i="181"/>
  <c r="F15" i="181" s="1"/>
  <c r="K15" i="181" s="1"/>
  <c r="I14" i="181"/>
  <c r="H14" i="181"/>
  <c r="D14" i="181"/>
  <c r="F14" i="181" s="1"/>
  <c r="I13" i="181"/>
  <c r="H13" i="181"/>
  <c r="G13" i="181"/>
  <c r="G36" i="181" s="1"/>
  <c r="D13" i="181"/>
  <c r="F13" i="181" s="1"/>
  <c r="K13" i="181" s="1"/>
  <c r="I12" i="181"/>
  <c r="H12" i="181"/>
  <c r="G12" i="181"/>
  <c r="D12" i="181"/>
  <c r="F12" i="181" s="1"/>
  <c r="K12" i="181" s="1"/>
  <c r="F11" i="181"/>
  <c r="K11" i="181" s="1"/>
  <c r="I10" i="181"/>
  <c r="H10" i="181"/>
  <c r="G10" i="181"/>
  <c r="D10" i="181"/>
  <c r="F10" i="181" s="1"/>
  <c r="K10" i="181" s="1"/>
  <c r="I9" i="181"/>
  <c r="H9" i="181"/>
  <c r="H36" i="181" s="1"/>
  <c r="F9" i="181"/>
  <c r="J6" i="181"/>
  <c r="E6" i="181"/>
  <c r="L5" i="181"/>
  <c r="M5" i="181" s="1"/>
  <c r="K5" i="181"/>
  <c r="F5" i="181"/>
  <c r="I4" i="181"/>
  <c r="I6" i="181" s="1"/>
  <c r="H4" i="181"/>
  <c r="H6" i="181" s="1"/>
  <c r="G4" i="181"/>
  <c r="G6" i="181" s="1"/>
  <c r="D4" i="181"/>
  <c r="L4" i="181" s="1"/>
  <c r="L6" i="181" s="1"/>
  <c r="P56" i="181" s="1"/>
  <c r="K29" i="181" l="1"/>
  <c r="I36" i="181"/>
  <c r="K14" i="181"/>
  <c r="K26" i="181"/>
  <c r="L26" i="181" s="1"/>
  <c r="M26" i="181" s="1"/>
  <c r="K33" i="181"/>
  <c r="L33" i="181" s="1"/>
  <c r="L29" i="181"/>
  <c r="M29" i="181" s="1"/>
  <c r="L22" i="181"/>
  <c r="M22" i="181" s="1"/>
  <c r="K40" i="181"/>
  <c r="L39" i="181"/>
  <c r="L40" i="181" s="1"/>
  <c r="L12" i="181"/>
  <c r="M12" i="181" s="1"/>
  <c r="L19" i="181"/>
  <c r="M19" i="181" s="1"/>
  <c r="L30" i="181"/>
  <c r="M30" i="181" s="1"/>
  <c r="L34" i="181"/>
  <c r="M34" i="181" s="1"/>
  <c r="L24" i="181"/>
  <c r="M24" i="181" s="1"/>
  <c r="F36" i="181"/>
  <c r="L20" i="181"/>
  <c r="M20" i="181" s="1"/>
  <c r="L28" i="181"/>
  <c r="M28" i="181" s="1"/>
  <c r="L18" i="181"/>
  <c r="M18" i="181" s="1"/>
  <c r="L14" i="181"/>
  <c r="M14" i="181" s="1"/>
  <c r="L11" i="181"/>
  <c r="M11" i="181"/>
  <c r="L15" i="181"/>
  <c r="M15" i="181" s="1"/>
  <c r="L27" i="181"/>
  <c r="M27" i="181" s="1"/>
  <c r="L16" i="181"/>
  <c r="M16" i="181" s="1"/>
  <c r="L31" i="181"/>
  <c r="M31" i="181" s="1"/>
  <c r="L13" i="181"/>
  <c r="M13" i="181" s="1"/>
  <c r="L17" i="181"/>
  <c r="M17" i="181" s="1"/>
  <c r="L10" i="181"/>
  <c r="M10" i="181" s="1"/>
  <c r="L32" i="181"/>
  <c r="M32" i="181" s="1"/>
  <c r="L21" i="181"/>
  <c r="M21" i="181" s="1"/>
  <c r="L25" i="181"/>
  <c r="M25" i="181" s="1"/>
  <c r="L23" i="181"/>
  <c r="M23" i="181" s="1"/>
  <c r="M35" i="181"/>
  <c r="D36" i="181"/>
  <c r="D6" i="181"/>
  <c r="F4" i="181"/>
  <c r="K9" i="181"/>
  <c r="M33" i="181" l="1"/>
  <c r="K36" i="181"/>
  <c r="L9" i="181"/>
  <c r="L36" i="181" s="1"/>
  <c r="P55" i="181" s="1"/>
  <c r="P65" i="181" s="1"/>
  <c r="F6" i="181"/>
  <c r="K4" i="181"/>
  <c r="M39" i="181"/>
  <c r="M40" i="181" s="1"/>
  <c r="M9" i="181" l="1"/>
  <c r="M36" i="181" s="1"/>
  <c r="K6" i="181"/>
  <c r="P67" i="181" s="1"/>
  <c r="P69" i="181" s="1"/>
  <c r="M4" i="181"/>
  <c r="M6" i="181" s="1"/>
  <c r="P69" i="180" l="1"/>
  <c r="K52" i="180"/>
  <c r="D52" i="180"/>
  <c r="K50" i="180"/>
  <c r="D50" i="180"/>
  <c r="K49" i="180"/>
  <c r="K55" i="180" s="1"/>
  <c r="D49" i="180"/>
  <c r="K48" i="180"/>
  <c r="D48" i="180"/>
  <c r="K47" i="180"/>
  <c r="D47" i="180"/>
  <c r="F42" i="180"/>
  <c r="K42" i="180" s="1"/>
  <c r="F41" i="180"/>
  <c r="K41" i="180" s="1"/>
  <c r="F40" i="180"/>
  <c r="K40" i="180" s="1"/>
  <c r="J37" i="180"/>
  <c r="E37" i="180"/>
  <c r="I36" i="180"/>
  <c r="H36" i="180"/>
  <c r="F36" i="180"/>
  <c r="K36" i="180" s="1"/>
  <c r="I35" i="180"/>
  <c r="H35" i="180"/>
  <c r="D35" i="180"/>
  <c r="F35" i="180" s="1"/>
  <c r="K35" i="180" s="1"/>
  <c r="I34" i="180"/>
  <c r="H34" i="180"/>
  <c r="F34" i="180"/>
  <c r="I33" i="180"/>
  <c r="H33" i="180"/>
  <c r="G33" i="180"/>
  <c r="D33" i="180"/>
  <c r="F33" i="180" s="1"/>
  <c r="K33" i="180" s="1"/>
  <c r="I32" i="180"/>
  <c r="H32" i="180"/>
  <c r="G32" i="180"/>
  <c r="D32" i="180"/>
  <c r="F32" i="180" s="1"/>
  <c r="K32" i="180" s="1"/>
  <c r="I31" i="180"/>
  <c r="H31" i="180"/>
  <c r="F31" i="180"/>
  <c r="I30" i="180"/>
  <c r="H30" i="180"/>
  <c r="D30" i="180"/>
  <c r="F30" i="180" s="1"/>
  <c r="I29" i="180"/>
  <c r="H29" i="180"/>
  <c r="G29" i="180"/>
  <c r="D29" i="180"/>
  <c r="F29" i="180" s="1"/>
  <c r="K29" i="180" s="1"/>
  <c r="I28" i="180"/>
  <c r="H28" i="180"/>
  <c r="D28" i="180"/>
  <c r="F28" i="180" s="1"/>
  <c r="K28" i="180" s="1"/>
  <c r="I27" i="180"/>
  <c r="K27" i="180" s="1"/>
  <c r="L27" i="180" s="1"/>
  <c r="H27" i="180"/>
  <c r="F27" i="180"/>
  <c r="I26" i="180"/>
  <c r="H26" i="180"/>
  <c r="D26" i="180"/>
  <c r="F26" i="180" s="1"/>
  <c r="K26" i="180" s="1"/>
  <c r="I25" i="180"/>
  <c r="H25" i="180"/>
  <c r="G25" i="180"/>
  <c r="D25" i="180"/>
  <c r="F25" i="180" s="1"/>
  <c r="K25" i="180" s="1"/>
  <c r="I24" i="180"/>
  <c r="H24" i="180"/>
  <c r="F24" i="180"/>
  <c r="I23" i="180"/>
  <c r="H23" i="180"/>
  <c r="G23" i="180"/>
  <c r="D23" i="180"/>
  <c r="F23" i="180" s="1"/>
  <c r="K23" i="180" s="1"/>
  <c r="I22" i="180"/>
  <c r="H22" i="180"/>
  <c r="G22" i="180"/>
  <c r="D22" i="180"/>
  <c r="F22" i="180" s="1"/>
  <c r="K22" i="180" s="1"/>
  <c r="I21" i="180"/>
  <c r="H21" i="180"/>
  <c r="F21" i="180"/>
  <c r="K21" i="180" s="1"/>
  <c r="I20" i="180"/>
  <c r="H20" i="180"/>
  <c r="F20" i="180"/>
  <c r="I19" i="180"/>
  <c r="H19" i="180"/>
  <c r="G19" i="180"/>
  <c r="D19" i="180"/>
  <c r="F19" i="180" s="1"/>
  <c r="K19" i="180" s="1"/>
  <c r="I18" i="180"/>
  <c r="H18" i="180"/>
  <c r="D18" i="180"/>
  <c r="F18" i="180" s="1"/>
  <c r="K18" i="180" s="1"/>
  <c r="I17" i="180"/>
  <c r="H17" i="180"/>
  <c r="D17" i="180"/>
  <c r="F17" i="180" s="1"/>
  <c r="I16" i="180"/>
  <c r="H16" i="180"/>
  <c r="D16" i="180"/>
  <c r="F16" i="180" s="1"/>
  <c r="I15" i="180"/>
  <c r="H15" i="180"/>
  <c r="D15" i="180"/>
  <c r="F15" i="180" s="1"/>
  <c r="K15" i="180" s="1"/>
  <c r="I14" i="180"/>
  <c r="H14" i="180"/>
  <c r="D14" i="180"/>
  <c r="F14" i="180" s="1"/>
  <c r="K14" i="180" s="1"/>
  <c r="I13" i="180"/>
  <c r="H13" i="180"/>
  <c r="G13" i="180"/>
  <c r="G37" i="180" s="1"/>
  <c r="D13" i="180"/>
  <c r="F13" i="180" s="1"/>
  <c r="I12" i="180"/>
  <c r="H12" i="180"/>
  <c r="G12" i="180"/>
  <c r="D12" i="180"/>
  <c r="F12" i="180" s="1"/>
  <c r="K12" i="180" s="1"/>
  <c r="F11" i="180"/>
  <c r="K11" i="180" s="1"/>
  <c r="I10" i="180"/>
  <c r="H10" i="180"/>
  <c r="G10" i="180"/>
  <c r="D10" i="180"/>
  <c r="F10" i="180" s="1"/>
  <c r="K10" i="180" s="1"/>
  <c r="I9" i="180"/>
  <c r="H9" i="180"/>
  <c r="H37" i="180" s="1"/>
  <c r="F9" i="180"/>
  <c r="L6" i="180"/>
  <c r="P59" i="180" s="1"/>
  <c r="J6" i="180"/>
  <c r="I6" i="180"/>
  <c r="H6" i="180"/>
  <c r="G6" i="180"/>
  <c r="E6" i="180"/>
  <c r="D6" i="180"/>
  <c r="L5" i="180"/>
  <c r="F5" i="180"/>
  <c r="K5" i="180" s="1"/>
  <c r="M5" i="180" s="1"/>
  <c r="L4" i="180"/>
  <c r="F4" i="180"/>
  <c r="K4" i="180" s="1"/>
  <c r="K53" i="179"/>
  <c r="D53" i="179"/>
  <c r="K51" i="179"/>
  <c r="D51" i="179"/>
  <c r="K50" i="179"/>
  <c r="K56" i="179" s="1"/>
  <c r="D50" i="179"/>
  <c r="K49" i="179"/>
  <c r="D49" i="179"/>
  <c r="K48" i="179"/>
  <c r="D48" i="179"/>
  <c r="K44" i="179"/>
  <c r="L43" i="179"/>
  <c r="M43" i="179" s="1"/>
  <c r="L42" i="179"/>
  <c r="M42" i="179" s="1"/>
  <c r="M41" i="179"/>
  <c r="L41" i="179"/>
  <c r="M40" i="179"/>
  <c r="L40" i="179"/>
  <c r="L39" i="179"/>
  <c r="M39" i="179" s="1"/>
  <c r="J36" i="179"/>
  <c r="E36" i="179"/>
  <c r="I35" i="179"/>
  <c r="H35" i="179"/>
  <c r="F35" i="179"/>
  <c r="K35" i="179" s="1"/>
  <c r="I34" i="179"/>
  <c r="H34" i="179"/>
  <c r="D34" i="179"/>
  <c r="F34" i="179" s="1"/>
  <c r="I33" i="179"/>
  <c r="H33" i="179"/>
  <c r="F33" i="179"/>
  <c r="K33" i="179" s="1"/>
  <c r="I32" i="179"/>
  <c r="H32" i="179"/>
  <c r="G32" i="179"/>
  <c r="D32" i="179"/>
  <c r="F32" i="179" s="1"/>
  <c r="K32" i="179" s="1"/>
  <c r="I31" i="179"/>
  <c r="H31" i="179"/>
  <c r="G31" i="179"/>
  <c r="G36" i="179" s="1"/>
  <c r="D31" i="179"/>
  <c r="F31" i="179" s="1"/>
  <c r="I30" i="179"/>
  <c r="H30" i="179"/>
  <c r="F30" i="179"/>
  <c r="I29" i="179"/>
  <c r="K29" i="179" s="1"/>
  <c r="H29" i="179"/>
  <c r="F29" i="179"/>
  <c r="D29" i="179"/>
  <c r="I28" i="179"/>
  <c r="H28" i="179"/>
  <c r="G28" i="179"/>
  <c r="D28" i="179"/>
  <c r="F28" i="179" s="1"/>
  <c r="I27" i="179"/>
  <c r="H27" i="179"/>
  <c r="D27" i="179"/>
  <c r="F27" i="179" s="1"/>
  <c r="I26" i="179"/>
  <c r="H26" i="179"/>
  <c r="F26" i="179"/>
  <c r="K26" i="179" s="1"/>
  <c r="I25" i="179"/>
  <c r="H25" i="179"/>
  <c r="D25" i="179"/>
  <c r="F25" i="179" s="1"/>
  <c r="K25" i="179" s="1"/>
  <c r="I24" i="179"/>
  <c r="H24" i="179"/>
  <c r="K24" i="179" s="1"/>
  <c r="G24" i="179"/>
  <c r="F24" i="179"/>
  <c r="D24" i="179"/>
  <c r="I23" i="179"/>
  <c r="H23" i="179"/>
  <c r="F23" i="179"/>
  <c r="K22" i="179"/>
  <c r="L22" i="179" s="1"/>
  <c r="F22" i="179"/>
  <c r="I21" i="179"/>
  <c r="H21" i="179"/>
  <c r="F21" i="179"/>
  <c r="K21" i="179" s="1"/>
  <c r="I20" i="179"/>
  <c r="H20" i="179"/>
  <c r="F20" i="179"/>
  <c r="I19" i="179"/>
  <c r="H19" i="179"/>
  <c r="G19" i="179"/>
  <c r="D19" i="179"/>
  <c r="F19" i="179" s="1"/>
  <c r="K19" i="179" s="1"/>
  <c r="I18" i="179"/>
  <c r="H18" i="179"/>
  <c r="D18" i="179"/>
  <c r="F18" i="179" s="1"/>
  <c r="K18" i="179" s="1"/>
  <c r="I17" i="179"/>
  <c r="H17" i="179"/>
  <c r="D17" i="179"/>
  <c r="F17" i="179" s="1"/>
  <c r="K17" i="179" s="1"/>
  <c r="I16" i="179"/>
  <c r="K16" i="179" s="1"/>
  <c r="L16" i="179" s="1"/>
  <c r="M16" i="179" s="1"/>
  <c r="H16" i="179"/>
  <c r="F16" i="179"/>
  <c r="I15" i="179"/>
  <c r="H15" i="179"/>
  <c r="D15" i="179"/>
  <c r="F15" i="179" s="1"/>
  <c r="K15" i="179" s="1"/>
  <c r="I14" i="179"/>
  <c r="H14" i="179"/>
  <c r="D14" i="179"/>
  <c r="F14" i="179" s="1"/>
  <c r="K14" i="179" s="1"/>
  <c r="I13" i="179"/>
  <c r="H13" i="179"/>
  <c r="H36" i="179" s="1"/>
  <c r="G13" i="179"/>
  <c r="F13" i="179"/>
  <c r="D13" i="179"/>
  <c r="I12" i="179"/>
  <c r="H12" i="179"/>
  <c r="G12" i="179"/>
  <c r="D12" i="179"/>
  <c r="F12" i="179" s="1"/>
  <c r="K12" i="179" s="1"/>
  <c r="K11" i="179"/>
  <c r="L11" i="179" s="1"/>
  <c r="M11" i="179" s="1"/>
  <c r="F11" i="179"/>
  <c r="I10" i="179"/>
  <c r="H10" i="179"/>
  <c r="G10" i="179"/>
  <c r="D10" i="179"/>
  <c r="F10" i="179" s="1"/>
  <c r="K9" i="179"/>
  <c r="L9" i="179" s="1"/>
  <c r="I9" i="179"/>
  <c r="H9" i="179"/>
  <c r="F9" i="179"/>
  <c r="J6" i="179"/>
  <c r="G6" i="179"/>
  <c r="E6" i="179"/>
  <c r="L5" i="179"/>
  <c r="F5" i="179"/>
  <c r="K5" i="179" s="1"/>
  <c r="M5" i="179" s="1"/>
  <c r="L4" i="179"/>
  <c r="L6" i="179" s="1"/>
  <c r="P60" i="179" s="1"/>
  <c r="I4" i="179"/>
  <c r="I6" i="179" s="1"/>
  <c r="H4" i="179"/>
  <c r="H6" i="179" s="1"/>
  <c r="G4" i="179"/>
  <c r="F4" i="179"/>
  <c r="F6" i="179" s="1"/>
  <c r="D4" i="179"/>
  <c r="D6" i="179" s="1"/>
  <c r="K52" i="178"/>
  <c r="D52" i="178"/>
  <c r="K50" i="178"/>
  <c r="D50" i="178"/>
  <c r="K49" i="178"/>
  <c r="D49" i="178"/>
  <c r="K48" i="178"/>
  <c r="K55" i="178" s="1"/>
  <c r="D48" i="178"/>
  <c r="K44" i="178"/>
  <c r="L43" i="178"/>
  <c r="M43" i="178" s="1"/>
  <c r="D43" i="178"/>
  <c r="L42" i="178"/>
  <c r="M42" i="178" s="1"/>
  <c r="D42" i="178"/>
  <c r="L41" i="178"/>
  <c r="M41" i="178" s="1"/>
  <c r="D41" i="178"/>
  <c r="L40" i="178"/>
  <c r="M40" i="178" s="1"/>
  <c r="D40" i="178"/>
  <c r="L39" i="178"/>
  <c r="M39" i="178" s="1"/>
  <c r="D39" i="178"/>
  <c r="J36" i="178"/>
  <c r="E36" i="178"/>
  <c r="I35" i="178"/>
  <c r="H35" i="178"/>
  <c r="F35" i="178"/>
  <c r="I34" i="178"/>
  <c r="H34" i="178"/>
  <c r="D34" i="178"/>
  <c r="F34" i="178" s="1"/>
  <c r="K34" i="178" s="1"/>
  <c r="I33" i="178"/>
  <c r="H33" i="178"/>
  <c r="F33" i="178"/>
  <c r="K33" i="178" s="1"/>
  <c r="I32" i="178"/>
  <c r="H32" i="178"/>
  <c r="G32" i="178"/>
  <c r="D32" i="178"/>
  <c r="F32" i="178" s="1"/>
  <c r="I31" i="178"/>
  <c r="H31" i="178"/>
  <c r="G31" i="178"/>
  <c r="D31" i="178"/>
  <c r="F31" i="178" s="1"/>
  <c r="I30" i="178"/>
  <c r="H30" i="178"/>
  <c r="F30" i="178"/>
  <c r="I29" i="178"/>
  <c r="H29" i="178"/>
  <c r="F29" i="178"/>
  <c r="D29" i="178"/>
  <c r="I28" i="178"/>
  <c r="H28" i="178"/>
  <c r="G28" i="178"/>
  <c r="D28" i="178"/>
  <c r="F28" i="178" s="1"/>
  <c r="I27" i="178"/>
  <c r="H27" i="178"/>
  <c r="D27" i="178"/>
  <c r="F27" i="178" s="1"/>
  <c r="K27" i="178" s="1"/>
  <c r="I26" i="178"/>
  <c r="H26" i="178"/>
  <c r="F26" i="178"/>
  <c r="K26" i="178" s="1"/>
  <c r="I25" i="178"/>
  <c r="H25" i="178"/>
  <c r="D25" i="178"/>
  <c r="F25" i="178" s="1"/>
  <c r="I24" i="178"/>
  <c r="H24" i="178"/>
  <c r="D24" i="178"/>
  <c r="F24" i="178" s="1"/>
  <c r="I23" i="178"/>
  <c r="H23" i="178"/>
  <c r="F23" i="178"/>
  <c r="K23" i="178" s="1"/>
  <c r="I22" i="178"/>
  <c r="H22" i="178"/>
  <c r="G22" i="178"/>
  <c r="K22" i="178" s="1"/>
  <c r="F22" i="178"/>
  <c r="D22" i="178"/>
  <c r="I21" i="178"/>
  <c r="H21" i="178"/>
  <c r="F21" i="178"/>
  <c r="I20" i="178"/>
  <c r="H20" i="178"/>
  <c r="D20" i="178"/>
  <c r="F20" i="178" s="1"/>
  <c r="I19" i="178"/>
  <c r="H19" i="178"/>
  <c r="G19" i="178"/>
  <c r="D19" i="178"/>
  <c r="F19" i="178" s="1"/>
  <c r="K19" i="178" s="1"/>
  <c r="I18" i="178"/>
  <c r="H18" i="178"/>
  <c r="D18" i="178"/>
  <c r="F18" i="178" s="1"/>
  <c r="I17" i="178"/>
  <c r="H17" i="178"/>
  <c r="F17" i="178"/>
  <c r="D17" i="178"/>
  <c r="I16" i="178"/>
  <c r="H16" i="178"/>
  <c r="D16" i="178"/>
  <c r="F16" i="178" s="1"/>
  <c r="K16" i="178" s="1"/>
  <c r="I15" i="178"/>
  <c r="H15" i="178"/>
  <c r="D15" i="178"/>
  <c r="F15" i="178" s="1"/>
  <c r="K15" i="178" s="1"/>
  <c r="I14" i="178"/>
  <c r="H14" i="178"/>
  <c r="D14" i="178"/>
  <c r="F14" i="178" s="1"/>
  <c r="I13" i="178"/>
  <c r="H13" i="178"/>
  <c r="G13" i="178"/>
  <c r="D13" i="178"/>
  <c r="F13" i="178" s="1"/>
  <c r="K13" i="178" s="1"/>
  <c r="I12" i="178"/>
  <c r="H12" i="178"/>
  <c r="G12" i="178"/>
  <c r="D12" i="178"/>
  <c r="F12" i="178" s="1"/>
  <c r="K12" i="178" s="1"/>
  <c r="F11" i="178"/>
  <c r="K11" i="178" s="1"/>
  <c r="I10" i="178"/>
  <c r="H10" i="178"/>
  <c r="H36" i="178" s="1"/>
  <c r="G10" i="178"/>
  <c r="G36" i="178" s="1"/>
  <c r="D10" i="178"/>
  <c r="F10" i="178" s="1"/>
  <c r="I9" i="178"/>
  <c r="H9" i="178"/>
  <c r="D9" i="178"/>
  <c r="L6" i="178"/>
  <c r="P59" i="178" s="1"/>
  <c r="J6" i="178"/>
  <c r="I6" i="178"/>
  <c r="H6" i="178"/>
  <c r="G6" i="178"/>
  <c r="E6" i="178"/>
  <c r="D6" i="178"/>
  <c r="L5" i="178"/>
  <c r="F5" i="178"/>
  <c r="F6" i="178" s="1"/>
  <c r="L4" i="178"/>
  <c r="F4" i="178"/>
  <c r="K4" i="178" s="1"/>
  <c r="K54" i="177"/>
  <c r="D54" i="177"/>
  <c r="K52" i="177"/>
  <c r="D52" i="177"/>
  <c r="K51" i="177"/>
  <c r="D51" i="177"/>
  <c r="K50" i="177"/>
  <c r="D50" i="177"/>
  <c r="K49" i="177"/>
  <c r="D49" i="177"/>
  <c r="K48" i="177"/>
  <c r="D48" i="177"/>
  <c r="K47" i="177"/>
  <c r="K46" i="177"/>
  <c r="K45" i="177"/>
  <c r="K57" i="177" s="1"/>
  <c r="L41" i="177"/>
  <c r="K41" i="177"/>
  <c r="L40" i="177"/>
  <c r="M40" i="177" s="1"/>
  <c r="D40" i="177"/>
  <c r="L39" i="177"/>
  <c r="M39" i="177" s="1"/>
  <c r="M41" i="177" s="1"/>
  <c r="J36" i="177"/>
  <c r="E36" i="177"/>
  <c r="I35" i="177"/>
  <c r="H35" i="177"/>
  <c r="F35" i="177"/>
  <c r="K34" i="177"/>
  <c r="F34" i="177"/>
  <c r="I33" i="177"/>
  <c r="H33" i="177"/>
  <c r="F33" i="177"/>
  <c r="I32" i="177"/>
  <c r="H32" i="177"/>
  <c r="G32" i="177"/>
  <c r="D32" i="177"/>
  <c r="F32" i="177" s="1"/>
  <c r="I31" i="177"/>
  <c r="H31" i="177"/>
  <c r="G31" i="177"/>
  <c r="D31" i="177"/>
  <c r="F31" i="177" s="1"/>
  <c r="I30" i="177"/>
  <c r="H30" i="177"/>
  <c r="F30" i="177"/>
  <c r="I29" i="177"/>
  <c r="H29" i="177"/>
  <c r="D29" i="177"/>
  <c r="F29" i="177" s="1"/>
  <c r="I28" i="177"/>
  <c r="H28" i="177"/>
  <c r="G28" i="177"/>
  <c r="D28" i="177"/>
  <c r="F28" i="177" s="1"/>
  <c r="I27" i="177"/>
  <c r="H27" i="177"/>
  <c r="D27" i="177"/>
  <c r="F27" i="177" s="1"/>
  <c r="K27" i="177" s="1"/>
  <c r="I26" i="177"/>
  <c r="H26" i="177"/>
  <c r="F26" i="177"/>
  <c r="I25" i="177"/>
  <c r="H25" i="177"/>
  <c r="D25" i="177"/>
  <c r="F25" i="177" s="1"/>
  <c r="I24" i="177"/>
  <c r="H24" i="177"/>
  <c r="D24" i="177"/>
  <c r="F24" i="177" s="1"/>
  <c r="I23" i="177"/>
  <c r="H23" i="177"/>
  <c r="F23" i="177"/>
  <c r="K23" i="177" s="1"/>
  <c r="I22" i="177"/>
  <c r="H22" i="177"/>
  <c r="G22" i="177"/>
  <c r="F22" i="177"/>
  <c r="D22" i="177"/>
  <c r="I21" i="177"/>
  <c r="H21" i="177"/>
  <c r="F21" i="177"/>
  <c r="I20" i="177"/>
  <c r="H20" i="177"/>
  <c r="D20" i="177"/>
  <c r="F20" i="177" s="1"/>
  <c r="I19" i="177"/>
  <c r="H19" i="177"/>
  <c r="G19" i="177"/>
  <c r="D19" i="177"/>
  <c r="F19" i="177" s="1"/>
  <c r="I18" i="177"/>
  <c r="H18" i="177"/>
  <c r="D18" i="177"/>
  <c r="F18" i="177" s="1"/>
  <c r="I17" i="177"/>
  <c r="H17" i="177"/>
  <c r="D17" i="177"/>
  <c r="F17" i="177" s="1"/>
  <c r="I16" i="177"/>
  <c r="H16" i="177"/>
  <c r="D16" i="177"/>
  <c r="F16" i="177" s="1"/>
  <c r="K16" i="177" s="1"/>
  <c r="F15" i="177"/>
  <c r="K15" i="177" s="1"/>
  <c r="I14" i="177"/>
  <c r="H14" i="177"/>
  <c r="D14" i="177"/>
  <c r="F14" i="177" s="1"/>
  <c r="I13" i="177"/>
  <c r="H13" i="177"/>
  <c r="H36" i="177" s="1"/>
  <c r="G13" i="177"/>
  <c r="G36" i="177" s="1"/>
  <c r="D13" i="177"/>
  <c r="F13" i="177" s="1"/>
  <c r="I12" i="177"/>
  <c r="H12" i="177"/>
  <c r="G12" i="177"/>
  <c r="D12" i="177"/>
  <c r="F12" i="177" s="1"/>
  <c r="F11" i="177"/>
  <c r="K11" i="177" s="1"/>
  <c r="I10" i="177"/>
  <c r="H10" i="177"/>
  <c r="G10" i="177"/>
  <c r="D10" i="177"/>
  <c r="F10" i="177" s="1"/>
  <c r="I9" i="177"/>
  <c r="H9" i="177"/>
  <c r="D9" i="177"/>
  <c r="F9" i="177" s="1"/>
  <c r="J6" i="177"/>
  <c r="G6" i="177"/>
  <c r="E6" i="177"/>
  <c r="D6" i="177"/>
  <c r="L5" i="177"/>
  <c r="F5" i="177"/>
  <c r="K5" i="177" s="1"/>
  <c r="M5" i="177" s="1"/>
  <c r="L4" i="177"/>
  <c r="L6" i="177" s="1"/>
  <c r="P61" i="177" s="1"/>
  <c r="I4" i="177"/>
  <c r="I6" i="177" s="1"/>
  <c r="H4" i="177"/>
  <c r="H6" i="177" s="1"/>
  <c r="D4" i="177"/>
  <c r="F4" i="177" s="1"/>
  <c r="K53" i="176"/>
  <c r="D53" i="176"/>
  <c r="K51" i="176"/>
  <c r="D51" i="176"/>
  <c r="K50" i="176"/>
  <c r="D50" i="176"/>
  <c r="K49" i="176"/>
  <c r="D49" i="176"/>
  <c r="K48" i="176"/>
  <c r="D48" i="176"/>
  <c r="K47" i="176"/>
  <c r="K46" i="176"/>
  <c r="K45" i="176"/>
  <c r="K56" i="176" s="1"/>
  <c r="K41" i="176"/>
  <c r="L39" i="176"/>
  <c r="L41" i="176" s="1"/>
  <c r="D39" i="176"/>
  <c r="J36" i="176"/>
  <c r="E36" i="176"/>
  <c r="I35" i="176"/>
  <c r="H35" i="176"/>
  <c r="F35" i="176"/>
  <c r="I34" i="176"/>
  <c r="H34" i="176"/>
  <c r="D34" i="176"/>
  <c r="F34" i="176" s="1"/>
  <c r="I33" i="176"/>
  <c r="H33" i="176"/>
  <c r="F33" i="176"/>
  <c r="I32" i="176"/>
  <c r="H32" i="176"/>
  <c r="G32" i="176"/>
  <c r="D32" i="176"/>
  <c r="F32" i="176" s="1"/>
  <c r="K32" i="176" s="1"/>
  <c r="I31" i="176"/>
  <c r="H31" i="176"/>
  <c r="G31" i="176"/>
  <c r="D31" i="176"/>
  <c r="F31" i="176" s="1"/>
  <c r="I30" i="176"/>
  <c r="H30" i="176"/>
  <c r="F30" i="176"/>
  <c r="I29" i="176"/>
  <c r="H29" i="176"/>
  <c r="D29" i="176"/>
  <c r="F29" i="176" s="1"/>
  <c r="I28" i="176"/>
  <c r="H28" i="176"/>
  <c r="G28" i="176"/>
  <c r="D28" i="176"/>
  <c r="F28" i="176" s="1"/>
  <c r="I27" i="176"/>
  <c r="H27" i="176"/>
  <c r="D27" i="176"/>
  <c r="F27" i="176" s="1"/>
  <c r="I26" i="176"/>
  <c r="H26" i="176"/>
  <c r="F26" i="176"/>
  <c r="I25" i="176"/>
  <c r="H25" i="176"/>
  <c r="D25" i="176"/>
  <c r="F25" i="176" s="1"/>
  <c r="K25" i="176" s="1"/>
  <c r="I24" i="176"/>
  <c r="H24" i="176"/>
  <c r="D24" i="176"/>
  <c r="F24" i="176" s="1"/>
  <c r="I23" i="176"/>
  <c r="H23" i="176"/>
  <c r="F23" i="176"/>
  <c r="I22" i="176"/>
  <c r="H22" i="176"/>
  <c r="F22" i="176"/>
  <c r="I21" i="176"/>
  <c r="H21" i="176"/>
  <c r="F21" i="176"/>
  <c r="K21" i="176" s="1"/>
  <c r="I20" i="176"/>
  <c r="H20" i="176"/>
  <c r="D20" i="176"/>
  <c r="F20" i="176" s="1"/>
  <c r="K20" i="176" s="1"/>
  <c r="I19" i="176"/>
  <c r="H19" i="176"/>
  <c r="G19" i="176"/>
  <c r="D19" i="176"/>
  <c r="F19" i="176" s="1"/>
  <c r="I18" i="176"/>
  <c r="H18" i="176"/>
  <c r="D18" i="176"/>
  <c r="F18" i="176" s="1"/>
  <c r="I17" i="176"/>
  <c r="H17" i="176"/>
  <c r="D17" i="176"/>
  <c r="F17" i="176" s="1"/>
  <c r="K17" i="176" s="1"/>
  <c r="I16" i="176"/>
  <c r="H16" i="176"/>
  <c r="D16" i="176"/>
  <c r="F16" i="176" s="1"/>
  <c r="F15" i="176"/>
  <c r="K15" i="176" s="1"/>
  <c r="I14" i="176"/>
  <c r="H14" i="176"/>
  <c r="D14" i="176"/>
  <c r="F14" i="176" s="1"/>
  <c r="I13" i="176"/>
  <c r="H13" i="176"/>
  <c r="G13" i="176"/>
  <c r="G36" i="176" s="1"/>
  <c r="D13" i="176"/>
  <c r="I12" i="176"/>
  <c r="H12" i="176"/>
  <c r="G12" i="176"/>
  <c r="D12" i="176"/>
  <c r="F12" i="176" s="1"/>
  <c r="F11" i="176"/>
  <c r="K11" i="176" s="1"/>
  <c r="I10" i="176"/>
  <c r="H10" i="176"/>
  <c r="G10" i="176"/>
  <c r="D10" i="176"/>
  <c r="F10" i="176" s="1"/>
  <c r="I9" i="176"/>
  <c r="H9" i="176"/>
  <c r="H36" i="176" s="1"/>
  <c r="D9" i="176"/>
  <c r="F9" i="176" s="1"/>
  <c r="J6" i="176"/>
  <c r="I6" i="176"/>
  <c r="H6" i="176"/>
  <c r="G6" i="176"/>
  <c r="F6" i="176"/>
  <c r="E6" i="176"/>
  <c r="D6" i="176"/>
  <c r="L5" i="176"/>
  <c r="F5" i="176"/>
  <c r="K5" i="176" s="1"/>
  <c r="M5" i="176" s="1"/>
  <c r="L4" i="176"/>
  <c r="L6" i="176" s="1"/>
  <c r="P60" i="176" s="1"/>
  <c r="F4" i="176"/>
  <c r="K4" i="176" s="1"/>
  <c r="K20" i="180" l="1"/>
  <c r="I37" i="180"/>
  <c r="K16" i="180"/>
  <c r="K30" i="180"/>
  <c r="K13" i="180"/>
  <c r="K10" i="179"/>
  <c r="K20" i="179"/>
  <c r="K28" i="179"/>
  <c r="L28" i="179" s="1"/>
  <c r="M28" i="179" s="1"/>
  <c r="K17" i="180"/>
  <c r="L17" i="180" s="1"/>
  <c r="M17" i="180" s="1"/>
  <c r="K24" i="180"/>
  <c r="L24" i="180" s="1"/>
  <c r="M24" i="180" s="1"/>
  <c r="K31" i="180"/>
  <c r="L31" i="180" s="1"/>
  <c r="M31" i="180" s="1"/>
  <c r="K34" i="180"/>
  <c r="L34" i="180" s="1"/>
  <c r="M34" i="180" s="1"/>
  <c r="L42" i="180"/>
  <c r="M42" i="180" s="1"/>
  <c r="L21" i="180"/>
  <c r="M21" i="180"/>
  <c r="L10" i="180"/>
  <c r="M10" i="180" s="1"/>
  <c r="L28" i="180"/>
  <c r="M28" i="180" s="1"/>
  <c r="L18" i="180"/>
  <c r="M18" i="180" s="1"/>
  <c r="L25" i="180"/>
  <c r="M25" i="180" s="1"/>
  <c r="L32" i="180"/>
  <c r="M32" i="180"/>
  <c r="L22" i="180"/>
  <c r="M22" i="180" s="1"/>
  <c r="L29" i="180"/>
  <c r="M29" i="180" s="1"/>
  <c r="L11" i="180"/>
  <c r="M11" i="180"/>
  <c r="L15" i="180"/>
  <c r="M15" i="180" s="1"/>
  <c r="L19" i="180"/>
  <c r="M19" i="180"/>
  <c r="L12" i="180"/>
  <c r="M12" i="180" s="1"/>
  <c r="L26" i="180"/>
  <c r="M26" i="180" s="1"/>
  <c r="L33" i="180"/>
  <c r="M33" i="180" s="1"/>
  <c r="L23" i="180"/>
  <c r="M23" i="180" s="1"/>
  <c r="M4" i="180"/>
  <c r="M6" i="180" s="1"/>
  <c r="K6" i="180"/>
  <c r="L14" i="180"/>
  <c r="M14" i="180"/>
  <c r="L36" i="180"/>
  <c r="M36" i="180"/>
  <c r="L16" i="180"/>
  <c r="M16" i="180" s="1"/>
  <c r="L30" i="180"/>
  <c r="M30" i="180"/>
  <c r="L35" i="180"/>
  <c r="M35" i="180" s="1"/>
  <c r="L20" i="180"/>
  <c r="M20" i="180" s="1"/>
  <c r="L40" i="180"/>
  <c r="L43" i="180" s="1"/>
  <c r="K43" i="180"/>
  <c r="M40" i="180"/>
  <c r="F37" i="180"/>
  <c r="L13" i="180"/>
  <c r="M13" i="180"/>
  <c r="L41" i="180"/>
  <c r="M41" i="180" s="1"/>
  <c r="D37" i="180"/>
  <c r="F6" i="180"/>
  <c r="M27" i="180"/>
  <c r="K9" i="180"/>
  <c r="I36" i="179"/>
  <c r="K17" i="177"/>
  <c r="L17" i="177" s="1"/>
  <c r="M17" i="177" s="1"/>
  <c r="K23" i="179"/>
  <c r="L23" i="179" s="1"/>
  <c r="M23" i="179" s="1"/>
  <c r="K21" i="177"/>
  <c r="K17" i="178"/>
  <c r="L17" i="178" s="1"/>
  <c r="M17" i="178" s="1"/>
  <c r="K24" i="178"/>
  <c r="L24" i="178" s="1"/>
  <c r="K28" i="178"/>
  <c r="L28" i="178" s="1"/>
  <c r="M28" i="178" s="1"/>
  <c r="K30" i="179"/>
  <c r="L30" i="179" s="1"/>
  <c r="M30" i="179" s="1"/>
  <c r="K10" i="178"/>
  <c r="K21" i="178"/>
  <c r="L21" i="178" s="1"/>
  <c r="M21" i="178" s="1"/>
  <c r="K27" i="179"/>
  <c r="L27" i="179" s="1"/>
  <c r="K14" i="178"/>
  <c r="L14" i="178" s="1"/>
  <c r="M14" i="178" s="1"/>
  <c r="K34" i="179"/>
  <c r="L34" i="179" s="1"/>
  <c r="M34" i="179" s="1"/>
  <c r="K31" i="179"/>
  <c r="L31" i="179" s="1"/>
  <c r="M31" i="179" s="1"/>
  <c r="L17" i="179"/>
  <c r="M17" i="179" s="1"/>
  <c r="L24" i="179"/>
  <c r="M24" i="179"/>
  <c r="L21" i="179"/>
  <c r="M21" i="179" s="1"/>
  <c r="L14" i="179"/>
  <c r="M14" i="179" s="1"/>
  <c r="L32" i="179"/>
  <c r="M32" i="179"/>
  <c r="L18" i="179"/>
  <c r="M18" i="179" s="1"/>
  <c r="L12" i="179"/>
  <c r="M12" i="179" s="1"/>
  <c r="L15" i="179"/>
  <c r="M15" i="179"/>
  <c r="L26" i="179"/>
  <c r="M26" i="179" s="1"/>
  <c r="L19" i="179"/>
  <c r="M19" i="179" s="1"/>
  <c r="L29" i="179"/>
  <c r="M29" i="179" s="1"/>
  <c r="L33" i="179"/>
  <c r="M33" i="179" s="1"/>
  <c r="F36" i="179"/>
  <c r="L10" i="179"/>
  <c r="M10" i="179"/>
  <c r="L20" i="179"/>
  <c r="M20" i="179" s="1"/>
  <c r="L35" i="179"/>
  <c r="M35" i="179" s="1"/>
  <c r="L25" i="179"/>
  <c r="M25" i="179" s="1"/>
  <c r="M44" i="179"/>
  <c r="M9" i="179"/>
  <c r="K13" i="179"/>
  <c r="L44" i="179"/>
  <c r="D36" i="179"/>
  <c r="K4" i="179"/>
  <c r="M22" i="179"/>
  <c r="K35" i="178"/>
  <c r="D36" i="178"/>
  <c r="K31" i="176"/>
  <c r="L31" i="176" s="1"/>
  <c r="M31" i="176" s="1"/>
  <c r="K10" i="177"/>
  <c r="L10" i="177" s="1"/>
  <c r="M10" i="177" s="1"/>
  <c r="K18" i="178"/>
  <c r="K25" i="178"/>
  <c r="L25" i="178" s="1"/>
  <c r="M25" i="178" s="1"/>
  <c r="K32" i="178"/>
  <c r="L32" i="178" s="1"/>
  <c r="K16" i="176"/>
  <c r="K14" i="177"/>
  <c r="I36" i="178"/>
  <c r="K29" i="178"/>
  <c r="L29" i="178" s="1"/>
  <c r="M29" i="178" s="1"/>
  <c r="K30" i="178"/>
  <c r="L30" i="178" s="1"/>
  <c r="M30" i="178" s="1"/>
  <c r="K20" i="178"/>
  <c r="L20" i="178" s="1"/>
  <c r="M20" i="178" s="1"/>
  <c r="K31" i="178"/>
  <c r="L31" i="178" s="1"/>
  <c r="L10" i="178"/>
  <c r="L12" i="178"/>
  <c r="M12" i="178" s="1"/>
  <c r="L33" i="178"/>
  <c r="M33" i="178" s="1"/>
  <c r="L18" i="178"/>
  <c r="M18" i="178"/>
  <c r="L15" i="178"/>
  <c r="M15" i="178" s="1"/>
  <c r="L26" i="178"/>
  <c r="M26" i="178" s="1"/>
  <c r="L23" i="178"/>
  <c r="M23" i="178" s="1"/>
  <c r="L27" i="178"/>
  <c r="M27" i="178" s="1"/>
  <c r="L11" i="178"/>
  <c r="M11" i="178" s="1"/>
  <c r="L19" i="178"/>
  <c r="M19" i="178" s="1"/>
  <c r="L22" i="178"/>
  <c r="M22" i="178" s="1"/>
  <c r="M44" i="178"/>
  <c r="L16" i="178"/>
  <c r="M16" i="178" s="1"/>
  <c r="L13" i="178"/>
  <c r="M13" i="178" s="1"/>
  <c r="L34" i="178"/>
  <c r="M34" i="178" s="1"/>
  <c r="M4" i="178"/>
  <c r="M6" i="178" s="1"/>
  <c r="K5" i="178"/>
  <c r="M5" i="178" s="1"/>
  <c r="F9" i="178"/>
  <c r="L44" i="178"/>
  <c r="K24" i="177"/>
  <c r="L24" i="177" s="1"/>
  <c r="K28" i="177"/>
  <c r="L28" i="177" s="1"/>
  <c r="M28" i="177" s="1"/>
  <c r="K32" i="177"/>
  <c r="L32" i="177" s="1"/>
  <c r="M32" i="177" s="1"/>
  <c r="K13" i="177"/>
  <c r="L13" i="177" s="1"/>
  <c r="K19" i="176"/>
  <c r="L19" i="176" s="1"/>
  <c r="K23" i="176"/>
  <c r="L23" i="176" s="1"/>
  <c r="M23" i="176" s="1"/>
  <c r="K27" i="176"/>
  <c r="L27" i="176" s="1"/>
  <c r="M27" i="176" s="1"/>
  <c r="K34" i="176"/>
  <c r="L34" i="176" s="1"/>
  <c r="M34" i="176" s="1"/>
  <c r="K18" i="177"/>
  <c r="L18" i="177" s="1"/>
  <c r="M18" i="177" s="1"/>
  <c r="K25" i="177"/>
  <c r="L25" i="177" s="1"/>
  <c r="M25" i="177" s="1"/>
  <c r="I36" i="177"/>
  <c r="K29" i="177"/>
  <c r="L29" i="177" s="1"/>
  <c r="M29" i="177" s="1"/>
  <c r="K12" i="176"/>
  <c r="L12" i="176" s="1"/>
  <c r="M12" i="176" s="1"/>
  <c r="K24" i="176"/>
  <c r="L24" i="176" s="1"/>
  <c r="M24" i="176" s="1"/>
  <c r="K28" i="176"/>
  <c r="L28" i="176" s="1"/>
  <c r="M28" i="176" s="1"/>
  <c r="K35" i="176"/>
  <c r="L35" i="176" s="1"/>
  <c r="M35" i="176" s="1"/>
  <c r="K19" i="177"/>
  <c r="L19" i="177" s="1"/>
  <c r="M19" i="177" s="1"/>
  <c r="K26" i="177"/>
  <c r="L26" i="177" s="1"/>
  <c r="M26" i="177" s="1"/>
  <c r="K33" i="177"/>
  <c r="L33" i="177" s="1"/>
  <c r="M33" i="177" s="1"/>
  <c r="K22" i="177"/>
  <c r="L22" i="177" s="1"/>
  <c r="M22" i="177" s="1"/>
  <c r="K30" i="177"/>
  <c r="L30" i="177" s="1"/>
  <c r="K20" i="177"/>
  <c r="L20" i="177" s="1"/>
  <c r="M20" i="177" s="1"/>
  <c r="K31" i="177"/>
  <c r="L31" i="177" s="1"/>
  <c r="M31" i="177" s="1"/>
  <c r="K12" i="177"/>
  <c r="L12" i="177" s="1"/>
  <c r="M12" i="177" s="1"/>
  <c r="K29" i="176"/>
  <c r="L29" i="176" s="1"/>
  <c r="M29" i="176" s="1"/>
  <c r="K18" i="176"/>
  <c r="K35" i="177"/>
  <c r="L35" i="177"/>
  <c r="M35" i="177" s="1"/>
  <c r="F36" i="177"/>
  <c r="K9" i="177"/>
  <c r="L21" i="177"/>
  <c r="M21" i="177" s="1"/>
  <c r="F6" i="177"/>
  <c r="K4" i="177"/>
  <c r="L14" i="177"/>
  <c r="M14" i="177"/>
  <c r="L11" i="177"/>
  <c r="M11" i="177" s="1"/>
  <c r="L15" i="177"/>
  <c r="M15" i="177" s="1"/>
  <c r="L16" i="177"/>
  <c r="M16" i="177" s="1"/>
  <c r="L23" i="177"/>
  <c r="M23" i="177"/>
  <c r="L27" i="177"/>
  <c r="M27" i="177"/>
  <c r="L34" i="177"/>
  <c r="M34" i="177" s="1"/>
  <c r="D36" i="177"/>
  <c r="D36" i="176"/>
  <c r="I36" i="176"/>
  <c r="K10" i="176"/>
  <c r="L10" i="176" s="1"/>
  <c r="K22" i="176"/>
  <c r="L22" i="176" s="1"/>
  <c r="K26" i="176"/>
  <c r="L26" i="176" s="1"/>
  <c r="M26" i="176" s="1"/>
  <c r="K33" i="176"/>
  <c r="L33" i="176" s="1"/>
  <c r="M33" i="176" s="1"/>
  <c r="K14" i="176"/>
  <c r="L14" i="176" s="1"/>
  <c r="K30" i="176"/>
  <c r="L30" i="176" s="1"/>
  <c r="M30" i="176" s="1"/>
  <c r="L11" i="176"/>
  <c r="M11" i="176"/>
  <c r="L20" i="176"/>
  <c r="M20" i="176"/>
  <c r="L17" i="176"/>
  <c r="M17" i="176" s="1"/>
  <c r="K6" i="176"/>
  <c r="M4" i="176"/>
  <c r="M6" i="176" s="1"/>
  <c r="L15" i="176"/>
  <c r="M15" i="176" s="1"/>
  <c r="K9" i="176"/>
  <c r="L21" i="176"/>
  <c r="M21" i="176"/>
  <c r="L18" i="176"/>
  <c r="M18" i="176" s="1"/>
  <c r="L16" i="176"/>
  <c r="L32" i="176"/>
  <c r="M32" i="176" s="1"/>
  <c r="L25" i="176"/>
  <c r="M25" i="176" s="1"/>
  <c r="M39" i="176"/>
  <c r="M41" i="176" s="1"/>
  <c r="F13" i="176"/>
  <c r="K13" i="176" s="1"/>
  <c r="M10" i="178" l="1"/>
  <c r="K36" i="179"/>
  <c r="L9" i="180"/>
  <c r="L37" i="180" s="1"/>
  <c r="P58" i="180" s="1"/>
  <c r="P70" i="180" s="1"/>
  <c r="K37" i="180"/>
  <c r="P72" i="180" s="1"/>
  <c r="P74" i="180" s="1"/>
  <c r="M43" i="180"/>
  <c r="M24" i="178"/>
  <c r="M16" i="176"/>
  <c r="M24" i="177"/>
  <c r="L35" i="178"/>
  <c r="M35" i="178" s="1"/>
  <c r="M32" i="178"/>
  <c r="M27" i="179"/>
  <c r="M31" i="178"/>
  <c r="M4" i="179"/>
  <c r="M6" i="179" s="1"/>
  <c r="K6" i="179"/>
  <c r="P71" i="179" s="1"/>
  <c r="L13" i="179"/>
  <c r="L36" i="179" s="1"/>
  <c r="P59" i="179" s="1"/>
  <c r="P69" i="179" s="1"/>
  <c r="M19" i="176"/>
  <c r="M13" i="177"/>
  <c r="K9" i="178"/>
  <c r="F36" i="178"/>
  <c r="K6" i="178"/>
  <c r="M30" i="177"/>
  <c r="F36" i="176"/>
  <c r="M10" i="176"/>
  <c r="K6" i="177"/>
  <c r="M4" i="177"/>
  <c r="M6" i="177" s="1"/>
  <c r="K36" i="177"/>
  <c r="L9" i="177"/>
  <c r="L36" i="177" s="1"/>
  <c r="P60" i="177" s="1"/>
  <c r="P70" i="177" s="1"/>
  <c r="M14" i="176"/>
  <c r="M22" i="176"/>
  <c r="K36" i="176"/>
  <c r="P72" i="176" s="1"/>
  <c r="L9" i="176"/>
  <c r="L13" i="176"/>
  <c r="M13" i="176" s="1"/>
  <c r="M9" i="180" l="1"/>
  <c r="M37" i="180" s="1"/>
  <c r="M13" i="179"/>
  <c r="M36" i="179" s="1"/>
  <c r="P73" i="179"/>
  <c r="K36" i="178"/>
  <c r="P70" i="178" s="1"/>
  <c r="L9" i="178"/>
  <c r="L36" i="178" s="1"/>
  <c r="P58" i="178" s="1"/>
  <c r="P68" i="178" s="1"/>
  <c r="M9" i="177"/>
  <c r="M36" i="177" s="1"/>
  <c r="P72" i="177"/>
  <c r="P74" i="177" s="1"/>
  <c r="L36" i="176"/>
  <c r="P59" i="176" s="1"/>
  <c r="P70" i="176" s="1"/>
  <c r="P74" i="176" s="1"/>
  <c r="M9" i="176"/>
  <c r="M36" i="176" s="1"/>
  <c r="M9" i="178" l="1"/>
  <c r="M36" i="178" s="1"/>
  <c r="P72" i="178"/>
  <c r="K51" i="175"/>
  <c r="D51" i="175"/>
  <c r="K49" i="175"/>
  <c r="D49" i="175"/>
  <c r="K48" i="175"/>
  <c r="D48" i="175"/>
  <c r="K47" i="175"/>
  <c r="D47" i="175"/>
  <c r="K46" i="175"/>
  <c r="K45" i="175"/>
  <c r="K54" i="175" s="1"/>
  <c r="K41" i="175"/>
  <c r="L40" i="175"/>
  <c r="M40" i="175" s="1"/>
  <c r="D40" i="175"/>
  <c r="L39" i="175"/>
  <c r="L41" i="175" s="1"/>
  <c r="J36" i="175"/>
  <c r="E36" i="175"/>
  <c r="I35" i="175"/>
  <c r="H35" i="175"/>
  <c r="F35" i="175"/>
  <c r="I34" i="175"/>
  <c r="H34" i="175"/>
  <c r="F34" i="175"/>
  <c r="K34" i="175" s="1"/>
  <c r="I33" i="175"/>
  <c r="H33" i="175"/>
  <c r="F33" i="175"/>
  <c r="I32" i="175"/>
  <c r="H32" i="175"/>
  <c r="G32" i="175"/>
  <c r="D32" i="175"/>
  <c r="F32" i="175" s="1"/>
  <c r="K32" i="175" s="1"/>
  <c r="I31" i="175"/>
  <c r="H31" i="175"/>
  <c r="G31" i="175"/>
  <c r="D31" i="175"/>
  <c r="F31" i="175" s="1"/>
  <c r="I30" i="175"/>
  <c r="K30" i="175" s="1"/>
  <c r="H30" i="175"/>
  <c r="F30" i="175"/>
  <c r="I29" i="175"/>
  <c r="H29" i="175"/>
  <c r="D29" i="175"/>
  <c r="F29" i="175" s="1"/>
  <c r="K29" i="175" s="1"/>
  <c r="K28" i="175"/>
  <c r="F28" i="175"/>
  <c r="I27" i="175"/>
  <c r="H27" i="175"/>
  <c r="D27" i="175"/>
  <c r="F27" i="175" s="1"/>
  <c r="I26" i="175"/>
  <c r="K26" i="175" s="1"/>
  <c r="H26" i="175"/>
  <c r="F26" i="175"/>
  <c r="I25" i="175"/>
  <c r="H25" i="175"/>
  <c r="D25" i="175"/>
  <c r="F25" i="175" s="1"/>
  <c r="I24" i="175"/>
  <c r="H24" i="175"/>
  <c r="D24" i="175"/>
  <c r="F24" i="175" s="1"/>
  <c r="K24" i="175" s="1"/>
  <c r="I23" i="175"/>
  <c r="H23" i="175"/>
  <c r="F23" i="175"/>
  <c r="I22" i="175"/>
  <c r="H22" i="175"/>
  <c r="F22" i="175"/>
  <c r="I21" i="175"/>
  <c r="H21" i="175"/>
  <c r="F21" i="175"/>
  <c r="I20" i="175"/>
  <c r="H20" i="175"/>
  <c r="D20" i="175"/>
  <c r="F20" i="175" s="1"/>
  <c r="K20" i="175" s="1"/>
  <c r="I19" i="175"/>
  <c r="H19" i="175"/>
  <c r="G19" i="175"/>
  <c r="F19" i="175"/>
  <c r="D19" i="175"/>
  <c r="I18" i="175"/>
  <c r="H18" i="175"/>
  <c r="D18" i="175"/>
  <c r="F18" i="175" s="1"/>
  <c r="I17" i="175"/>
  <c r="H17" i="175"/>
  <c r="D17" i="175"/>
  <c r="F17" i="175" s="1"/>
  <c r="K17" i="175" s="1"/>
  <c r="I16" i="175"/>
  <c r="H16" i="175"/>
  <c r="D16" i="175"/>
  <c r="F16" i="175" s="1"/>
  <c r="F15" i="175"/>
  <c r="K15" i="175" s="1"/>
  <c r="I14" i="175"/>
  <c r="H14" i="175"/>
  <c r="D14" i="175"/>
  <c r="F14" i="175" s="1"/>
  <c r="I13" i="175"/>
  <c r="H13" i="175"/>
  <c r="G13" i="175"/>
  <c r="D13" i="175"/>
  <c r="F13" i="175" s="1"/>
  <c r="I12" i="175"/>
  <c r="H12" i="175"/>
  <c r="G12" i="175"/>
  <c r="G36" i="175" s="1"/>
  <c r="F12" i="175"/>
  <c r="D12" i="175"/>
  <c r="K11" i="175"/>
  <c r="F11" i="175"/>
  <c r="F10" i="175"/>
  <c r="K10" i="175" s="1"/>
  <c r="I9" i="175"/>
  <c r="H9" i="175"/>
  <c r="H36" i="175" s="1"/>
  <c r="D9" i="175"/>
  <c r="F9" i="175" s="1"/>
  <c r="J6" i="175"/>
  <c r="E6" i="175"/>
  <c r="D6" i="175"/>
  <c r="L5" i="175"/>
  <c r="I5" i="175"/>
  <c r="H5" i="175"/>
  <c r="G5" i="175"/>
  <c r="D5" i="175"/>
  <c r="F5" i="175" s="1"/>
  <c r="K5" i="175" s="1"/>
  <c r="M5" i="175" s="1"/>
  <c r="L4" i="175"/>
  <c r="L6" i="175" s="1"/>
  <c r="P58" i="175" s="1"/>
  <c r="I4" i="175"/>
  <c r="H4" i="175"/>
  <c r="H6" i="175" s="1"/>
  <c r="G4" i="175"/>
  <c r="G6" i="175" s="1"/>
  <c r="D4" i="175"/>
  <c r="F4" i="175" s="1"/>
  <c r="K50" i="174"/>
  <c r="D50" i="174"/>
  <c r="K48" i="174"/>
  <c r="D48" i="174"/>
  <c r="K47" i="174"/>
  <c r="K53" i="174" s="1"/>
  <c r="D47" i="174"/>
  <c r="K46" i="174"/>
  <c r="D46" i="174"/>
  <c r="K45" i="174"/>
  <c r="K41" i="174"/>
  <c r="L40" i="174"/>
  <c r="M40" i="174" s="1"/>
  <c r="D40" i="174"/>
  <c r="L39" i="174"/>
  <c r="L41" i="174" s="1"/>
  <c r="D39" i="174"/>
  <c r="J36" i="174"/>
  <c r="E36" i="174"/>
  <c r="I35" i="174"/>
  <c r="H35" i="174"/>
  <c r="K35" i="174" s="1"/>
  <c r="F35" i="174"/>
  <c r="I34" i="174"/>
  <c r="H34" i="174"/>
  <c r="F34" i="174"/>
  <c r="I33" i="174"/>
  <c r="H33" i="174"/>
  <c r="K33" i="174" s="1"/>
  <c r="F33" i="174"/>
  <c r="I32" i="174"/>
  <c r="H32" i="174"/>
  <c r="G32" i="174"/>
  <c r="D32" i="174"/>
  <c r="F32" i="174" s="1"/>
  <c r="I31" i="174"/>
  <c r="H31" i="174"/>
  <c r="G31" i="174"/>
  <c r="D31" i="174"/>
  <c r="F31" i="174" s="1"/>
  <c r="I30" i="174"/>
  <c r="K30" i="174" s="1"/>
  <c r="H30" i="174"/>
  <c r="F30" i="174"/>
  <c r="I29" i="174"/>
  <c r="H29" i="174"/>
  <c r="D29" i="174"/>
  <c r="F29" i="174" s="1"/>
  <c r="I28" i="174"/>
  <c r="K28" i="174" s="1"/>
  <c r="L28" i="174" s="1"/>
  <c r="H28" i="174"/>
  <c r="G28" i="174"/>
  <c r="F28" i="174"/>
  <c r="D28" i="174"/>
  <c r="I27" i="174"/>
  <c r="H27" i="174"/>
  <c r="D27" i="174"/>
  <c r="F27" i="174" s="1"/>
  <c r="I26" i="174"/>
  <c r="H26" i="174"/>
  <c r="D26" i="174"/>
  <c r="F26" i="174" s="1"/>
  <c r="I25" i="174"/>
  <c r="H25" i="174"/>
  <c r="D25" i="174"/>
  <c r="F25" i="174" s="1"/>
  <c r="F24" i="174"/>
  <c r="K24" i="174" s="1"/>
  <c r="I23" i="174"/>
  <c r="H23" i="174"/>
  <c r="F23" i="174"/>
  <c r="I22" i="174"/>
  <c r="H22" i="174"/>
  <c r="F22" i="174"/>
  <c r="I21" i="174"/>
  <c r="H21" i="174"/>
  <c r="F21" i="174"/>
  <c r="I20" i="174"/>
  <c r="H20" i="174"/>
  <c r="D20" i="174"/>
  <c r="F20" i="174" s="1"/>
  <c r="F19" i="174"/>
  <c r="K19" i="174" s="1"/>
  <c r="I18" i="174"/>
  <c r="H18" i="174"/>
  <c r="D18" i="174"/>
  <c r="F18" i="174" s="1"/>
  <c r="I17" i="174"/>
  <c r="H17" i="174"/>
  <c r="F17" i="174"/>
  <c r="D17" i="174"/>
  <c r="I16" i="174"/>
  <c r="H16" i="174"/>
  <c r="D16" i="174"/>
  <c r="F16" i="174" s="1"/>
  <c r="F15" i="174"/>
  <c r="K15" i="174" s="1"/>
  <c r="I14" i="174"/>
  <c r="H14" i="174"/>
  <c r="D14" i="174"/>
  <c r="F14" i="174" s="1"/>
  <c r="I13" i="174"/>
  <c r="H13" i="174"/>
  <c r="G13" i="174"/>
  <c r="D13" i="174"/>
  <c r="F13" i="174" s="1"/>
  <c r="I12" i="174"/>
  <c r="H12" i="174"/>
  <c r="G12" i="174"/>
  <c r="D12" i="174"/>
  <c r="F12" i="174" s="1"/>
  <c r="F11" i="174"/>
  <c r="K11" i="174" s="1"/>
  <c r="I10" i="174"/>
  <c r="H10" i="174"/>
  <c r="H36" i="174" s="1"/>
  <c r="G10" i="174"/>
  <c r="G36" i="174" s="1"/>
  <c r="D10" i="174"/>
  <c r="I9" i="174"/>
  <c r="H9" i="174"/>
  <c r="D9" i="174"/>
  <c r="F9" i="174" s="1"/>
  <c r="J6" i="174"/>
  <c r="H6" i="174"/>
  <c r="G6" i="174"/>
  <c r="E6" i="174"/>
  <c r="I5" i="174"/>
  <c r="H5" i="174"/>
  <c r="D5" i="174"/>
  <c r="L5" i="174" s="1"/>
  <c r="L4" i="174"/>
  <c r="L6" i="174" s="1"/>
  <c r="P57" i="174" s="1"/>
  <c r="I4" i="174"/>
  <c r="H4" i="174"/>
  <c r="G4" i="174"/>
  <c r="D4" i="174"/>
  <c r="D6" i="174" s="1"/>
  <c r="K50" i="173"/>
  <c r="D50" i="173"/>
  <c r="K48" i="173"/>
  <c r="D48" i="173"/>
  <c r="K47" i="173"/>
  <c r="K53" i="173" s="1"/>
  <c r="D47" i="173"/>
  <c r="K46" i="173"/>
  <c r="D46" i="173"/>
  <c r="L41" i="173"/>
  <c r="M41" i="173" s="1"/>
  <c r="D41" i="173"/>
  <c r="L40" i="173"/>
  <c r="M40" i="173" s="1"/>
  <c r="D40" i="173"/>
  <c r="K39" i="173"/>
  <c r="L39" i="173" s="1"/>
  <c r="L42" i="173" s="1"/>
  <c r="J36" i="173"/>
  <c r="E36" i="173"/>
  <c r="I35" i="173"/>
  <c r="H35" i="173"/>
  <c r="F35" i="173"/>
  <c r="K35" i="173" s="1"/>
  <c r="I34" i="173"/>
  <c r="H34" i="173"/>
  <c r="F34" i="173"/>
  <c r="I33" i="173"/>
  <c r="H33" i="173"/>
  <c r="G33" i="173"/>
  <c r="D33" i="173"/>
  <c r="F33" i="173" s="1"/>
  <c r="F32" i="173"/>
  <c r="K32" i="173" s="1"/>
  <c r="F31" i="173"/>
  <c r="K31" i="173" s="1"/>
  <c r="I30" i="173"/>
  <c r="H30" i="173"/>
  <c r="F30" i="173"/>
  <c r="K30" i="173" s="1"/>
  <c r="I29" i="173"/>
  <c r="H29" i="173"/>
  <c r="D29" i="173"/>
  <c r="F29" i="173" s="1"/>
  <c r="F28" i="173"/>
  <c r="K28" i="173" s="1"/>
  <c r="I27" i="173"/>
  <c r="H27" i="173"/>
  <c r="D27" i="173"/>
  <c r="F27" i="173" s="1"/>
  <c r="K27" i="173" s="1"/>
  <c r="I26" i="173"/>
  <c r="H26" i="173"/>
  <c r="D26" i="173"/>
  <c r="F26" i="173" s="1"/>
  <c r="I25" i="173"/>
  <c r="H25" i="173"/>
  <c r="D25" i="173"/>
  <c r="F25" i="173" s="1"/>
  <c r="I24" i="173"/>
  <c r="H24" i="173"/>
  <c r="D24" i="173"/>
  <c r="F24" i="173" s="1"/>
  <c r="I23" i="173"/>
  <c r="H23" i="173"/>
  <c r="F23" i="173"/>
  <c r="K23" i="173" s="1"/>
  <c r="I22" i="173"/>
  <c r="H22" i="173"/>
  <c r="F22" i="173"/>
  <c r="I21" i="173"/>
  <c r="H21" i="173"/>
  <c r="F21" i="173"/>
  <c r="I20" i="173"/>
  <c r="H20" i="173"/>
  <c r="D20" i="173"/>
  <c r="F20" i="173" s="1"/>
  <c r="I19" i="173"/>
  <c r="H19" i="173"/>
  <c r="G19" i="173"/>
  <c r="D19" i="173"/>
  <c r="F19" i="173" s="1"/>
  <c r="I18" i="173"/>
  <c r="H18" i="173"/>
  <c r="D18" i="173"/>
  <c r="F18" i="173" s="1"/>
  <c r="I17" i="173"/>
  <c r="H17" i="173"/>
  <c r="D17" i="173"/>
  <c r="F17" i="173" s="1"/>
  <c r="I16" i="173"/>
  <c r="H16" i="173"/>
  <c r="D16" i="173"/>
  <c r="F16" i="173" s="1"/>
  <c r="F15" i="173"/>
  <c r="K15" i="173" s="1"/>
  <c r="I14" i="173"/>
  <c r="H14" i="173"/>
  <c r="D14" i="173"/>
  <c r="F14" i="173" s="1"/>
  <c r="I13" i="173"/>
  <c r="H13" i="173"/>
  <c r="G13" i="173"/>
  <c r="D13" i="173"/>
  <c r="F13" i="173" s="1"/>
  <c r="I12" i="173"/>
  <c r="H12" i="173"/>
  <c r="G12" i="173"/>
  <c r="D12" i="173"/>
  <c r="F12" i="173" s="1"/>
  <c r="F11" i="173"/>
  <c r="K11" i="173" s="1"/>
  <c r="L11" i="173" s="1"/>
  <c r="M11" i="173" s="1"/>
  <c r="F10" i="173"/>
  <c r="K10" i="173" s="1"/>
  <c r="I9" i="173"/>
  <c r="H9" i="173"/>
  <c r="D9" i="173"/>
  <c r="F9" i="173" s="1"/>
  <c r="K9" i="173" s="1"/>
  <c r="J6" i="173"/>
  <c r="G6" i="173"/>
  <c r="E6" i="173"/>
  <c r="D6" i="173"/>
  <c r="I5" i="173"/>
  <c r="H5" i="173"/>
  <c r="G5" i="173"/>
  <c r="D5" i="173"/>
  <c r="L5" i="173" s="1"/>
  <c r="L4" i="173"/>
  <c r="L6" i="173" s="1"/>
  <c r="P57" i="173" s="1"/>
  <c r="I4" i="173"/>
  <c r="H4" i="173"/>
  <c r="H6" i="173" s="1"/>
  <c r="G4" i="173"/>
  <c r="D4" i="173"/>
  <c r="F4" i="173" s="1"/>
  <c r="K14" i="174" l="1"/>
  <c r="K23" i="174"/>
  <c r="I6" i="175"/>
  <c r="K21" i="173"/>
  <c r="K25" i="173"/>
  <c r="L25" i="173" s="1"/>
  <c r="M25" i="173" s="1"/>
  <c r="K14" i="175"/>
  <c r="L14" i="175" s="1"/>
  <c r="M14" i="175" s="1"/>
  <c r="K32" i="174"/>
  <c r="K35" i="175"/>
  <c r="L35" i="175" s="1"/>
  <c r="M35" i="175" s="1"/>
  <c r="K21" i="174"/>
  <c r="L21" i="174" s="1"/>
  <c r="M21" i="174" s="1"/>
  <c r="K13" i="175"/>
  <c r="L13" i="175" s="1"/>
  <c r="M13" i="175" s="1"/>
  <c r="K27" i="174"/>
  <c r="L27" i="174" s="1"/>
  <c r="M27" i="174" s="1"/>
  <c r="K21" i="175"/>
  <c r="L21" i="175" s="1"/>
  <c r="M21" i="175" s="1"/>
  <c r="K25" i="175"/>
  <c r="L25" i="175" s="1"/>
  <c r="M25" i="175" s="1"/>
  <c r="I6" i="174"/>
  <c r="D36" i="174"/>
  <c r="K18" i="174"/>
  <c r="L18" i="174" s="1"/>
  <c r="K18" i="175"/>
  <c r="L18" i="175" s="1"/>
  <c r="M18" i="175" s="1"/>
  <c r="K33" i="175"/>
  <c r="L33" i="175" s="1"/>
  <c r="M33" i="175" s="1"/>
  <c r="K34" i="174"/>
  <c r="K18" i="173"/>
  <c r="L18" i="173" s="1"/>
  <c r="M18" i="173" s="1"/>
  <c r="I36" i="175"/>
  <c r="K22" i="175"/>
  <c r="L22" i="175" s="1"/>
  <c r="M22" i="175" s="1"/>
  <c r="K33" i="173"/>
  <c r="L33" i="173" s="1"/>
  <c r="M33" i="173" s="1"/>
  <c r="K12" i="175"/>
  <c r="L12" i="175" s="1"/>
  <c r="M12" i="175" s="1"/>
  <c r="K19" i="175"/>
  <c r="K29" i="174"/>
  <c r="L29" i="174" s="1"/>
  <c r="M29" i="174" s="1"/>
  <c r="K31" i="175"/>
  <c r="L31" i="175" s="1"/>
  <c r="M31" i="175" s="1"/>
  <c r="K12" i="173"/>
  <c r="L12" i="173" s="1"/>
  <c r="M12" i="173" s="1"/>
  <c r="K16" i="173"/>
  <c r="L16" i="173" s="1"/>
  <c r="M16" i="173" s="1"/>
  <c r="K17" i="174"/>
  <c r="L17" i="174" s="1"/>
  <c r="M17" i="174" s="1"/>
  <c r="K26" i="174"/>
  <c r="L26" i="174" s="1"/>
  <c r="M26" i="174" s="1"/>
  <c r="K16" i="175"/>
  <c r="L16" i="175" s="1"/>
  <c r="M16" i="175" s="1"/>
  <c r="K23" i="175"/>
  <c r="L23" i="175" s="1"/>
  <c r="M23" i="175" s="1"/>
  <c r="K27" i="175"/>
  <c r="L27" i="175" s="1"/>
  <c r="M27" i="175" s="1"/>
  <c r="L34" i="175"/>
  <c r="M34" i="175" s="1"/>
  <c r="L32" i="175"/>
  <c r="M32" i="175" s="1"/>
  <c r="L19" i="175"/>
  <c r="M19" i="175" s="1"/>
  <c r="L26" i="175"/>
  <c r="M26" i="175" s="1"/>
  <c r="L17" i="175"/>
  <c r="M17" i="175" s="1"/>
  <c r="L29" i="175"/>
  <c r="M29" i="175" s="1"/>
  <c r="L30" i="175"/>
  <c r="M30" i="175" s="1"/>
  <c r="M15" i="175"/>
  <c r="L15" i="175"/>
  <c r="L24" i="175"/>
  <c r="M24" i="175" s="1"/>
  <c r="K4" i="175"/>
  <c r="F6" i="175"/>
  <c r="F36" i="175"/>
  <c r="K9" i="175"/>
  <c r="L20" i="175"/>
  <c r="M20" i="175" s="1"/>
  <c r="M28" i="175"/>
  <c r="L10" i="175"/>
  <c r="M10" i="175" s="1"/>
  <c r="L28" i="175"/>
  <c r="M39" i="175"/>
  <c r="M41" i="175" s="1"/>
  <c r="D36" i="175"/>
  <c r="L11" i="175"/>
  <c r="M11" i="175" s="1"/>
  <c r="K31" i="174"/>
  <c r="L31" i="174" s="1"/>
  <c r="M31" i="174" s="1"/>
  <c r="I6" i="173"/>
  <c r="K20" i="174"/>
  <c r="L20" i="174" s="1"/>
  <c r="M20" i="174" s="1"/>
  <c r="K14" i="173"/>
  <c r="L14" i="173" s="1"/>
  <c r="M14" i="173" s="1"/>
  <c r="K12" i="174"/>
  <c r="L12" i="174" s="1"/>
  <c r="M12" i="174" s="1"/>
  <c r="K16" i="174"/>
  <c r="L16" i="174" s="1"/>
  <c r="M16" i="174" s="1"/>
  <c r="K25" i="174"/>
  <c r="L25" i="174" s="1"/>
  <c r="M25" i="174" s="1"/>
  <c r="K13" i="174"/>
  <c r="L13" i="174" s="1"/>
  <c r="K24" i="173"/>
  <c r="L24" i="173" s="1"/>
  <c r="M24" i="173" s="1"/>
  <c r="K22" i="174"/>
  <c r="L22" i="174" s="1"/>
  <c r="M22" i="174" s="1"/>
  <c r="K29" i="173"/>
  <c r="L29" i="173" s="1"/>
  <c r="M29" i="173" s="1"/>
  <c r="K34" i="173"/>
  <c r="L34" i="173" s="1"/>
  <c r="M34" i="173" s="1"/>
  <c r="I36" i="174"/>
  <c r="L32" i="174"/>
  <c r="M32" i="174" s="1"/>
  <c r="L23" i="174"/>
  <c r="M23" i="174"/>
  <c r="L19" i="174"/>
  <c r="M19" i="174"/>
  <c r="L11" i="174"/>
  <c r="M11" i="174"/>
  <c r="L24" i="174"/>
  <c r="M24" i="174" s="1"/>
  <c r="L33" i="174"/>
  <c r="M33" i="174"/>
  <c r="L14" i="174"/>
  <c r="M14" i="174" s="1"/>
  <c r="L30" i="174"/>
  <c r="M30" i="174" s="1"/>
  <c r="L15" i="174"/>
  <c r="M15" i="174" s="1"/>
  <c r="L35" i="174"/>
  <c r="M35" i="174" s="1"/>
  <c r="K9" i="174"/>
  <c r="F36" i="174"/>
  <c r="F5" i="174"/>
  <c r="K5" i="174" s="1"/>
  <c r="M5" i="174" s="1"/>
  <c r="F10" i="174"/>
  <c r="K10" i="174" s="1"/>
  <c r="M39" i="174"/>
  <c r="M41" i="174" s="1"/>
  <c r="F4" i="174"/>
  <c r="M28" i="174"/>
  <c r="H36" i="173"/>
  <c r="I36" i="173"/>
  <c r="K19" i="173"/>
  <c r="L19" i="173" s="1"/>
  <c r="M19" i="173" s="1"/>
  <c r="K22" i="173"/>
  <c r="L22" i="173" s="1"/>
  <c r="M22" i="173" s="1"/>
  <c r="K26" i="173"/>
  <c r="L26" i="173" s="1"/>
  <c r="M26" i="173" s="1"/>
  <c r="G36" i="173"/>
  <c r="K42" i="173"/>
  <c r="M39" i="173"/>
  <c r="M42" i="173" s="1"/>
  <c r="K17" i="173"/>
  <c r="L17" i="173" s="1"/>
  <c r="K20" i="173"/>
  <c r="L20" i="173" s="1"/>
  <c r="M20" i="173" s="1"/>
  <c r="L28" i="173"/>
  <c r="M28" i="173" s="1"/>
  <c r="L9" i="173"/>
  <c r="M9" i="173" s="1"/>
  <c r="L21" i="173"/>
  <c r="M21" i="173" s="1"/>
  <c r="L10" i="173"/>
  <c r="M10" i="173" s="1"/>
  <c r="L30" i="173"/>
  <c r="M30" i="173" s="1"/>
  <c r="L35" i="173"/>
  <c r="M35" i="173" s="1"/>
  <c r="L31" i="173"/>
  <c r="M31" i="173" s="1"/>
  <c r="L15" i="173"/>
  <c r="M15" i="173"/>
  <c r="L23" i="173"/>
  <c r="M23" i="173" s="1"/>
  <c r="L32" i="173"/>
  <c r="M32" i="173" s="1"/>
  <c r="L27" i="173"/>
  <c r="M27" i="173" s="1"/>
  <c r="K4" i="173"/>
  <c r="F36" i="173"/>
  <c r="K13" i="173"/>
  <c r="F5" i="173"/>
  <c r="K5" i="173" s="1"/>
  <c r="M5" i="173" s="1"/>
  <c r="D36" i="173"/>
  <c r="M18" i="174" l="1"/>
  <c r="L34" i="174"/>
  <c r="M34" i="174" s="1"/>
  <c r="K36" i="175"/>
  <c r="L9" i="175"/>
  <c r="L36" i="175" s="1"/>
  <c r="P57" i="175" s="1"/>
  <c r="P73" i="175" s="1"/>
  <c r="K6" i="175"/>
  <c r="P75" i="175" s="1"/>
  <c r="M4" i="175"/>
  <c r="M6" i="175" s="1"/>
  <c r="M13" i="174"/>
  <c r="F6" i="174"/>
  <c r="K4" i="174"/>
  <c r="L10" i="174"/>
  <c r="M10" i="174" s="1"/>
  <c r="L9" i="174"/>
  <c r="L36" i="174" s="1"/>
  <c r="P56" i="174" s="1"/>
  <c r="P72" i="174" s="1"/>
  <c r="K36" i="174"/>
  <c r="M17" i="173"/>
  <c r="K6" i="173"/>
  <c r="M4" i="173"/>
  <c r="M6" i="173" s="1"/>
  <c r="L13" i="173"/>
  <c r="L36" i="173" s="1"/>
  <c r="P56" i="173" s="1"/>
  <c r="P72" i="173" s="1"/>
  <c r="K36" i="173"/>
  <c r="F6" i="173"/>
  <c r="P77" i="175" l="1"/>
  <c r="M9" i="174"/>
  <c r="M36" i="174" s="1"/>
  <c r="M9" i="175"/>
  <c r="M36" i="175" s="1"/>
  <c r="M4" i="174"/>
  <c r="M6" i="174" s="1"/>
  <c r="K6" i="174"/>
  <c r="P74" i="174" s="1"/>
  <c r="P76" i="174" s="1"/>
  <c r="M13" i="173"/>
  <c r="M36" i="173" s="1"/>
  <c r="P74" i="173"/>
  <c r="P76" i="173" s="1"/>
  <c r="K51" i="172" l="1"/>
  <c r="D51" i="172"/>
  <c r="K49" i="172"/>
  <c r="D49" i="172"/>
  <c r="K48" i="172"/>
  <c r="D48" i="172"/>
  <c r="K47" i="172"/>
  <c r="D47" i="172"/>
  <c r="K43" i="172"/>
  <c r="L42" i="172"/>
  <c r="M42" i="172" s="1"/>
  <c r="D42" i="172"/>
  <c r="L41" i="172"/>
  <c r="M41" i="172" s="1"/>
  <c r="L40" i="172"/>
  <c r="D40" i="172"/>
  <c r="L39" i="172"/>
  <c r="M39" i="172" s="1"/>
  <c r="J36" i="172"/>
  <c r="E36" i="172"/>
  <c r="I35" i="172"/>
  <c r="H35" i="172"/>
  <c r="F35" i="172"/>
  <c r="I34" i="172"/>
  <c r="H34" i="172"/>
  <c r="F34" i="172"/>
  <c r="I33" i="172"/>
  <c r="H33" i="172"/>
  <c r="G33" i="172"/>
  <c r="D33" i="172"/>
  <c r="F33" i="172" s="1"/>
  <c r="I32" i="172"/>
  <c r="H32" i="172"/>
  <c r="G32" i="172"/>
  <c r="D32" i="172"/>
  <c r="F32" i="172" s="1"/>
  <c r="I31" i="172"/>
  <c r="H31" i="172"/>
  <c r="G31" i="172"/>
  <c r="D31" i="172"/>
  <c r="F31" i="172" s="1"/>
  <c r="I30" i="172"/>
  <c r="H30" i="172"/>
  <c r="F30" i="172"/>
  <c r="I29" i="172"/>
  <c r="H29" i="172"/>
  <c r="D29" i="172"/>
  <c r="F29" i="172" s="1"/>
  <c r="F28" i="172"/>
  <c r="K28" i="172" s="1"/>
  <c r="I27" i="172"/>
  <c r="H27" i="172"/>
  <c r="D27" i="172"/>
  <c r="F27" i="172" s="1"/>
  <c r="I26" i="172"/>
  <c r="H26" i="172"/>
  <c r="D26" i="172"/>
  <c r="F26" i="172" s="1"/>
  <c r="I25" i="172"/>
  <c r="H25" i="172"/>
  <c r="D25" i="172"/>
  <c r="F25" i="172" s="1"/>
  <c r="F24" i="172"/>
  <c r="K24" i="172" s="1"/>
  <c r="I23" i="172"/>
  <c r="H23" i="172"/>
  <c r="F23" i="172"/>
  <c r="I22" i="172"/>
  <c r="H22" i="172"/>
  <c r="F22" i="172"/>
  <c r="K22" i="172" s="1"/>
  <c r="I21" i="172"/>
  <c r="H21" i="172"/>
  <c r="F21" i="172"/>
  <c r="I20" i="172"/>
  <c r="H20" i="172"/>
  <c r="D20" i="172"/>
  <c r="F20" i="172" s="1"/>
  <c r="K20" i="172" s="1"/>
  <c r="I19" i="172"/>
  <c r="H19" i="172"/>
  <c r="D19" i="172"/>
  <c r="F19" i="172" s="1"/>
  <c r="I18" i="172"/>
  <c r="H18" i="172"/>
  <c r="D18" i="172"/>
  <c r="F18" i="172" s="1"/>
  <c r="K18" i="172" s="1"/>
  <c r="I17" i="172"/>
  <c r="H17" i="172"/>
  <c r="D17" i="172"/>
  <c r="F17" i="172" s="1"/>
  <c r="I16" i="172"/>
  <c r="H16" i="172"/>
  <c r="D16" i="172"/>
  <c r="F16" i="172" s="1"/>
  <c r="K16" i="172" s="1"/>
  <c r="F15" i="172"/>
  <c r="K15" i="172" s="1"/>
  <c r="I14" i="172"/>
  <c r="H14" i="172"/>
  <c r="D14" i="172"/>
  <c r="F14" i="172" s="1"/>
  <c r="I13" i="172"/>
  <c r="H13" i="172"/>
  <c r="G13" i="172"/>
  <c r="D13" i="172"/>
  <c r="F13" i="172" s="1"/>
  <c r="I12" i="172"/>
  <c r="H12" i="172"/>
  <c r="G12" i="172"/>
  <c r="D12" i="172"/>
  <c r="F12" i="172" s="1"/>
  <c r="F11" i="172"/>
  <c r="K11" i="172" s="1"/>
  <c r="I10" i="172"/>
  <c r="H10" i="172"/>
  <c r="D10" i="172"/>
  <c r="F10" i="172" s="1"/>
  <c r="I9" i="172"/>
  <c r="H9" i="172"/>
  <c r="D9" i="172"/>
  <c r="J6" i="172"/>
  <c r="I6" i="172"/>
  <c r="H6" i="172"/>
  <c r="G6" i="172"/>
  <c r="E6" i="172"/>
  <c r="D6" i="172"/>
  <c r="L5" i="172"/>
  <c r="F5" i="172"/>
  <c r="L4" i="172"/>
  <c r="L6" i="172" s="1"/>
  <c r="P58" i="172" s="1"/>
  <c r="F4" i="172"/>
  <c r="K4" i="172" s="1"/>
  <c r="K51" i="171"/>
  <c r="D51" i="171"/>
  <c r="K49" i="171"/>
  <c r="D49" i="171"/>
  <c r="K48" i="171"/>
  <c r="D48" i="171"/>
  <c r="K47" i="171"/>
  <c r="D47" i="171"/>
  <c r="K43" i="171"/>
  <c r="L40" i="171"/>
  <c r="L43" i="171" s="1"/>
  <c r="J37" i="171"/>
  <c r="E37" i="171"/>
  <c r="I36" i="171"/>
  <c r="H36" i="171"/>
  <c r="D36" i="171"/>
  <c r="F36" i="171" s="1"/>
  <c r="I35" i="171"/>
  <c r="H35" i="171"/>
  <c r="D35" i="171"/>
  <c r="F35" i="171" s="1"/>
  <c r="F34" i="171"/>
  <c r="K34" i="171" s="1"/>
  <c r="F33" i="171"/>
  <c r="K33" i="171" s="1"/>
  <c r="I32" i="171"/>
  <c r="H32" i="171"/>
  <c r="D32" i="171"/>
  <c r="F32" i="171" s="1"/>
  <c r="I31" i="171"/>
  <c r="H31" i="171"/>
  <c r="F31" i="171"/>
  <c r="I30" i="171"/>
  <c r="H30" i="171"/>
  <c r="D30" i="171"/>
  <c r="F30" i="171" s="1"/>
  <c r="F29" i="171"/>
  <c r="K29" i="171" s="1"/>
  <c r="I28" i="171"/>
  <c r="H28" i="171"/>
  <c r="D28" i="171"/>
  <c r="F28" i="171" s="1"/>
  <c r="I27" i="171"/>
  <c r="H27" i="171"/>
  <c r="D27" i="171"/>
  <c r="F27" i="171" s="1"/>
  <c r="K27" i="171" s="1"/>
  <c r="I26" i="171"/>
  <c r="H26" i="171"/>
  <c r="D26" i="171"/>
  <c r="F26" i="171" s="1"/>
  <c r="I25" i="171"/>
  <c r="H25" i="171"/>
  <c r="D25" i="171"/>
  <c r="F25" i="171" s="1"/>
  <c r="I24" i="171"/>
  <c r="H24" i="171"/>
  <c r="D24" i="171"/>
  <c r="F24" i="171" s="1"/>
  <c r="I23" i="171"/>
  <c r="H23" i="171"/>
  <c r="G23" i="171"/>
  <c r="D23" i="171"/>
  <c r="F23" i="171" s="1"/>
  <c r="I22" i="171"/>
  <c r="H22" i="171"/>
  <c r="D22" i="171"/>
  <c r="F22" i="171" s="1"/>
  <c r="I21" i="171"/>
  <c r="H21" i="171"/>
  <c r="D21" i="171"/>
  <c r="F21" i="171" s="1"/>
  <c r="K21" i="171" s="1"/>
  <c r="I20" i="171"/>
  <c r="H20" i="171"/>
  <c r="D20" i="171"/>
  <c r="F20" i="171" s="1"/>
  <c r="I19" i="171"/>
  <c r="H19" i="171"/>
  <c r="D19" i="171"/>
  <c r="F19" i="171" s="1"/>
  <c r="I18" i="171"/>
  <c r="H18" i="171"/>
  <c r="D18" i="171"/>
  <c r="F18" i="171" s="1"/>
  <c r="I17" i="171"/>
  <c r="H17" i="171"/>
  <c r="D17" i="171"/>
  <c r="F17" i="171" s="1"/>
  <c r="K17" i="171" s="1"/>
  <c r="F16" i="171"/>
  <c r="K16" i="171" s="1"/>
  <c r="I15" i="171"/>
  <c r="H15" i="171"/>
  <c r="D15" i="171"/>
  <c r="F15" i="171" s="1"/>
  <c r="I14" i="171"/>
  <c r="H14" i="171"/>
  <c r="G14" i="171"/>
  <c r="D14" i="171"/>
  <c r="F14" i="171" s="1"/>
  <c r="F13" i="171"/>
  <c r="K13" i="171" s="1"/>
  <c r="I12" i="171"/>
  <c r="H12" i="171"/>
  <c r="D12" i="171"/>
  <c r="F12" i="171" s="1"/>
  <c r="K12" i="171" s="1"/>
  <c r="I11" i="171"/>
  <c r="H11" i="171"/>
  <c r="D11" i="171"/>
  <c r="F11" i="171" s="1"/>
  <c r="I10" i="171"/>
  <c r="H10" i="171"/>
  <c r="D10" i="171"/>
  <c r="J7" i="171"/>
  <c r="E7" i="171"/>
  <c r="L6" i="171"/>
  <c r="F6" i="171"/>
  <c r="K6" i="171" s="1"/>
  <c r="M6" i="171" s="1"/>
  <c r="I5" i="171"/>
  <c r="H5" i="171"/>
  <c r="D5" i="171"/>
  <c r="L5" i="171" s="1"/>
  <c r="I4" i="171"/>
  <c r="H4" i="171"/>
  <c r="G4" i="171"/>
  <c r="G7" i="171" s="1"/>
  <c r="D4" i="171"/>
  <c r="F4" i="171" s="1"/>
  <c r="K20" i="171" l="1"/>
  <c r="K32" i="172"/>
  <c r="K11" i="171"/>
  <c r="K12" i="172"/>
  <c r="L12" i="172" s="1"/>
  <c r="M12" i="172" s="1"/>
  <c r="K25" i="171"/>
  <c r="L25" i="171" s="1"/>
  <c r="M25" i="171" s="1"/>
  <c r="K35" i="171"/>
  <c r="K15" i="171"/>
  <c r="L15" i="171" s="1"/>
  <c r="M15" i="171" s="1"/>
  <c r="K32" i="171"/>
  <c r="L32" i="171" s="1"/>
  <c r="M32" i="171" s="1"/>
  <c r="K27" i="172"/>
  <c r="G36" i="172"/>
  <c r="F6" i="172"/>
  <c r="K10" i="172"/>
  <c r="L10" i="172" s="1"/>
  <c r="M10" i="172" s="1"/>
  <c r="K14" i="172"/>
  <c r="L14" i="172" s="1"/>
  <c r="M14" i="172" s="1"/>
  <c r="K29" i="172"/>
  <c r="L29" i="172" s="1"/>
  <c r="M29" i="172" s="1"/>
  <c r="H7" i="171"/>
  <c r="K54" i="172"/>
  <c r="K30" i="171"/>
  <c r="L30" i="171" s="1"/>
  <c r="M30" i="171" s="1"/>
  <c r="K54" i="171"/>
  <c r="K25" i="172"/>
  <c r="L25" i="172" s="1"/>
  <c r="M25" i="172" s="1"/>
  <c r="K18" i="171"/>
  <c r="L18" i="171" s="1"/>
  <c r="M18" i="171" s="1"/>
  <c r="K22" i="171"/>
  <c r="L22" i="171" s="1"/>
  <c r="M22" i="171" s="1"/>
  <c r="K30" i="172"/>
  <c r="L30" i="172" s="1"/>
  <c r="M30" i="172" s="1"/>
  <c r="K33" i="172"/>
  <c r="L33" i="172" s="1"/>
  <c r="M33" i="172" s="1"/>
  <c r="H37" i="171"/>
  <c r="L4" i="171"/>
  <c r="L7" i="171" s="1"/>
  <c r="P58" i="171" s="1"/>
  <c r="H36" i="172"/>
  <c r="K26" i="171"/>
  <c r="L26" i="171" s="1"/>
  <c r="M26" i="171" s="1"/>
  <c r="K36" i="171"/>
  <c r="L36" i="171" s="1"/>
  <c r="M36" i="171" s="1"/>
  <c r="K17" i="172"/>
  <c r="L17" i="172" s="1"/>
  <c r="M17" i="172" s="1"/>
  <c r="G37" i="171"/>
  <c r="K13" i="172"/>
  <c r="L13" i="172" s="1"/>
  <c r="M13" i="172" s="1"/>
  <c r="K26" i="172"/>
  <c r="L43" i="172"/>
  <c r="K21" i="172"/>
  <c r="L21" i="172" s="1"/>
  <c r="M21" i="172" s="1"/>
  <c r="K31" i="172"/>
  <c r="L31" i="172" s="1"/>
  <c r="M31" i="172" s="1"/>
  <c r="D36" i="172"/>
  <c r="K34" i="172"/>
  <c r="L34" i="172" s="1"/>
  <c r="M34" i="172" s="1"/>
  <c r="K24" i="171"/>
  <c r="L24" i="171" s="1"/>
  <c r="M24" i="171" s="1"/>
  <c r="K28" i="171"/>
  <c r="L28" i="171" s="1"/>
  <c r="M28" i="171" s="1"/>
  <c r="K19" i="172"/>
  <c r="L19" i="172" s="1"/>
  <c r="M19" i="172" s="1"/>
  <c r="I36" i="172"/>
  <c r="K23" i="172"/>
  <c r="K35" i="172"/>
  <c r="L35" i="172" s="1"/>
  <c r="M35" i="172" s="1"/>
  <c r="M4" i="172"/>
  <c r="L22" i="172"/>
  <c r="M22" i="172" s="1"/>
  <c r="L27" i="172"/>
  <c r="M27" i="172" s="1"/>
  <c r="L11" i="172"/>
  <c r="M11" i="172" s="1"/>
  <c r="L15" i="172"/>
  <c r="M15" i="172" s="1"/>
  <c r="L28" i="172"/>
  <c r="M28" i="172" s="1"/>
  <c r="L32" i="172"/>
  <c r="M32" i="172" s="1"/>
  <c r="L16" i="172"/>
  <c r="M16" i="172" s="1"/>
  <c r="L20" i="172"/>
  <c r="M20" i="172" s="1"/>
  <c r="L24" i="172"/>
  <c r="M24" i="172" s="1"/>
  <c r="L18" i="172"/>
  <c r="M18" i="172" s="1"/>
  <c r="L26" i="172"/>
  <c r="M26" i="172" s="1"/>
  <c r="F9" i="172"/>
  <c r="M40" i="172"/>
  <c r="M43" i="172" s="1"/>
  <c r="K5" i="172"/>
  <c r="M5" i="172" s="1"/>
  <c r="I37" i="171"/>
  <c r="I7" i="171"/>
  <c r="D7" i="171"/>
  <c r="K31" i="171"/>
  <c r="L31" i="171" s="1"/>
  <c r="M31" i="171" s="1"/>
  <c r="K14" i="171"/>
  <c r="L14" i="171" s="1"/>
  <c r="M14" i="171" s="1"/>
  <c r="D37" i="171"/>
  <c r="K19" i="171"/>
  <c r="L19" i="171" s="1"/>
  <c r="M19" i="171" s="1"/>
  <c r="K23" i="171"/>
  <c r="L23" i="171" s="1"/>
  <c r="M23" i="171" s="1"/>
  <c r="L11" i="171"/>
  <c r="M11" i="171" s="1"/>
  <c r="L20" i="171"/>
  <c r="M20" i="171" s="1"/>
  <c r="L16" i="171"/>
  <c r="M16" i="171" s="1"/>
  <c r="L33" i="171"/>
  <c r="M33" i="171"/>
  <c r="L12" i="171"/>
  <c r="M12" i="171" s="1"/>
  <c r="L17" i="171"/>
  <c r="M17" i="171" s="1"/>
  <c r="L21" i="171"/>
  <c r="M21" i="171" s="1"/>
  <c r="L34" i="171"/>
  <c r="M34" i="171" s="1"/>
  <c r="L29" i="171"/>
  <c r="M29" i="171" s="1"/>
  <c r="L35" i="171"/>
  <c r="M35" i="171" s="1"/>
  <c r="L13" i="171"/>
  <c r="M13" i="171"/>
  <c r="K4" i="171"/>
  <c r="L27" i="171"/>
  <c r="M27" i="171" s="1"/>
  <c r="F10" i="171"/>
  <c r="M40" i="171"/>
  <c r="M43" i="171" s="1"/>
  <c r="F5" i="171"/>
  <c r="K5" i="171" s="1"/>
  <c r="M5" i="171" s="1"/>
  <c r="L23" i="172" l="1"/>
  <c r="M23" i="172" s="1"/>
  <c r="F36" i="172"/>
  <c r="K9" i="172"/>
  <c r="M6" i="172"/>
  <c r="K6" i="172"/>
  <c r="F7" i="171"/>
  <c r="K7" i="171"/>
  <c r="M4" i="171"/>
  <c r="M7" i="171" s="1"/>
  <c r="K10" i="171"/>
  <c r="F37" i="171"/>
  <c r="K36" i="172" l="1"/>
  <c r="P75" i="172" s="1"/>
  <c r="L9" i="172"/>
  <c r="L36" i="172" s="1"/>
  <c r="P57" i="172" s="1"/>
  <c r="P73" i="172" s="1"/>
  <c r="K37" i="171"/>
  <c r="P71" i="171" s="1"/>
  <c r="L10" i="171"/>
  <c r="L37" i="171" s="1"/>
  <c r="P57" i="171" s="1"/>
  <c r="P69" i="171" s="1"/>
  <c r="P73" i="171" l="1"/>
  <c r="P77" i="172"/>
  <c r="M9" i="172"/>
  <c r="M36" i="172" s="1"/>
  <c r="M10" i="171"/>
  <c r="M37" i="171" s="1"/>
  <c r="K50" i="170" l="1"/>
  <c r="D50" i="170"/>
  <c r="K48" i="170"/>
  <c r="D48" i="170"/>
  <c r="K47" i="170"/>
  <c r="D47" i="170"/>
  <c r="K43" i="170"/>
  <c r="L40" i="170"/>
  <c r="L43" i="170" s="1"/>
  <c r="J37" i="170"/>
  <c r="G37" i="170"/>
  <c r="E37" i="170"/>
  <c r="I36" i="170"/>
  <c r="H36" i="170"/>
  <c r="D36" i="170"/>
  <c r="F36" i="170" s="1"/>
  <c r="I35" i="170"/>
  <c r="H35" i="170"/>
  <c r="D35" i="170"/>
  <c r="F35" i="170" s="1"/>
  <c r="I34" i="170"/>
  <c r="H34" i="170"/>
  <c r="D34" i="170"/>
  <c r="F34" i="170" s="1"/>
  <c r="F33" i="170"/>
  <c r="K33" i="170" s="1"/>
  <c r="I32" i="170"/>
  <c r="H32" i="170"/>
  <c r="D32" i="170"/>
  <c r="F32" i="170" s="1"/>
  <c r="K32" i="170" s="1"/>
  <c r="I31" i="170"/>
  <c r="H31" i="170"/>
  <c r="D31" i="170"/>
  <c r="F31" i="170" s="1"/>
  <c r="I30" i="170"/>
  <c r="H30" i="170"/>
  <c r="D30" i="170"/>
  <c r="F30" i="170" s="1"/>
  <c r="F29" i="170"/>
  <c r="K29" i="170" s="1"/>
  <c r="I28" i="170"/>
  <c r="H28" i="170"/>
  <c r="D28" i="170"/>
  <c r="F28" i="170" s="1"/>
  <c r="I27" i="170"/>
  <c r="H27" i="170"/>
  <c r="D27" i="170"/>
  <c r="F27" i="170" s="1"/>
  <c r="I26" i="170"/>
  <c r="H26" i="170"/>
  <c r="D26" i="170"/>
  <c r="F26" i="170" s="1"/>
  <c r="I25" i="170"/>
  <c r="H25" i="170"/>
  <c r="D25" i="170"/>
  <c r="F25" i="170" s="1"/>
  <c r="I24" i="170"/>
  <c r="H24" i="170"/>
  <c r="D24" i="170"/>
  <c r="F24" i="170" s="1"/>
  <c r="I23" i="170"/>
  <c r="H23" i="170"/>
  <c r="G23" i="170"/>
  <c r="D23" i="170"/>
  <c r="F23" i="170" s="1"/>
  <c r="I22" i="170"/>
  <c r="H22" i="170"/>
  <c r="D22" i="170"/>
  <c r="F22" i="170" s="1"/>
  <c r="I21" i="170"/>
  <c r="H21" i="170"/>
  <c r="D21" i="170"/>
  <c r="F21" i="170" s="1"/>
  <c r="I20" i="170"/>
  <c r="H20" i="170"/>
  <c r="D20" i="170"/>
  <c r="F20" i="170" s="1"/>
  <c r="K20" i="170" s="1"/>
  <c r="I19" i="170"/>
  <c r="H19" i="170"/>
  <c r="D19" i="170"/>
  <c r="F19" i="170" s="1"/>
  <c r="I18" i="170"/>
  <c r="H18" i="170"/>
  <c r="D18" i="170"/>
  <c r="F18" i="170" s="1"/>
  <c r="I17" i="170"/>
  <c r="H17" i="170"/>
  <c r="D17" i="170"/>
  <c r="F17" i="170" s="1"/>
  <c r="K17" i="170" s="1"/>
  <c r="I16" i="170"/>
  <c r="H16" i="170"/>
  <c r="D16" i="170"/>
  <c r="F16" i="170" s="1"/>
  <c r="K16" i="170" s="1"/>
  <c r="I15" i="170"/>
  <c r="H15" i="170"/>
  <c r="D15" i="170"/>
  <c r="F15" i="170" s="1"/>
  <c r="I14" i="170"/>
  <c r="H14" i="170"/>
  <c r="G14" i="170"/>
  <c r="D14" i="170"/>
  <c r="F14" i="170" s="1"/>
  <c r="I13" i="170"/>
  <c r="H13" i="170"/>
  <c r="G13" i="170"/>
  <c r="D13" i="170"/>
  <c r="F13" i="170" s="1"/>
  <c r="F12" i="170"/>
  <c r="K12" i="170" s="1"/>
  <c r="I11" i="170"/>
  <c r="H11" i="170"/>
  <c r="D11" i="170"/>
  <c r="F11" i="170" s="1"/>
  <c r="I10" i="170"/>
  <c r="H10" i="170"/>
  <c r="D10" i="170"/>
  <c r="J7" i="170"/>
  <c r="I7" i="170"/>
  <c r="H7" i="170"/>
  <c r="G7" i="170"/>
  <c r="E7" i="170"/>
  <c r="D7" i="170"/>
  <c r="L6" i="170"/>
  <c r="F6" i="170"/>
  <c r="K6" i="170" s="1"/>
  <c r="L5" i="170"/>
  <c r="F5" i="170"/>
  <c r="K5" i="170" s="1"/>
  <c r="M5" i="170" s="1"/>
  <c r="L4" i="170"/>
  <c r="F4" i="170"/>
  <c r="K52" i="169"/>
  <c r="D52" i="169"/>
  <c r="K50" i="169"/>
  <c r="K55" i="169" s="1"/>
  <c r="D50" i="169"/>
  <c r="K46" i="169"/>
  <c r="M45" i="169"/>
  <c r="L45" i="169"/>
  <c r="D45" i="169"/>
  <c r="L44" i="169"/>
  <c r="M44" i="169" s="1"/>
  <c r="D44" i="169"/>
  <c r="L43" i="169"/>
  <c r="M43" i="169" s="1"/>
  <c r="D43" i="169"/>
  <c r="L42" i="169"/>
  <c r="M42" i="169" s="1"/>
  <c r="D42" i="169"/>
  <c r="L41" i="169"/>
  <c r="M41" i="169" s="1"/>
  <c r="L40" i="169"/>
  <c r="M40" i="169" s="1"/>
  <c r="J37" i="169"/>
  <c r="E37" i="169"/>
  <c r="I36" i="169"/>
  <c r="H36" i="169"/>
  <c r="D36" i="169"/>
  <c r="F36" i="169" s="1"/>
  <c r="I35" i="169"/>
  <c r="H35" i="169"/>
  <c r="D35" i="169"/>
  <c r="F35" i="169" s="1"/>
  <c r="I34" i="169"/>
  <c r="H34" i="169"/>
  <c r="D34" i="169"/>
  <c r="F34" i="169" s="1"/>
  <c r="K34" i="169" s="1"/>
  <c r="F33" i="169"/>
  <c r="K33" i="169" s="1"/>
  <c r="I32" i="169"/>
  <c r="H32" i="169"/>
  <c r="D32" i="169"/>
  <c r="F32" i="169" s="1"/>
  <c r="K32" i="169" s="1"/>
  <c r="I31" i="169"/>
  <c r="H31" i="169"/>
  <c r="D31" i="169"/>
  <c r="F31" i="169" s="1"/>
  <c r="I30" i="169"/>
  <c r="H30" i="169"/>
  <c r="D30" i="169"/>
  <c r="F30" i="169" s="1"/>
  <c r="I29" i="169"/>
  <c r="H29" i="169"/>
  <c r="G29" i="169"/>
  <c r="D29" i="169"/>
  <c r="F29" i="169" s="1"/>
  <c r="I28" i="169"/>
  <c r="H28" i="169"/>
  <c r="D28" i="169"/>
  <c r="F28" i="169" s="1"/>
  <c r="I27" i="169"/>
  <c r="H27" i="169"/>
  <c r="D27" i="169"/>
  <c r="F27" i="169" s="1"/>
  <c r="I26" i="169"/>
  <c r="H26" i="169"/>
  <c r="D26" i="169"/>
  <c r="F26" i="169" s="1"/>
  <c r="I25" i="169"/>
  <c r="H25" i="169"/>
  <c r="H37" i="169" s="1"/>
  <c r="D25" i="169"/>
  <c r="F25" i="169" s="1"/>
  <c r="I24" i="169"/>
  <c r="H24" i="169"/>
  <c r="D24" i="169"/>
  <c r="F24" i="169" s="1"/>
  <c r="I23" i="169"/>
  <c r="H23" i="169"/>
  <c r="G23" i="169"/>
  <c r="D23" i="169"/>
  <c r="F23" i="169" s="1"/>
  <c r="K23" i="169" s="1"/>
  <c r="I22" i="169"/>
  <c r="H22" i="169"/>
  <c r="D22" i="169"/>
  <c r="F22" i="169" s="1"/>
  <c r="K22" i="169" s="1"/>
  <c r="I21" i="169"/>
  <c r="H21" i="169"/>
  <c r="D21" i="169"/>
  <c r="F21" i="169" s="1"/>
  <c r="I20" i="169"/>
  <c r="H20" i="169"/>
  <c r="D20" i="169"/>
  <c r="F20" i="169" s="1"/>
  <c r="I19" i="169"/>
  <c r="H19" i="169"/>
  <c r="D19" i="169"/>
  <c r="F19" i="169" s="1"/>
  <c r="I18" i="169"/>
  <c r="H18" i="169"/>
  <c r="D18" i="169"/>
  <c r="F18" i="169" s="1"/>
  <c r="K18" i="169" s="1"/>
  <c r="I17" i="169"/>
  <c r="H17" i="169"/>
  <c r="D17" i="169"/>
  <c r="F17" i="169" s="1"/>
  <c r="I16" i="169"/>
  <c r="H16" i="169"/>
  <c r="G16" i="169"/>
  <c r="D16" i="169"/>
  <c r="F16" i="169" s="1"/>
  <c r="I15" i="169"/>
  <c r="H15" i="169"/>
  <c r="D15" i="169"/>
  <c r="F15" i="169" s="1"/>
  <c r="I14" i="169"/>
  <c r="H14" i="169"/>
  <c r="G14" i="169"/>
  <c r="G37" i="169" s="1"/>
  <c r="D14" i="169"/>
  <c r="F14" i="169" s="1"/>
  <c r="F13" i="169"/>
  <c r="K13" i="169" s="1"/>
  <c r="I12" i="169"/>
  <c r="H12" i="169"/>
  <c r="D12" i="169"/>
  <c r="F12" i="169" s="1"/>
  <c r="I11" i="169"/>
  <c r="H11" i="169"/>
  <c r="D11" i="169"/>
  <c r="F11" i="169" s="1"/>
  <c r="I10" i="169"/>
  <c r="H10" i="169"/>
  <c r="D10" i="169"/>
  <c r="J7" i="169"/>
  <c r="I7" i="169"/>
  <c r="H7" i="169"/>
  <c r="G7" i="169"/>
  <c r="E7" i="169"/>
  <c r="D7" i="169"/>
  <c r="L6" i="169"/>
  <c r="F6" i="169"/>
  <c r="K6" i="169" s="1"/>
  <c r="M6" i="169" s="1"/>
  <c r="L5" i="169"/>
  <c r="L7" i="169" s="1"/>
  <c r="P59" i="169" s="1"/>
  <c r="F5" i="169"/>
  <c r="K5" i="169" s="1"/>
  <c r="L4" i="169"/>
  <c r="F4" i="169"/>
  <c r="K27" i="169" l="1"/>
  <c r="L27" i="169" s="1"/>
  <c r="M27" i="169" s="1"/>
  <c r="K31" i="170"/>
  <c r="K30" i="170"/>
  <c r="K11" i="169"/>
  <c r="L11" i="169" s="1"/>
  <c r="M11" i="169" s="1"/>
  <c r="K19" i="169"/>
  <c r="L19" i="169" s="1"/>
  <c r="K35" i="169"/>
  <c r="K26" i="169"/>
  <c r="L26" i="169" s="1"/>
  <c r="M26" i="169" s="1"/>
  <c r="K13" i="170"/>
  <c r="L13" i="170" s="1"/>
  <c r="M13" i="170" s="1"/>
  <c r="K28" i="170"/>
  <c r="L28" i="170" s="1"/>
  <c r="M28" i="170" s="1"/>
  <c r="L46" i="169"/>
  <c r="H37" i="170"/>
  <c r="K24" i="170"/>
  <c r="M5" i="169"/>
  <c r="K15" i="169"/>
  <c r="L15" i="169" s="1"/>
  <c r="M15" i="169" s="1"/>
  <c r="F7" i="170"/>
  <c r="K35" i="170"/>
  <c r="L35" i="170" s="1"/>
  <c r="M35" i="170" s="1"/>
  <c r="K53" i="170"/>
  <c r="L7" i="170"/>
  <c r="P57" i="170" s="1"/>
  <c r="M6" i="170"/>
  <c r="K22" i="170"/>
  <c r="L22" i="170" s="1"/>
  <c r="M22" i="170" s="1"/>
  <c r="K21" i="169"/>
  <c r="L21" i="169" s="1"/>
  <c r="M21" i="169" s="1"/>
  <c r="K11" i="170"/>
  <c r="L11" i="170" s="1"/>
  <c r="M11" i="170" s="1"/>
  <c r="K15" i="170"/>
  <c r="L15" i="170" s="1"/>
  <c r="M15" i="170" s="1"/>
  <c r="K19" i="170"/>
  <c r="L19" i="170" s="1"/>
  <c r="M19" i="170" s="1"/>
  <c r="K23" i="170"/>
  <c r="L23" i="170" s="1"/>
  <c r="M23" i="170" s="1"/>
  <c r="K36" i="170"/>
  <c r="L36" i="170" s="1"/>
  <c r="M36" i="170" s="1"/>
  <c r="K25" i="169"/>
  <c r="L25" i="169" s="1"/>
  <c r="M25" i="169" s="1"/>
  <c r="K29" i="169"/>
  <c r="L29" i="169" s="1"/>
  <c r="K27" i="170"/>
  <c r="L27" i="170" s="1"/>
  <c r="M27" i="170" s="1"/>
  <c r="I37" i="170"/>
  <c r="K16" i="169"/>
  <c r="L16" i="169" s="1"/>
  <c r="M16" i="169" s="1"/>
  <c r="K14" i="170"/>
  <c r="L14" i="170" s="1"/>
  <c r="M14" i="170" s="1"/>
  <c r="K26" i="170"/>
  <c r="L26" i="170" s="1"/>
  <c r="M26" i="170" s="1"/>
  <c r="K36" i="169"/>
  <c r="L36" i="169" s="1"/>
  <c r="M36" i="169" s="1"/>
  <c r="D37" i="170"/>
  <c r="K21" i="170"/>
  <c r="L21" i="170" s="1"/>
  <c r="M21" i="170" s="1"/>
  <c r="K25" i="170"/>
  <c r="L25" i="170" s="1"/>
  <c r="M25" i="170" s="1"/>
  <c r="K12" i="169"/>
  <c r="L12" i="169" s="1"/>
  <c r="K28" i="169"/>
  <c r="L28" i="169" s="1"/>
  <c r="M28" i="169" s="1"/>
  <c r="K18" i="170"/>
  <c r="L18" i="170" s="1"/>
  <c r="M18" i="170" s="1"/>
  <c r="K34" i="170"/>
  <c r="L34" i="170" s="1"/>
  <c r="L32" i="170"/>
  <c r="M32" i="170" s="1"/>
  <c r="L17" i="170"/>
  <c r="M17" i="170" s="1"/>
  <c r="L33" i="170"/>
  <c r="M33" i="170" s="1"/>
  <c r="L29" i="170"/>
  <c r="M29" i="170" s="1"/>
  <c r="L30" i="170"/>
  <c r="M30" i="170" s="1"/>
  <c r="L12" i="170"/>
  <c r="M12" i="170" s="1"/>
  <c r="L31" i="170"/>
  <c r="M31" i="170" s="1"/>
  <c r="L16" i="170"/>
  <c r="M16" i="170" s="1"/>
  <c r="L20" i="170"/>
  <c r="M20" i="170" s="1"/>
  <c r="F10" i="170"/>
  <c r="M40" i="170"/>
  <c r="M43" i="170" s="1"/>
  <c r="K4" i="170"/>
  <c r="M19" i="169"/>
  <c r="K20" i="169"/>
  <c r="L20" i="169" s="1"/>
  <c r="M20" i="169" s="1"/>
  <c r="K14" i="169"/>
  <c r="K17" i="169"/>
  <c r="L17" i="169" s="1"/>
  <c r="M17" i="169" s="1"/>
  <c r="K24" i="169"/>
  <c r="L24" i="169" s="1"/>
  <c r="K31" i="169"/>
  <c r="L31" i="169" s="1"/>
  <c r="L18" i="169"/>
  <c r="M18" i="169" s="1"/>
  <c r="L34" i="169"/>
  <c r="M34" i="169" s="1"/>
  <c r="M46" i="169"/>
  <c r="L23" i="169"/>
  <c r="M23" i="169" s="1"/>
  <c r="L13" i="169"/>
  <c r="M13" i="169" s="1"/>
  <c r="D37" i="169"/>
  <c r="F10" i="169"/>
  <c r="L32" i="169"/>
  <c r="M32" i="169" s="1"/>
  <c r="L35" i="169"/>
  <c r="M35" i="169" s="1"/>
  <c r="I37" i="169"/>
  <c r="F7" i="169"/>
  <c r="L22" i="169"/>
  <c r="M22" i="169" s="1"/>
  <c r="K30" i="169"/>
  <c r="L33" i="169"/>
  <c r="M33" i="169" s="1"/>
  <c r="K4" i="169"/>
  <c r="M24" i="169" l="1"/>
  <c r="M29" i="169"/>
  <c r="L24" i="170"/>
  <c r="M24" i="170" s="1"/>
  <c r="M12" i="169"/>
  <c r="M34" i="170"/>
  <c r="M4" i="170"/>
  <c r="M7" i="170" s="1"/>
  <c r="K7" i="170"/>
  <c r="F37" i="170"/>
  <c r="K10" i="170"/>
  <c r="M31" i="169"/>
  <c r="L14" i="169"/>
  <c r="M14" i="169"/>
  <c r="L30" i="169"/>
  <c r="M30" i="169" s="1"/>
  <c r="F37" i="169"/>
  <c r="K10" i="169"/>
  <c r="M4" i="169"/>
  <c r="M7" i="169" s="1"/>
  <c r="K7" i="169"/>
  <c r="L10" i="170" l="1"/>
  <c r="L37" i="170" s="1"/>
  <c r="P56" i="170" s="1"/>
  <c r="P68" i="170" s="1"/>
  <c r="K37" i="170"/>
  <c r="P70" i="170" s="1"/>
  <c r="L10" i="169"/>
  <c r="L37" i="169" s="1"/>
  <c r="P58" i="169" s="1"/>
  <c r="P70" i="169" s="1"/>
  <c r="K37" i="169"/>
  <c r="P72" i="169" s="1"/>
  <c r="P72" i="170" l="1"/>
  <c r="M10" i="170"/>
  <c r="M37" i="170" s="1"/>
  <c r="P74" i="169"/>
  <c r="M10" i="169"/>
  <c r="M37" i="169" s="1"/>
  <c r="F30" i="168" l="1"/>
  <c r="B1" i="168"/>
  <c r="B2" i="168" s="1"/>
  <c r="K51" i="167"/>
  <c r="D51" i="167"/>
  <c r="K49" i="167"/>
  <c r="D49" i="167"/>
  <c r="K48" i="167"/>
  <c r="D48" i="167"/>
  <c r="K47" i="167"/>
  <c r="D47" i="167"/>
  <c r="K46" i="167"/>
  <c r="D46" i="167"/>
  <c r="K45" i="167"/>
  <c r="D45" i="167"/>
  <c r="K41" i="167"/>
  <c r="L40" i="167"/>
  <c r="L41" i="167" s="1"/>
  <c r="J37" i="167"/>
  <c r="E37" i="167"/>
  <c r="I36" i="167"/>
  <c r="H36" i="167"/>
  <c r="D36" i="167"/>
  <c r="F36" i="167" s="1"/>
  <c r="I35" i="167"/>
  <c r="H35" i="167"/>
  <c r="D35" i="167"/>
  <c r="F35" i="167" s="1"/>
  <c r="I34" i="167"/>
  <c r="H34" i="167"/>
  <c r="D34" i="167"/>
  <c r="F34" i="167" s="1"/>
  <c r="F33" i="167"/>
  <c r="K33" i="167" s="1"/>
  <c r="I32" i="167"/>
  <c r="H32" i="167"/>
  <c r="D32" i="167"/>
  <c r="F32" i="167" s="1"/>
  <c r="I31" i="167"/>
  <c r="H31" i="167"/>
  <c r="D31" i="167"/>
  <c r="F31" i="167" s="1"/>
  <c r="K31" i="167" s="1"/>
  <c r="I30" i="167"/>
  <c r="H30" i="167"/>
  <c r="D30" i="167"/>
  <c r="F30" i="167" s="1"/>
  <c r="I29" i="167"/>
  <c r="H29" i="167"/>
  <c r="D29" i="167"/>
  <c r="F29" i="167" s="1"/>
  <c r="I28" i="167"/>
  <c r="H28" i="167"/>
  <c r="D28" i="167"/>
  <c r="F28" i="167" s="1"/>
  <c r="I27" i="167"/>
  <c r="H27" i="167"/>
  <c r="D27" i="167"/>
  <c r="F27" i="167" s="1"/>
  <c r="K27" i="167" s="1"/>
  <c r="I26" i="167"/>
  <c r="H26" i="167"/>
  <c r="D26" i="167"/>
  <c r="F26" i="167" s="1"/>
  <c r="I25" i="167"/>
  <c r="H25" i="167"/>
  <c r="D25" i="167"/>
  <c r="F25" i="167" s="1"/>
  <c r="K25" i="167" s="1"/>
  <c r="L25" i="167" s="1"/>
  <c r="I24" i="167"/>
  <c r="H24" i="167"/>
  <c r="D24" i="167"/>
  <c r="F24" i="167" s="1"/>
  <c r="I23" i="167"/>
  <c r="H23" i="167"/>
  <c r="G23" i="167"/>
  <c r="D23" i="167"/>
  <c r="F23" i="167" s="1"/>
  <c r="K23" i="167" s="1"/>
  <c r="I22" i="167"/>
  <c r="H22" i="167"/>
  <c r="D22" i="167"/>
  <c r="F22" i="167" s="1"/>
  <c r="F21" i="167"/>
  <c r="K21" i="167" s="1"/>
  <c r="I20" i="167"/>
  <c r="H20" i="167"/>
  <c r="D20" i="167"/>
  <c r="F20" i="167" s="1"/>
  <c r="F19" i="167"/>
  <c r="K19" i="167" s="1"/>
  <c r="I18" i="167"/>
  <c r="H18" i="167"/>
  <c r="D18" i="167"/>
  <c r="F18" i="167" s="1"/>
  <c r="F17" i="167"/>
  <c r="K17" i="167" s="1"/>
  <c r="I16" i="167"/>
  <c r="H16" i="167"/>
  <c r="D16" i="167"/>
  <c r="F16" i="167" s="1"/>
  <c r="I15" i="167"/>
  <c r="H15" i="167"/>
  <c r="D15" i="167"/>
  <c r="F15" i="167" s="1"/>
  <c r="I14" i="167"/>
  <c r="H14" i="167"/>
  <c r="G14" i="167"/>
  <c r="D14" i="167"/>
  <c r="F14" i="167" s="1"/>
  <c r="F13" i="167"/>
  <c r="K13" i="167" s="1"/>
  <c r="I12" i="167"/>
  <c r="H12" i="167"/>
  <c r="D12" i="167"/>
  <c r="F12" i="167" s="1"/>
  <c r="I11" i="167"/>
  <c r="H11" i="167"/>
  <c r="D11" i="167"/>
  <c r="F10" i="167"/>
  <c r="K10" i="167" s="1"/>
  <c r="L10" i="167" s="1"/>
  <c r="J7" i="167"/>
  <c r="E7" i="167"/>
  <c r="I6" i="167"/>
  <c r="H6" i="167"/>
  <c r="G6" i="167"/>
  <c r="D6" i="167"/>
  <c r="L6" i="167" s="1"/>
  <c r="I5" i="167"/>
  <c r="H5" i="167"/>
  <c r="G5" i="167"/>
  <c r="D5" i="167"/>
  <c r="L5" i="167" s="1"/>
  <c r="I4" i="167"/>
  <c r="H4" i="167"/>
  <c r="G4" i="167"/>
  <c r="D4" i="167"/>
  <c r="K29" i="167" l="1"/>
  <c r="K20" i="167"/>
  <c r="L20" i="167" s="1"/>
  <c r="M20" i="167" s="1"/>
  <c r="L4" i="167"/>
  <c r="K24" i="167"/>
  <c r="K28" i="167"/>
  <c r="K32" i="167"/>
  <c r="L32" i="167" s="1"/>
  <c r="M32" i="167" s="1"/>
  <c r="K54" i="167"/>
  <c r="H7" i="167"/>
  <c r="G37" i="167"/>
  <c r="G7" i="167"/>
  <c r="K22" i="167"/>
  <c r="L22" i="167" s="1"/>
  <c r="M22" i="167" s="1"/>
  <c r="L7" i="167"/>
  <c r="P58" i="167" s="1"/>
  <c r="F5" i="167"/>
  <c r="K5" i="167" s="1"/>
  <c r="M5" i="167" s="1"/>
  <c r="K36" i="167"/>
  <c r="L36" i="167" s="1"/>
  <c r="M36" i="167" s="1"/>
  <c r="K30" i="167"/>
  <c r="K26" i="167"/>
  <c r="L26" i="167" s="1"/>
  <c r="M26" i="167" s="1"/>
  <c r="K34" i="167"/>
  <c r="L34" i="167" s="1"/>
  <c r="K15" i="167"/>
  <c r="L15" i="167" s="1"/>
  <c r="M15" i="167" s="1"/>
  <c r="K35" i="167"/>
  <c r="L35" i="167" s="1"/>
  <c r="M35" i="167" s="1"/>
  <c r="K12" i="167"/>
  <c r="L12" i="167" s="1"/>
  <c r="M12" i="167" s="1"/>
  <c r="K14" i="167"/>
  <c r="L14" i="167" s="1"/>
  <c r="M14" i="167" s="1"/>
  <c r="K16" i="167"/>
  <c r="L16" i="167" s="1"/>
  <c r="M16" i="167" s="1"/>
  <c r="H25" i="168"/>
  <c r="I25" i="168" s="1"/>
  <c r="H19" i="168"/>
  <c r="I19" i="168" s="1"/>
  <c r="H13" i="168"/>
  <c r="I13" i="168" s="1"/>
  <c r="H7" i="168"/>
  <c r="I7" i="168" s="1"/>
  <c r="H24" i="168"/>
  <c r="I24" i="168" s="1"/>
  <c r="H6" i="168"/>
  <c r="I6" i="168" s="1"/>
  <c r="H23" i="168"/>
  <c r="I23" i="168" s="1"/>
  <c r="H22" i="168"/>
  <c r="I22" i="168" s="1"/>
  <c r="H21" i="168"/>
  <c r="I21" i="168" s="1"/>
  <c r="H20" i="168"/>
  <c r="I20" i="168" s="1"/>
  <c r="H18" i="168"/>
  <c r="I18" i="168" s="1"/>
  <c r="H12" i="168"/>
  <c r="I12" i="168" s="1"/>
  <c r="H29" i="168"/>
  <c r="I29" i="168" s="1"/>
  <c r="H17" i="168"/>
  <c r="I17" i="168" s="1"/>
  <c r="H11" i="168"/>
  <c r="I11" i="168" s="1"/>
  <c r="H5" i="168"/>
  <c r="I5" i="168" s="1"/>
  <c r="H28" i="168"/>
  <c r="I28" i="168" s="1"/>
  <c r="H16" i="168"/>
  <c r="I16" i="168" s="1"/>
  <c r="H10" i="168"/>
  <c r="I10" i="168" s="1"/>
  <c r="H4" i="168"/>
  <c r="I4" i="168" s="1"/>
  <c r="H27" i="168"/>
  <c r="I27" i="168" s="1"/>
  <c r="H15" i="168"/>
  <c r="I15" i="168" s="1"/>
  <c r="H9" i="168"/>
  <c r="I9" i="168" s="1"/>
  <c r="H3" i="168"/>
  <c r="H26" i="168"/>
  <c r="I26" i="168" s="1"/>
  <c r="H14" i="168"/>
  <c r="I14" i="168" s="1"/>
  <c r="H8" i="168"/>
  <c r="I8" i="168" s="1"/>
  <c r="C1" i="168"/>
  <c r="K18" i="167"/>
  <c r="L24" i="167"/>
  <c r="M24" i="167" s="1"/>
  <c r="L31" i="167"/>
  <c r="M31" i="167" s="1"/>
  <c r="F4" i="167"/>
  <c r="L21" i="167"/>
  <c r="M21" i="167" s="1"/>
  <c r="L27" i="167"/>
  <c r="M27" i="167" s="1"/>
  <c r="L13" i="167"/>
  <c r="M13" i="167" s="1"/>
  <c r="L28" i="167"/>
  <c r="M28" i="167" s="1"/>
  <c r="I7" i="167"/>
  <c r="D7" i="167"/>
  <c r="L17" i="167"/>
  <c r="M17" i="167" s="1"/>
  <c r="M25" i="167"/>
  <c r="L29" i="167"/>
  <c r="M29" i="167" s="1"/>
  <c r="M10" i="167"/>
  <c r="L23" i="167"/>
  <c r="M23" i="167" s="1"/>
  <c r="L33" i="167"/>
  <c r="M33" i="167" s="1"/>
  <c r="L19" i="167"/>
  <c r="M19" i="167" s="1"/>
  <c r="D37" i="167"/>
  <c r="L30" i="167"/>
  <c r="M30" i="167" s="1"/>
  <c r="H37" i="167"/>
  <c r="I37" i="167"/>
  <c r="M40" i="167"/>
  <c r="M41" i="167" s="1"/>
  <c r="F11" i="167"/>
  <c r="K11" i="167" s="1"/>
  <c r="F6" i="167"/>
  <c r="K6" i="167" s="1"/>
  <c r="M6" i="167" s="1"/>
  <c r="M34" i="167" l="1"/>
  <c r="F37" i="167"/>
  <c r="H30" i="168"/>
  <c r="I3" i="168"/>
  <c r="I30" i="168" s="1"/>
  <c r="L18" i="167"/>
  <c r="M18" i="167" s="1"/>
  <c r="K4" i="167"/>
  <c r="F7" i="167"/>
  <c r="L11" i="167"/>
  <c r="L37" i="167" s="1"/>
  <c r="P57" i="167" s="1"/>
  <c r="P69" i="167" s="1"/>
  <c r="K37" i="167"/>
  <c r="M11" i="167" l="1"/>
  <c r="M37" i="167" s="1"/>
  <c r="K7" i="167"/>
  <c r="P71" i="167" s="1"/>
  <c r="P73" i="167" s="1"/>
  <c r="M4" i="167"/>
  <c r="M7" i="167" s="1"/>
  <c r="L49" i="166" l="1"/>
  <c r="D49" i="166"/>
  <c r="L47" i="166"/>
  <c r="D47" i="166"/>
  <c r="L46" i="166"/>
  <c r="D46" i="166"/>
  <c r="L45" i="166"/>
  <c r="D45" i="166"/>
  <c r="L44" i="166"/>
  <c r="D44" i="166"/>
  <c r="L40" i="166"/>
  <c r="M39" i="166"/>
  <c r="M40" i="166" s="1"/>
  <c r="E36" i="166"/>
  <c r="J35" i="166"/>
  <c r="I35" i="166"/>
  <c r="H35" i="166"/>
  <c r="D35" i="166"/>
  <c r="F35" i="166" s="1"/>
  <c r="L35" i="166" s="1"/>
  <c r="J34" i="166"/>
  <c r="I34" i="166"/>
  <c r="H34" i="166"/>
  <c r="D34" i="166"/>
  <c r="F34" i="166" s="1"/>
  <c r="J33" i="166"/>
  <c r="I33" i="166"/>
  <c r="H33" i="166"/>
  <c r="D33" i="166"/>
  <c r="F33" i="166" s="1"/>
  <c r="F32" i="166"/>
  <c r="L32" i="166" s="1"/>
  <c r="J31" i="166"/>
  <c r="I31" i="166"/>
  <c r="H31" i="166"/>
  <c r="D31" i="166"/>
  <c r="F31" i="166" s="1"/>
  <c r="L31" i="166" s="1"/>
  <c r="J30" i="166"/>
  <c r="I30" i="166"/>
  <c r="H30" i="166"/>
  <c r="D30" i="166"/>
  <c r="F30" i="166" s="1"/>
  <c r="J29" i="166"/>
  <c r="I29" i="166"/>
  <c r="H29" i="166"/>
  <c r="D29" i="166"/>
  <c r="F29" i="166" s="1"/>
  <c r="J28" i="166"/>
  <c r="I28" i="166"/>
  <c r="H28" i="166"/>
  <c r="D28" i="166"/>
  <c r="F28" i="166" s="1"/>
  <c r="J27" i="166"/>
  <c r="I27" i="166"/>
  <c r="H27" i="166"/>
  <c r="D27" i="166"/>
  <c r="F27" i="166" s="1"/>
  <c r="J26" i="166"/>
  <c r="I26" i="166"/>
  <c r="H26" i="166"/>
  <c r="D26" i="166"/>
  <c r="F26" i="166" s="1"/>
  <c r="J25" i="166"/>
  <c r="I25" i="166"/>
  <c r="H25" i="166"/>
  <c r="D25" i="166"/>
  <c r="F25" i="166" s="1"/>
  <c r="L25" i="166" s="1"/>
  <c r="J24" i="166"/>
  <c r="I24" i="166"/>
  <c r="H24" i="166"/>
  <c r="D24" i="166"/>
  <c r="F24" i="166" s="1"/>
  <c r="J23" i="166"/>
  <c r="I23" i="166"/>
  <c r="H23" i="166"/>
  <c r="D23" i="166"/>
  <c r="F23" i="166" s="1"/>
  <c r="J22" i="166"/>
  <c r="I22" i="166"/>
  <c r="H22" i="166"/>
  <c r="G22" i="166"/>
  <c r="D22" i="166"/>
  <c r="F22" i="166" s="1"/>
  <c r="L22" i="166" s="1"/>
  <c r="J21" i="166"/>
  <c r="I21" i="166"/>
  <c r="H21" i="166"/>
  <c r="F21" i="166"/>
  <c r="D21" i="166"/>
  <c r="J20" i="166"/>
  <c r="I20" i="166"/>
  <c r="H20" i="166"/>
  <c r="G20" i="166"/>
  <c r="D20" i="166"/>
  <c r="F20" i="166" s="1"/>
  <c r="L20" i="166" s="1"/>
  <c r="J19" i="166"/>
  <c r="I19" i="166"/>
  <c r="H19" i="166"/>
  <c r="D19" i="166"/>
  <c r="F19" i="166" s="1"/>
  <c r="F18" i="166"/>
  <c r="L18" i="166" s="1"/>
  <c r="J17" i="166"/>
  <c r="I17" i="166"/>
  <c r="H17" i="166"/>
  <c r="D17" i="166"/>
  <c r="F17" i="166" s="1"/>
  <c r="K16" i="166"/>
  <c r="K36" i="166" s="1"/>
  <c r="J16" i="166"/>
  <c r="I16" i="166"/>
  <c r="H16" i="166"/>
  <c r="G16" i="166"/>
  <c r="D16" i="166"/>
  <c r="F16" i="166" s="1"/>
  <c r="J15" i="166"/>
  <c r="I15" i="166"/>
  <c r="H15" i="166"/>
  <c r="D15" i="166"/>
  <c r="F15" i="166" s="1"/>
  <c r="L15" i="166" s="1"/>
  <c r="J14" i="166"/>
  <c r="I14" i="166"/>
  <c r="H14" i="166"/>
  <c r="D14" i="166"/>
  <c r="F14" i="166" s="1"/>
  <c r="L14" i="166" s="1"/>
  <c r="J13" i="166"/>
  <c r="I13" i="166"/>
  <c r="H13" i="166"/>
  <c r="G13" i="166"/>
  <c r="D13" i="166"/>
  <c r="F13" i="166" s="1"/>
  <c r="J12" i="166"/>
  <c r="I12" i="166"/>
  <c r="H12" i="166"/>
  <c r="G12" i="166"/>
  <c r="D12" i="166"/>
  <c r="F12" i="166" s="1"/>
  <c r="J11" i="166"/>
  <c r="I11" i="166"/>
  <c r="H11" i="166"/>
  <c r="D11" i="166"/>
  <c r="F11" i="166" s="1"/>
  <c r="J10" i="166"/>
  <c r="I10" i="166"/>
  <c r="H10" i="166"/>
  <c r="D10" i="166"/>
  <c r="J9" i="166"/>
  <c r="I9" i="166"/>
  <c r="H9" i="166"/>
  <c r="G9" i="166"/>
  <c r="D9" i="166"/>
  <c r="F9" i="166" s="1"/>
  <c r="K6" i="166"/>
  <c r="J6" i="166"/>
  <c r="I6" i="166"/>
  <c r="H6" i="166"/>
  <c r="G6" i="166"/>
  <c r="F6" i="166"/>
  <c r="E6" i="166"/>
  <c r="D6" i="166"/>
  <c r="F5" i="166"/>
  <c r="M5" i="166" s="1"/>
  <c r="F4" i="166"/>
  <c r="M4" i="166" s="1"/>
  <c r="M6" i="166" s="1"/>
  <c r="Q56" i="166" s="1"/>
  <c r="L48" i="165"/>
  <c r="D48" i="165"/>
  <c r="L46" i="165"/>
  <c r="D46" i="165"/>
  <c r="L45" i="165"/>
  <c r="L51" i="165" s="1"/>
  <c r="D45" i="165"/>
  <c r="L44" i="165"/>
  <c r="D44" i="165"/>
  <c r="L40" i="165"/>
  <c r="M39" i="165"/>
  <c r="M40" i="165" s="1"/>
  <c r="K36" i="165"/>
  <c r="E36" i="165"/>
  <c r="J35" i="165"/>
  <c r="I35" i="165"/>
  <c r="H35" i="165"/>
  <c r="D35" i="165"/>
  <c r="F35" i="165" s="1"/>
  <c r="J34" i="165"/>
  <c r="I34" i="165"/>
  <c r="H34" i="165"/>
  <c r="D34" i="165"/>
  <c r="F34" i="165" s="1"/>
  <c r="J33" i="165"/>
  <c r="I33" i="165"/>
  <c r="H33" i="165"/>
  <c r="D33" i="165"/>
  <c r="F33" i="165" s="1"/>
  <c r="L33" i="165" s="1"/>
  <c r="F32" i="165"/>
  <c r="L32" i="165" s="1"/>
  <c r="J31" i="165"/>
  <c r="I31" i="165"/>
  <c r="H31" i="165"/>
  <c r="D31" i="165"/>
  <c r="F31" i="165" s="1"/>
  <c r="J30" i="165"/>
  <c r="I30" i="165"/>
  <c r="H30" i="165"/>
  <c r="D30" i="165"/>
  <c r="F30" i="165" s="1"/>
  <c r="J29" i="165"/>
  <c r="I29" i="165"/>
  <c r="H29" i="165"/>
  <c r="D29" i="165"/>
  <c r="F29" i="165" s="1"/>
  <c r="J28" i="165"/>
  <c r="I28" i="165"/>
  <c r="H28" i="165"/>
  <c r="D28" i="165"/>
  <c r="F28" i="165" s="1"/>
  <c r="J27" i="165"/>
  <c r="I27" i="165"/>
  <c r="H27" i="165"/>
  <c r="D27" i="165"/>
  <c r="F27" i="165" s="1"/>
  <c r="J26" i="165"/>
  <c r="I26" i="165"/>
  <c r="H26" i="165"/>
  <c r="D26" i="165"/>
  <c r="F26" i="165" s="1"/>
  <c r="J25" i="165"/>
  <c r="I25" i="165"/>
  <c r="H25" i="165"/>
  <c r="D25" i="165"/>
  <c r="F25" i="165" s="1"/>
  <c r="J24" i="165"/>
  <c r="I24" i="165"/>
  <c r="H24" i="165"/>
  <c r="D24" i="165"/>
  <c r="F24" i="165" s="1"/>
  <c r="J23" i="165"/>
  <c r="I23" i="165"/>
  <c r="H23" i="165"/>
  <c r="D23" i="165"/>
  <c r="F23" i="165" s="1"/>
  <c r="J22" i="165"/>
  <c r="I22" i="165"/>
  <c r="H22" i="165"/>
  <c r="G22" i="165"/>
  <c r="D22" i="165"/>
  <c r="F22" i="165" s="1"/>
  <c r="J21" i="165"/>
  <c r="I21" i="165"/>
  <c r="H21" i="165"/>
  <c r="D21" i="165"/>
  <c r="F21" i="165" s="1"/>
  <c r="F20" i="165"/>
  <c r="L20" i="165" s="1"/>
  <c r="J19" i="165"/>
  <c r="I19" i="165"/>
  <c r="H19" i="165"/>
  <c r="D19" i="165"/>
  <c r="F19" i="165" s="1"/>
  <c r="F18" i="165"/>
  <c r="L18" i="165" s="1"/>
  <c r="J17" i="165"/>
  <c r="I17" i="165"/>
  <c r="H17" i="165"/>
  <c r="D17" i="165"/>
  <c r="F17" i="165" s="1"/>
  <c r="F16" i="165"/>
  <c r="L16" i="165" s="1"/>
  <c r="J15" i="165"/>
  <c r="I15" i="165"/>
  <c r="H15" i="165"/>
  <c r="D15" i="165"/>
  <c r="F15" i="165" s="1"/>
  <c r="J14" i="165"/>
  <c r="I14" i="165"/>
  <c r="H14" i="165"/>
  <c r="D14" i="165"/>
  <c r="F14" i="165" s="1"/>
  <c r="J13" i="165"/>
  <c r="I13" i="165"/>
  <c r="H13" i="165"/>
  <c r="G13" i="165"/>
  <c r="D13" i="165"/>
  <c r="F13" i="165" s="1"/>
  <c r="J12" i="165"/>
  <c r="I12" i="165"/>
  <c r="H12" i="165"/>
  <c r="F12" i="165"/>
  <c r="D12" i="165"/>
  <c r="J11" i="165"/>
  <c r="I11" i="165"/>
  <c r="H11" i="165"/>
  <c r="D11" i="165"/>
  <c r="F11" i="165" s="1"/>
  <c r="J10" i="165"/>
  <c r="I10" i="165"/>
  <c r="H10" i="165"/>
  <c r="D10" i="165"/>
  <c r="F10" i="165" s="1"/>
  <c r="F9" i="165"/>
  <c r="K6" i="165"/>
  <c r="J6" i="165"/>
  <c r="I6" i="165"/>
  <c r="H6" i="165"/>
  <c r="G6" i="165"/>
  <c r="F6" i="165"/>
  <c r="E6" i="165"/>
  <c r="D6" i="165"/>
  <c r="F5" i="165"/>
  <c r="M5" i="165" s="1"/>
  <c r="F4" i="165"/>
  <c r="M4" i="165" s="1"/>
  <c r="L50" i="164"/>
  <c r="D50" i="164"/>
  <c r="L48" i="164"/>
  <c r="D48" i="164"/>
  <c r="L47" i="164"/>
  <c r="D47" i="164"/>
  <c r="L43" i="164"/>
  <c r="M42" i="164"/>
  <c r="N42" i="164" s="1"/>
  <c r="M41" i="164"/>
  <c r="N41" i="164" s="1"/>
  <c r="D41" i="164"/>
  <c r="M40" i="164"/>
  <c r="N40" i="164" s="1"/>
  <c r="D40" i="164"/>
  <c r="M39" i="164"/>
  <c r="K36" i="164"/>
  <c r="G36" i="164"/>
  <c r="E36" i="164"/>
  <c r="J35" i="164"/>
  <c r="I35" i="164"/>
  <c r="H35" i="164"/>
  <c r="D35" i="164"/>
  <c r="F35" i="164" s="1"/>
  <c r="J34" i="164"/>
  <c r="I34" i="164"/>
  <c r="H34" i="164"/>
  <c r="D34" i="164"/>
  <c r="F34" i="164" s="1"/>
  <c r="J33" i="164"/>
  <c r="I33" i="164"/>
  <c r="H33" i="164"/>
  <c r="D33" i="164"/>
  <c r="F33" i="164" s="1"/>
  <c r="F32" i="164"/>
  <c r="L32" i="164" s="1"/>
  <c r="J31" i="164"/>
  <c r="I31" i="164"/>
  <c r="H31" i="164"/>
  <c r="D31" i="164"/>
  <c r="F31" i="164" s="1"/>
  <c r="J30" i="164"/>
  <c r="I30" i="164"/>
  <c r="H30" i="164"/>
  <c r="D30" i="164"/>
  <c r="F30" i="164" s="1"/>
  <c r="L30" i="164" s="1"/>
  <c r="J29" i="164"/>
  <c r="I29" i="164"/>
  <c r="H29" i="164"/>
  <c r="D29" i="164"/>
  <c r="F29" i="164" s="1"/>
  <c r="J28" i="164"/>
  <c r="I28" i="164"/>
  <c r="H28" i="164"/>
  <c r="D28" i="164"/>
  <c r="F28" i="164" s="1"/>
  <c r="J27" i="164"/>
  <c r="I27" i="164"/>
  <c r="H27" i="164"/>
  <c r="D27" i="164"/>
  <c r="F27" i="164" s="1"/>
  <c r="L27" i="164" s="1"/>
  <c r="J26" i="164"/>
  <c r="I26" i="164"/>
  <c r="H26" i="164"/>
  <c r="D26" i="164"/>
  <c r="F26" i="164" s="1"/>
  <c r="J25" i="164"/>
  <c r="I25" i="164"/>
  <c r="H25" i="164"/>
  <c r="D25" i="164"/>
  <c r="F25" i="164" s="1"/>
  <c r="J24" i="164"/>
  <c r="I24" i="164"/>
  <c r="H24" i="164"/>
  <c r="D24" i="164"/>
  <c r="F24" i="164" s="1"/>
  <c r="L24" i="164" s="1"/>
  <c r="J23" i="164"/>
  <c r="I23" i="164"/>
  <c r="H23" i="164"/>
  <c r="D23" i="164"/>
  <c r="F23" i="164" s="1"/>
  <c r="J22" i="164"/>
  <c r="I22" i="164"/>
  <c r="H22" i="164"/>
  <c r="G22" i="164"/>
  <c r="F22" i="164"/>
  <c r="D22" i="164"/>
  <c r="J21" i="164"/>
  <c r="I21" i="164"/>
  <c r="H21" i="164"/>
  <c r="D21" i="164"/>
  <c r="F21" i="164" s="1"/>
  <c r="F20" i="164"/>
  <c r="L20" i="164" s="1"/>
  <c r="M20" i="164" s="1"/>
  <c r="N20" i="164" s="1"/>
  <c r="J19" i="164"/>
  <c r="I19" i="164"/>
  <c r="H19" i="164"/>
  <c r="D19" i="164"/>
  <c r="F19" i="164" s="1"/>
  <c r="F18" i="164"/>
  <c r="L18" i="164" s="1"/>
  <c r="M18" i="164" s="1"/>
  <c r="N18" i="164" s="1"/>
  <c r="J17" i="164"/>
  <c r="I17" i="164"/>
  <c r="H17" i="164"/>
  <c r="D17" i="164"/>
  <c r="F17" i="164" s="1"/>
  <c r="L17" i="164" s="1"/>
  <c r="F16" i="164"/>
  <c r="L16" i="164" s="1"/>
  <c r="M16" i="164" s="1"/>
  <c r="N16" i="164" s="1"/>
  <c r="J15" i="164"/>
  <c r="I15" i="164"/>
  <c r="H15" i="164"/>
  <c r="D15" i="164"/>
  <c r="F15" i="164" s="1"/>
  <c r="J14" i="164"/>
  <c r="I14" i="164"/>
  <c r="H14" i="164"/>
  <c r="D14" i="164"/>
  <c r="F14" i="164" s="1"/>
  <c r="J13" i="164"/>
  <c r="I13" i="164"/>
  <c r="H13" i="164"/>
  <c r="G13" i="164"/>
  <c r="D13" i="164"/>
  <c r="F13" i="164" s="1"/>
  <c r="J12" i="164"/>
  <c r="I12" i="164"/>
  <c r="H12" i="164"/>
  <c r="D12" i="164"/>
  <c r="F12" i="164" s="1"/>
  <c r="J11" i="164"/>
  <c r="I11" i="164"/>
  <c r="H11" i="164"/>
  <c r="F11" i="164"/>
  <c r="D11" i="164"/>
  <c r="J10" i="164"/>
  <c r="I10" i="164"/>
  <c r="H10" i="164"/>
  <c r="D10" i="164"/>
  <c r="F9" i="164"/>
  <c r="L9" i="164" s="1"/>
  <c r="K6" i="164"/>
  <c r="J6" i="164"/>
  <c r="I6" i="164"/>
  <c r="H6" i="164"/>
  <c r="G6" i="164"/>
  <c r="E6" i="164"/>
  <c r="D6" i="164"/>
  <c r="F5" i="164"/>
  <c r="M5" i="164" s="1"/>
  <c r="F4" i="164"/>
  <c r="F6" i="164" s="1"/>
  <c r="L40" i="163"/>
  <c r="L48" i="163"/>
  <c r="L19" i="166" l="1"/>
  <c r="M19" i="166" s="1"/>
  <c r="N19" i="166" s="1"/>
  <c r="L27" i="166"/>
  <c r="L33" i="166"/>
  <c r="L16" i="166"/>
  <c r="L34" i="166"/>
  <c r="M34" i="166" s="1"/>
  <c r="N34" i="166" s="1"/>
  <c r="L24" i="166"/>
  <c r="M24" i="166" s="1"/>
  <c r="N24" i="166" s="1"/>
  <c r="L30" i="166"/>
  <c r="M30" i="166" s="1"/>
  <c r="N30" i="166" s="1"/>
  <c r="L53" i="164"/>
  <c r="L11" i="166"/>
  <c r="M11" i="166" s="1"/>
  <c r="N11" i="166" s="1"/>
  <c r="M43" i="164"/>
  <c r="H36" i="164"/>
  <c r="L34" i="164"/>
  <c r="N39" i="164"/>
  <c r="N43" i="164" s="1"/>
  <c r="L10" i="165"/>
  <c r="L4" i="166"/>
  <c r="G36" i="166"/>
  <c r="L12" i="166"/>
  <c r="M12" i="166" s="1"/>
  <c r="N12" i="166" s="1"/>
  <c r="L13" i="166"/>
  <c r="L11" i="164"/>
  <c r="M11" i="164" s="1"/>
  <c r="N11" i="164" s="1"/>
  <c r="M6" i="165"/>
  <c r="Q55" i="165" s="1"/>
  <c r="H36" i="165"/>
  <c r="L13" i="165"/>
  <c r="M13" i="165" s="1"/>
  <c r="L21" i="165"/>
  <c r="M21" i="165" s="1"/>
  <c r="N21" i="165" s="1"/>
  <c r="H36" i="166"/>
  <c r="L17" i="166"/>
  <c r="L28" i="166"/>
  <c r="M28" i="166" s="1"/>
  <c r="N28" i="166" s="1"/>
  <c r="L14" i="164"/>
  <c r="G36" i="165"/>
  <c r="L24" i="165"/>
  <c r="L27" i="165"/>
  <c r="L30" i="165"/>
  <c r="I36" i="166"/>
  <c r="L23" i="166"/>
  <c r="L26" i="166"/>
  <c r="M26" i="166" s="1"/>
  <c r="L29" i="166"/>
  <c r="M29" i="166" s="1"/>
  <c r="N29" i="166" s="1"/>
  <c r="L4" i="164"/>
  <c r="J36" i="166"/>
  <c r="M18" i="166"/>
  <c r="N18" i="166" s="1"/>
  <c r="M27" i="166"/>
  <c r="N27" i="166" s="1"/>
  <c r="M16" i="166"/>
  <c r="N16" i="166" s="1"/>
  <c r="M13" i="166"/>
  <c r="N13" i="166" s="1"/>
  <c r="M22" i="166"/>
  <c r="N22" i="166" s="1"/>
  <c r="M25" i="166"/>
  <c r="N25" i="166" s="1"/>
  <c r="M31" i="166"/>
  <c r="N31" i="166" s="1"/>
  <c r="M20" i="166"/>
  <c r="N20" i="166" s="1"/>
  <c r="M35" i="166"/>
  <c r="N35" i="166" s="1"/>
  <c r="M33" i="166"/>
  <c r="N33" i="166" s="1"/>
  <c r="N4" i="166"/>
  <c r="M15" i="166"/>
  <c r="N15" i="166" s="1"/>
  <c r="L9" i="166"/>
  <c r="M17" i="166"/>
  <c r="N17" i="166" s="1"/>
  <c r="D36" i="166"/>
  <c r="M14" i="166"/>
  <c r="N14" i="166" s="1"/>
  <c r="L21" i="166"/>
  <c r="M32" i="166"/>
  <c r="N32" i="166" s="1"/>
  <c r="L52" i="166"/>
  <c r="L5" i="166"/>
  <c r="N5" i="166" s="1"/>
  <c r="F10" i="166"/>
  <c r="L10" i="166" s="1"/>
  <c r="N39" i="166"/>
  <c r="N40" i="166" s="1"/>
  <c r="L13" i="164"/>
  <c r="M13" i="164" s="1"/>
  <c r="N13" i="164" s="1"/>
  <c r="D36" i="164"/>
  <c r="I36" i="164"/>
  <c r="L15" i="164"/>
  <c r="M15" i="164" s="1"/>
  <c r="N15" i="164" s="1"/>
  <c r="L19" i="164"/>
  <c r="M19" i="164" s="1"/>
  <c r="N19" i="164" s="1"/>
  <c r="L25" i="164"/>
  <c r="M25" i="164" s="1"/>
  <c r="L28" i="164"/>
  <c r="M28" i="164" s="1"/>
  <c r="L31" i="164"/>
  <c r="L17" i="165"/>
  <c r="L34" i="165"/>
  <c r="M34" i="165" s="1"/>
  <c r="N34" i="165" s="1"/>
  <c r="F10" i="164"/>
  <c r="F36" i="164" s="1"/>
  <c r="L22" i="164"/>
  <c r="M22" i="164" s="1"/>
  <c r="N22" i="164" s="1"/>
  <c r="L35" i="164"/>
  <c r="M35" i="164" s="1"/>
  <c r="N35" i="164" s="1"/>
  <c r="L11" i="165"/>
  <c r="L21" i="164"/>
  <c r="J36" i="165"/>
  <c r="L25" i="165"/>
  <c r="L31" i="165"/>
  <c r="M31" i="165" s="1"/>
  <c r="L29" i="164"/>
  <c r="M29" i="164" s="1"/>
  <c r="N29" i="164" s="1"/>
  <c r="L35" i="165"/>
  <c r="M35" i="165" s="1"/>
  <c r="N35" i="165" s="1"/>
  <c r="I36" i="165"/>
  <c r="L22" i="165"/>
  <c r="M22" i="165" s="1"/>
  <c r="L14" i="165"/>
  <c r="M14" i="165" s="1"/>
  <c r="N14" i="165" s="1"/>
  <c r="L28" i="165"/>
  <c r="M28" i="165" s="1"/>
  <c r="L10" i="164"/>
  <c r="M10" i="164" s="1"/>
  <c r="L23" i="164"/>
  <c r="L26" i="164"/>
  <c r="L33" i="164"/>
  <c r="L19" i="165"/>
  <c r="M19" i="165" s="1"/>
  <c r="N19" i="165" s="1"/>
  <c r="L15" i="165"/>
  <c r="L23" i="165"/>
  <c r="L26" i="165"/>
  <c r="M26" i="165" s="1"/>
  <c r="N26" i="165" s="1"/>
  <c r="L29" i="165"/>
  <c r="M29" i="165" s="1"/>
  <c r="N29" i="165" s="1"/>
  <c r="M23" i="165"/>
  <c r="N23" i="165" s="1"/>
  <c r="M32" i="165"/>
  <c r="N32" i="165" s="1"/>
  <c r="F36" i="165"/>
  <c r="M33" i="165"/>
  <c r="N33" i="165" s="1"/>
  <c r="M10" i="165"/>
  <c r="N10" i="165" s="1"/>
  <c r="M20" i="165"/>
  <c r="N20" i="165" s="1"/>
  <c r="M16" i="165"/>
  <c r="N16" i="165" s="1"/>
  <c r="M24" i="165"/>
  <c r="N24" i="165" s="1"/>
  <c r="M27" i="165"/>
  <c r="N27" i="165" s="1"/>
  <c r="M30" i="165"/>
  <c r="N30" i="165" s="1"/>
  <c r="M17" i="165"/>
  <c r="M11" i="165"/>
  <c r="N11" i="165" s="1"/>
  <c r="M25" i="165"/>
  <c r="N25" i="165" s="1"/>
  <c r="M18" i="165"/>
  <c r="N18" i="165" s="1"/>
  <c r="L9" i="165"/>
  <c r="L4" i="165"/>
  <c r="D36" i="165"/>
  <c r="N39" i="165"/>
  <c r="N40" i="165" s="1"/>
  <c r="L12" i="165"/>
  <c r="L5" i="165"/>
  <c r="N5" i="165" s="1"/>
  <c r="M31" i="164"/>
  <c r="N31" i="164" s="1"/>
  <c r="M23" i="164"/>
  <c r="N23" i="164" s="1"/>
  <c r="M33" i="164"/>
  <c r="M26" i="164"/>
  <c r="N26" i="164" s="1"/>
  <c r="M17" i="164"/>
  <c r="N17" i="164" s="1"/>
  <c r="M21" i="164"/>
  <c r="N21" i="164" s="1"/>
  <c r="L12" i="164"/>
  <c r="M32" i="164"/>
  <c r="N32" i="164" s="1"/>
  <c r="M34" i="164"/>
  <c r="N34" i="164" s="1"/>
  <c r="M14" i="164"/>
  <c r="N14" i="164"/>
  <c r="M24" i="164"/>
  <c r="N24" i="164" s="1"/>
  <c r="M27" i="164"/>
  <c r="N27" i="164" s="1"/>
  <c r="M30" i="164"/>
  <c r="N30" i="164" s="1"/>
  <c r="L5" i="164"/>
  <c r="M4" i="164"/>
  <c r="J36" i="164"/>
  <c r="M9" i="164"/>
  <c r="N9" i="164" s="1"/>
  <c r="D48" i="163"/>
  <c r="M23" i="166" l="1"/>
  <c r="N23" i="166" s="1"/>
  <c r="N6" i="166"/>
  <c r="N26" i="166"/>
  <c r="L6" i="166"/>
  <c r="N28" i="164"/>
  <c r="N13" i="165"/>
  <c r="N33" i="164"/>
  <c r="N17" i="165"/>
  <c r="N22" i="165"/>
  <c r="M21" i="166"/>
  <c r="N21" i="166" s="1"/>
  <c r="L36" i="166"/>
  <c r="Q70" i="166" s="1"/>
  <c r="M9" i="166"/>
  <c r="M10" i="166"/>
  <c r="N10" i="166" s="1"/>
  <c r="F36" i="166"/>
  <c r="L36" i="164"/>
  <c r="N25" i="164"/>
  <c r="N10" i="164"/>
  <c r="M15" i="165"/>
  <c r="N15" i="165" s="1"/>
  <c r="N31" i="165"/>
  <c r="N28" i="165"/>
  <c r="M12" i="165"/>
  <c r="N12" i="165" s="1"/>
  <c r="L6" i="165"/>
  <c r="N4" i="165"/>
  <c r="N6" i="165" s="1"/>
  <c r="M9" i="165"/>
  <c r="L36" i="165"/>
  <c r="N5" i="164"/>
  <c r="L6" i="164"/>
  <c r="Q68" i="164" s="1"/>
  <c r="M12" i="164"/>
  <c r="M36" i="164" s="1"/>
  <c r="Q56" i="164" s="1"/>
  <c r="M6" i="164"/>
  <c r="Q57" i="164" s="1"/>
  <c r="N4" i="164"/>
  <c r="N6" i="164" s="1"/>
  <c r="H20" i="163"/>
  <c r="Q66" i="164" l="1"/>
  <c r="M36" i="166"/>
  <c r="Q55" i="166" s="1"/>
  <c r="Q68" i="166" s="1"/>
  <c r="Q72" i="166" s="1"/>
  <c r="N9" i="166"/>
  <c r="N36" i="166" s="1"/>
  <c r="Q65" i="165"/>
  <c r="M36" i="165"/>
  <c r="Q54" i="165" s="1"/>
  <c r="Q63" i="165" s="1"/>
  <c r="Q67" i="165" s="1"/>
  <c r="N9" i="165"/>
  <c r="N36" i="165" s="1"/>
  <c r="N12" i="164"/>
  <c r="N36" i="164" s="1"/>
  <c r="Q70" i="164"/>
  <c r="G20" i="163"/>
  <c r="D20" i="163"/>
  <c r="F20" i="163" s="1"/>
  <c r="D5" i="163"/>
  <c r="F5" i="163" s="1"/>
  <c r="M5" i="163" s="1"/>
  <c r="H5" i="163"/>
  <c r="G4" i="163"/>
  <c r="G6" i="163" s="1"/>
  <c r="D4" i="163"/>
  <c r="D6" i="163" s="1"/>
  <c r="H4" i="163"/>
  <c r="H33" i="163"/>
  <c r="D33" i="163"/>
  <c r="F33" i="163" s="1"/>
  <c r="H27" i="163"/>
  <c r="D27" i="163"/>
  <c r="F27" i="163" s="1"/>
  <c r="D11" i="163"/>
  <c r="F11" i="163" s="1"/>
  <c r="H11" i="163"/>
  <c r="H35" i="163"/>
  <c r="H34" i="163"/>
  <c r="H29" i="163"/>
  <c r="H30" i="163"/>
  <c r="H31" i="163"/>
  <c r="H28" i="163"/>
  <c r="H19" i="163"/>
  <c r="H21" i="163"/>
  <c r="H22" i="163"/>
  <c r="H23" i="163"/>
  <c r="H24" i="163"/>
  <c r="H17" i="163"/>
  <c r="H15" i="163"/>
  <c r="H14" i="163"/>
  <c r="H13" i="163"/>
  <c r="H12" i="163"/>
  <c r="H10" i="163"/>
  <c r="D10" i="163"/>
  <c r="F10" i="163" s="1"/>
  <c r="L47" i="163"/>
  <c r="D47" i="163"/>
  <c r="L46" i="163"/>
  <c r="D46" i="163"/>
  <c r="L44" i="163"/>
  <c r="D44" i="163"/>
  <c r="M39" i="163"/>
  <c r="N39" i="163" s="1"/>
  <c r="K36" i="163"/>
  <c r="E36" i="163"/>
  <c r="D35" i="163"/>
  <c r="F35" i="163" s="1"/>
  <c r="D34" i="163"/>
  <c r="F34" i="163" s="1"/>
  <c r="F32" i="163"/>
  <c r="L32" i="163" s="1"/>
  <c r="D31" i="163"/>
  <c r="F31" i="163" s="1"/>
  <c r="D30" i="163"/>
  <c r="F30" i="163" s="1"/>
  <c r="D29" i="163"/>
  <c r="F29" i="163" s="1"/>
  <c r="D28" i="163"/>
  <c r="F28" i="163" s="1"/>
  <c r="F26" i="163"/>
  <c r="F25" i="163"/>
  <c r="D24" i="163"/>
  <c r="F24" i="163" s="1"/>
  <c r="D23" i="163"/>
  <c r="F23" i="163" s="1"/>
  <c r="G22" i="163"/>
  <c r="D22" i="163"/>
  <c r="F22" i="163" s="1"/>
  <c r="D21" i="163"/>
  <c r="F21" i="163" s="1"/>
  <c r="D19" i="163"/>
  <c r="F19" i="163" s="1"/>
  <c r="F18" i="163"/>
  <c r="D17" i="163"/>
  <c r="F17" i="163" s="1"/>
  <c r="F16" i="163"/>
  <c r="L16" i="163" s="1"/>
  <c r="D15" i="163"/>
  <c r="F15" i="163" s="1"/>
  <c r="D14" i="163"/>
  <c r="F14" i="163" s="1"/>
  <c r="G13" i="163"/>
  <c r="D13" i="163"/>
  <c r="D12" i="163"/>
  <c r="F12" i="163" s="1"/>
  <c r="F9" i="163"/>
  <c r="L9" i="163" s="1"/>
  <c r="K6" i="163"/>
  <c r="E6" i="163"/>
  <c r="L43" i="162"/>
  <c r="L42" i="161"/>
  <c r="M40" i="163" l="1"/>
  <c r="L51" i="163"/>
  <c r="F4" i="163"/>
  <c r="M4" i="163" s="1"/>
  <c r="M6" i="163" s="1"/>
  <c r="Q55" i="163" s="1"/>
  <c r="G36" i="163"/>
  <c r="L18" i="163"/>
  <c r="M18" i="163" s="1"/>
  <c r="N18" i="163" s="1"/>
  <c r="L26" i="163"/>
  <c r="M26" i="163" s="1"/>
  <c r="N26" i="163" s="1"/>
  <c r="D36" i="163"/>
  <c r="F13" i="163"/>
  <c r="M16" i="163"/>
  <c r="N16" i="163" s="1"/>
  <c r="M9" i="163"/>
  <c r="N40" i="163"/>
  <c r="L25" i="163"/>
  <c r="M32" i="163"/>
  <c r="N32" i="163" s="1"/>
  <c r="H6" i="163"/>
  <c r="H36" i="163"/>
  <c r="H28" i="162"/>
  <c r="D28" i="162"/>
  <c r="F28" i="162" s="1"/>
  <c r="H27" i="162"/>
  <c r="G27" i="162"/>
  <c r="D27" i="162"/>
  <c r="F27" i="162" s="1"/>
  <c r="H20" i="162"/>
  <c r="D20" i="162"/>
  <c r="F20" i="162" s="1"/>
  <c r="G7" i="162"/>
  <c r="G8" i="162" s="1"/>
  <c r="D7" i="162"/>
  <c r="F7" i="162" s="1"/>
  <c r="M7" i="162" s="1"/>
  <c r="H7" i="162"/>
  <c r="D6" i="162"/>
  <c r="F29" i="162"/>
  <c r="H6" i="162"/>
  <c r="H37" i="162"/>
  <c r="H36" i="162"/>
  <c r="H30" i="162"/>
  <c r="H31" i="162"/>
  <c r="H32" i="162"/>
  <c r="H33" i="162"/>
  <c r="H22" i="162"/>
  <c r="H23" i="162"/>
  <c r="H24" i="162"/>
  <c r="H25" i="162"/>
  <c r="H26" i="162"/>
  <c r="H21" i="162"/>
  <c r="H19" i="162"/>
  <c r="H17" i="162"/>
  <c r="H16" i="162"/>
  <c r="H15" i="162"/>
  <c r="H14" i="162"/>
  <c r="H5" i="162"/>
  <c r="H4" i="162"/>
  <c r="E8" i="162"/>
  <c r="K8" i="162"/>
  <c r="F13" i="162"/>
  <c r="L13" i="162" s="1"/>
  <c r="D5" i="162"/>
  <c r="F5" i="162" s="1"/>
  <c r="M5" i="162" s="1"/>
  <c r="D4" i="162"/>
  <c r="F4" i="162" s="1"/>
  <c r="M4" i="162" s="1"/>
  <c r="F12" i="162"/>
  <c r="L50" i="162"/>
  <c r="D50" i="162"/>
  <c r="L49" i="162"/>
  <c r="D49" i="162"/>
  <c r="L47" i="162"/>
  <c r="D47" i="162"/>
  <c r="M42" i="162"/>
  <c r="N42" i="162" s="1"/>
  <c r="M41" i="162"/>
  <c r="K38" i="162"/>
  <c r="E38" i="162"/>
  <c r="D37" i="162"/>
  <c r="F37" i="162" s="1"/>
  <c r="D36" i="162"/>
  <c r="F36" i="162" s="1"/>
  <c r="F35" i="162"/>
  <c r="F34" i="162"/>
  <c r="L34" i="162" s="1"/>
  <c r="M34" i="162" s="1"/>
  <c r="N34" i="162" s="1"/>
  <c r="D33" i="162"/>
  <c r="F33" i="162" s="1"/>
  <c r="D32" i="162"/>
  <c r="F32" i="162" s="1"/>
  <c r="D31" i="162"/>
  <c r="F31" i="162" s="1"/>
  <c r="D30" i="162"/>
  <c r="F30" i="162" s="1"/>
  <c r="D26" i="162"/>
  <c r="F26" i="162" s="1"/>
  <c r="D25" i="162"/>
  <c r="F25" i="162" s="1"/>
  <c r="G24" i="162"/>
  <c r="D24" i="162"/>
  <c r="F24" i="162" s="1"/>
  <c r="D23" i="162"/>
  <c r="F23" i="162" s="1"/>
  <c r="F22" i="162"/>
  <c r="D21" i="162"/>
  <c r="F21" i="162" s="1"/>
  <c r="D19" i="162"/>
  <c r="F19" i="162" s="1"/>
  <c r="F18" i="162"/>
  <c r="L18" i="162" s="1"/>
  <c r="D17" i="162"/>
  <c r="F17" i="162" s="1"/>
  <c r="D16" i="162"/>
  <c r="F16" i="162" s="1"/>
  <c r="G15" i="162"/>
  <c r="D15" i="162"/>
  <c r="F15" i="162" s="1"/>
  <c r="D14" i="162"/>
  <c r="F14" i="162" s="1"/>
  <c r="F11" i="162"/>
  <c r="L11" i="162" s="1"/>
  <c r="M41" i="161"/>
  <c r="N41" i="161" s="1"/>
  <c r="M43" i="162" l="1"/>
  <c r="F6" i="163"/>
  <c r="M25" i="163"/>
  <c r="N25" i="163" s="1"/>
  <c r="F36" i="163"/>
  <c r="N9" i="163"/>
  <c r="L52" i="162"/>
  <c r="G38" i="162"/>
  <c r="L35" i="162"/>
  <c r="M35" i="162" s="1"/>
  <c r="N35" i="162" s="1"/>
  <c r="D8" i="162"/>
  <c r="F6" i="162"/>
  <c r="M6" i="162" s="1"/>
  <c r="H8" i="162"/>
  <c r="N41" i="162"/>
  <c r="N43" i="162" s="1"/>
  <c r="L29" i="162"/>
  <c r="M29" i="162" s="1"/>
  <c r="N29" i="162" s="1"/>
  <c r="M13" i="162"/>
  <c r="N13" i="162" s="1"/>
  <c r="H38" i="162"/>
  <c r="D38" i="162"/>
  <c r="M11" i="162"/>
  <c r="N11" i="162" s="1"/>
  <c r="M18" i="162"/>
  <c r="N18" i="162" s="1"/>
  <c r="F38" i="162"/>
  <c r="L12" i="162"/>
  <c r="D9" i="161"/>
  <c r="L49" i="161"/>
  <c r="D49" i="161"/>
  <c r="F8" i="162" l="1"/>
  <c r="M12" i="162"/>
  <c r="N12" i="162" s="1"/>
  <c r="H27" i="161"/>
  <c r="G27" i="161"/>
  <c r="D27" i="161"/>
  <c r="M8" i="162" l="1"/>
  <c r="Q56" i="162" s="1"/>
  <c r="H28" i="161"/>
  <c r="D28" i="161"/>
  <c r="F28" i="161" s="1"/>
  <c r="H9" i="161"/>
  <c r="G9" i="161"/>
  <c r="H34" i="161" l="1"/>
  <c r="G34" i="161"/>
  <c r="D34" i="161"/>
  <c r="H11" i="161"/>
  <c r="D11" i="161"/>
  <c r="H10" i="161"/>
  <c r="D10" i="161"/>
  <c r="D30" i="161" l="1"/>
  <c r="D15" i="161"/>
  <c r="F15" i="161" s="1"/>
  <c r="M5" i="161"/>
  <c r="F5" i="161"/>
  <c r="L5" i="161" s="1"/>
  <c r="N5" i="161" s="1"/>
  <c r="H24" i="161"/>
  <c r="D24" i="161"/>
  <c r="F24" i="161" s="1"/>
  <c r="H19" i="161"/>
  <c r="D19" i="161"/>
  <c r="F19" i="161" s="1"/>
  <c r="L48" i="161"/>
  <c r="D48" i="161"/>
  <c r="L46" i="161"/>
  <c r="L50" i="161" s="1"/>
  <c r="D46" i="161"/>
  <c r="K37" i="161"/>
  <c r="E37" i="161"/>
  <c r="H36" i="161"/>
  <c r="D36" i="161"/>
  <c r="F36" i="161" s="1"/>
  <c r="H35" i="161"/>
  <c r="D35" i="161"/>
  <c r="F35" i="161" s="1"/>
  <c r="F34" i="161"/>
  <c r="F33" i="161"/>
  <c r="L33" i="161" s="1"/>
  <c r="H32" i="161"/>
  <c r="D32" i="161"/>
  <c r="F32" i="161" s="1"/>
  <c r="H31" i="161"/>
  <c r="D31" i="161"/>
  <c r="F31" i="161" s="1"/>
  <c r="H30" i="161"/>
  <c r="H29" i="161"/>
  <c r="D29" i="161"/>
  <c r="F29" i="161" s="1"/>
  <c r="F27" i="161"/>
  <c r="F26" i="161"/>
  <c r="L26" i="161" s="1"/>
  <c r="F25" i="161"/>
  <c r="L25" i="161" s="1"/>
  <c r="H23" i="161"/>
  <c r="D23" i="161"/>
  <c r="F23" i="161" s="1"/>
  <c r="H22" i="161"/>
  <c r="G22" i="161"/>
  <c r="D22" i="161"/>
  <c r="F22" i="161" s="1"/>
  <c r="H21" i="161"/>
  <c r="D21" i="161"/>
  <c r="F21" i="161" s="1"/>
  <c r="H20" i="161"/>
  <c r="F20" i="161"/>
  <c r="F18" i="161"/>
  <c r="H17" i="161"/>
  <c r="D17" i="161"/>
  <c r="F17" i="161" s="1"/>
  <c r="F16" i="161"/>
  <c r="L16" i="161" s="1"/>
  <c r="H15" i="161"/>
  <c r="H14" i="161"/>
  <c r="D14" i="161"/>
  <c r="F14" i="161" s="1"/>
  <c r="H13" i="161"/>
  <c r="G13" i="161"/>
  <c r="D13" i="161"/>
  <c r="F13" i="161" s="1"/>
  <c r="H12" i="161"/>
  <c r="D12" i="161"/>
  <c r="F11" i="161"/>
  <c r="F10" i="161"/>
  <c r="F9" i="161"/>
  <c r="K6" i="161"/>
  <c r="I6" i="161"/>
  <c r="H6" i="161"/>
  <c r="G6" i="161"/>
  <c r="E6" i="161"/>
  <c r="D6" i="161"/>
  <c r="M4" i="161"/>
  <c r="J6" i="161"/>
  <c r="F4" i="161"/>
  <c r="D39" i="160"/>
  <c r="L39" i="160"/>
  <c r="L40" i="160" s="1"/>
  <c r="D37" i="161" l="1"/>
  <c r="L18" i="161"/>
  <c r="M18" i="161" s="1"/>
  <c r="N18" i="161" s="1"/>
  <c r="H37" i="161"/>
  <c r="F30" i="161"/>
  <c r="G37" i="161"/>
  <c r="M26" i="161"/>
  <c r="N26" i="161" s="1"/>
  <c r="M16" i="161"/>
  <c r="N16" i="161" s="1"/>
  <c r="F6" i="161"/>
  <c r="M6" i="161"/>
  <c r="Q54" i="161" s="1"/>
  <c r="L4" i="161"/>
  <c r="M33" i="161"/>
  <c r="N33" i="161" s="1"/>
  <c r="M25" i="161"/>
  <c r="N25" i="161" s="1"/>
  <c r="F12" i="161"/>
  <c r="M40" i="161"/>
  <c r="M42" i="161" s="1"/>
  <c r="M39" i="160"/>
  <c r="N39" i="160" s="1"/>
  <c r="N40" i="160" s="1"/>
  <c r="N40" i="161" l="1"/>
  <c r="N42" i="161" s="1"/>
  <c r="L6" i="161"/>
  <c r="N4" i="161"/>
  <c r="N6" i="161" s="1"/>
  <c r="F37" i="161"/>
  <c r="M40" i="160"/>
  <c r="H26" i="160"/>
  <c r="G26" i="160"/>
  <c r="D26" i="160"/>
  <c r="H11" i="160"/>
  <c r="D11" i="160"/>
  <c r="E6" i="160" l="1"/>
  <c r="G6" i="160"/>
  <c r="K6" i="160"/>
  <c r="H5" i="160"/>
  <c r="D5" i="160"/>
  <c r="M5" i="160" s="1"/>
  <c r="F24" i="160"/>
  <c r="L24" i="160" s="1"/>
  <c r="F19" i="160"/>
  <c r="L19" i="160" s="1"/>
  <c r="H4" i="160"/>
  <c r="D4" i="160"/>
  <c r="H30" i="160"/>
  <c r="D30" i="160"/>
  <c r="F30" i="160" s="1"/>
  <c r="L46" i="160"/>
  <c r="D46" i="160"/>
  <c r="L44" i="160"/>
  <c r="L47" i="160" s="1"/>
  <c r="D44" i="160"/>
  <c r="E36" i="160"/>
  <c r="H35" i="160"/>
  <c r="D35" i="160"/>
  <c r="F35" i="160" s="1"/>
  <c r="H34" i="160"/>
  <c r="D34" i="160"/>
  <c r="F34" i="160" s="1"/>
  <c r="F33" i="160"/>
  <c r="F32" i="160"/>
  <c r="L32" i="160" s="1"/>
  <c r="H31" i="160"/>
  <c r="D31" i="160"/>
  <c r="F31" i="160" s="1"/>
  <c r="H29" i="160"/>
  <c r="D29" i="160"/>
  <c r="F29" i="160" s="1"/>
  <c r="H28" i="160"/>
  <c r="D28" i="160"/>
  <c r="F28" i="160" s="1"/>
  <c r="H27" i="160"/>
  <c r="D27" i="160"/>
  <c r="F27" i="160" s="1"/>
  <c r="F26" i="160"/>
  <c r="F25" i="160"/>
  <c r="H23" i="160"/>
  <c r="D23" i="160"/>
  <c r="F23" i="160" s="1"/>
  <c r="H22" i="160"/>
  <c r="G22" i="160"/>
  <c r="D22" i="160"/>
  <c r="F22" i="160" s="1"/>
  <c r="H21" i="160"/>
  <c r="D21" i="160"/>
  <c r="F21" i="160" s="1"/>
  <c r="H20" i="160"/>
  <c r="F20" i="160"/>
  <c r="K36" i="160"/>
  <c r="H18" i="160"/>
  <c r="D18" i="160"/>
  <c r="F18" i="160" s="1"/>
  <c r="H17" i="160"/>
  <c r="D17" i="160"/>
  <c r="F17" i="160" s="1"/>
  <c r="F16" i="160"/>
  <c r="L16" i="160" s="1"/>
  <c r="H15" i="160"/>
  <c r="D15" i="160"/>
  <c r="F15" i="160" s="1"/>
  <c r="H14" i="160"/>
  <c r="D14" i="160"/>
  <c r="F14" i="160" s="1"/>
  <c r="H13" i="160"/>
  <c r="G13" i="160"/>
  <c r="D13" i="160"/>
  <c r="F13" i="160" s="1"/>
  <c r="H12" i="160"/>
  <c r="D12" i="160"/>
  <c r="F11" i="160"/>
  <c r="F10" i="160"/>
  <c r="L10" i="160" s="1"/>
  <c r="M10" i="160" s="1"/>
  <c r="N10" i="160" s="1"/>
  <c r="H9" i="160"/>
  <c r="F9" i="160"/>
  <c r="D36" i="160" l="1"/>
  <c r="F5" i="160"/>
  <c r="F4" i="160"/>
  <c r="M4" i="160"/>
  <c r="H6" i="160"/>
  <c r="M6" i="160"/>
  <c r="Q51" i="160" s="1"/>
  <c r="F12" i="160"/>
  <c r="F36" i="160" s="1"/>
  <c r="D6" i="160"/>
  <c r="L25" i="160"/>
  <c r="M25" i="160" s="1"/>
  <c r="N25" i="160" s="1"/>
  <c r="H36" i="160"/>
  <c r="L33" i="160"/>
  <c r="M33" i="160" s="1"/>
  <c r="N33" i="160" s="1"/>
  <c r="G36" i="160"/>
  <c r="M16" i="160"/>
  <c r="N16" i="160" s="1"/>
  <c r="M19" i="160"/>
  <c r="N19" i="160" s="1"/>
  <c r="M24" i="160"/>
  <c r="N24" i="160" s="1"/>
  <c r="M32" i="160"/>
  <c r="N32" i="160" s="1"/>
  <c r="H25" i="159"/>
  <c r="D25" i="159"/>
  <c r="F25" i="159" s="1"/>
  <c r="L47" i="159"/>
  <c r="D47" i="159"/>
  <c r="F6" i="160" l="1"/>
  <c r="D34" i="159"/>
  <c r="H34" i="159"/>
  <c r="H19" i="159" l="1"/>
  <c r="D19" i="159"/>
  <c r="K19" i="159"/>
  <c r="K37" i="159" s="1"/>
  <c r="D4" i="159"/>
  <c r="M4" i="159" s="1"/>
  <c r="F31" i="159"/>
  <c r="L31" i="159" s="1"/>
  <c r="H20" i="159"/>
  <c r="L45" i="159"/>
  <c r="L48" i="159" s="1"/>
  <c r="D45" i="159"/>
  <c r="N41" i="159"/>
  <c r="M41" i="159"/>
  <c r="L41" i="159"/>
  <c r="E37" i="159"/>
  <c r="H36" i="159"/>
  <c r="D36" i="159"/>
  <c r="F36" i="159" s="1"/>
  <c r="H35" i="159"/>
  <c r="D35" i="159"/>
  <c r="F35" i="159" s="1"/>
  <c r="F34" i="159"/>
  <c r="F33" i="159"/>
  <c r="L33" i="159" s="1"/>
  <c r="H32" i="159"/>
  <c r="D32" i="159"/>
  <c r="F32" i="159" s="1"/>
  <c r="H30" i="159"/>
  <c r="D30" i="159"/>
  <c r="F30" i="159" s="1"/>
  <c r="H29" i="159"/>
  <c r="D29" i="159"/>
  <c r="F29" i="159" s="1"/>
  <c r="H28" i="159"/>
  <c r="D28" i="159"/>
  <c r="F28" i="159" s="1"/>
  <c r="H27" i="159"/>
  <c r="D27" i="159"/>
  <c r="F27" i="159" s="1"/>
  <c r="H26" i="159"/>
  <c r="D26" i="159"/>
  <c r="F26" i="159" s="1"/>
  <c r="F24" i="159"/>
  <c r="L24" i="159" s="1"/>
  <c r="H23" i="159"/>
  <c r="D23" i="159"/>
  <c r="F23" i="159" s="1"/>
  <c r="H22" i="159"/>
  <c r="G22" i="159"/>
  <c r="D22" i="159"/>
  <c r="F22" i="159" s="1"/>
  <c r="H21" i="159"/>
  <c r="D21" i="159"/>
  <c r="F21" i="159" s="1"/>
  <c r="F20" i="159"/>
  <c r="H18" i="159"/>
  <c r="D18" i="159"/>
  <c r="F18" i="159" s="1"/>
  <c r="H17" i="159"/>
  <c r="D17" i="159"/>
  <c r="F17" i="159" s="1"/>
  <c r="F16" i="159"/>
  <c r="H15" i="159"/>
  <c r="D15" i="159"/>
  <c r="F15" i="159" s="1"/>
  <c r="H14" i="159"/>
  <c r="D14" i="159"/>
  <c r="F14" i="159" s="1"/>
  <c r="H13" i="159"/>
  <c r="G13" i="159"/>
  <c r="D13" i="159"/>
  <c r="F13" i="159" s="1"/>
  <c r="H12" i="159"/>
  <c r="D12" i="159"/>
  <c r="F12" i="159" s="1"/>
  <c r="H11" i="159"/>
  <c r="D11" i="159"/>
  <c r="F10" i="159"/>
  <c r="L10" i="159" s="1"/>
  <c r="H9" i="159"/>
  <c r="F9" i="159"/>
  <c r="K6" i="159"/>
  <c r="G6" i="159"/>
  <c r="E6" i="159"/>
  <c r="M5" i="159"/>
  <c r="F5" i="159"/>
  <c r="L5" i="159" s="1"/>
  <c r="H4" i="159"/>
  <c r="H6" i="159" s="1"/>
  <c r="D6" i="159"/>
  <c r="N5" i="159" l="1"/>
  <c r="M24" i="159"/>
  <c r="N24" i="159" s="1"/>
  <c r="D37" i="159"/>
  <c r="F19" i="159"/>
  <c r="L16" i="159"/>
  <c r="M16" i="159" s="1"/>
  <c r="N16" i="159" s="1"/>
  <c r="H37" i="159"/>
  <c r="G37" i="159"/>
  <c r="F4" i="159"/>
  <c r="M6" i="159"/>
  <c r="Q52" i="159" s="1"/>
  <c r="M10" i="159"/>
  <c r="N10" i="159" s="1"/>
  <c r="M31" i="159"/>
  <c r="N31" i="159" s="1"/>
  <c r="M33" i="159"/>
  <c r="N33" i="159" s="1"/>
  <c r="F11" i="159"/>
  <c r="F6" i="159" l="1"/>
  <c r="F37" i="159"/>
  <c r="H16" i="158" l="1"/>
  <c r="G16" i="158"/>
  <c r="D16" i="158"/>
  <c r="F16" i="158" s="1"/>
  <c r="H30" i="158" l="1"/>
  <c r="D30" i="158"/>
  <c r="K30" i="158"/>
  <c r="K36" i="158"/>
  <c r="D4" i="158" l="1"/>
  <c r="F4" i="158" s="1"/>
  <c r="H28" i="158"/>
  <c r="D28" i="158"/>
  <c r="F28" i="158" s="1"/>
  <c r="L44" i="158"/>
  <c r="L46" i="158" s="1"/>
  <c r="D44" i="158"/>
  <c r="N40" i="158"/>
  <c r="M40" i="158"/>
  <c r="L40" i="158"/>
  <c r="E36" i="158"/>
  <c r="H35" i="158"/>
  <c r="D35" i="158"/>
  <c r="F35" i="158" s="1"/>
  <c r="H34" i="158"/>
  <c r="D34" i="158"/>
  <c r="F34" i="158" s="1"/>
  <c r="H33" i="158"/>
  <c r="D33" i="158"/>
  <c r="F33" i="158" s="1"/>
  <c r="F32" i="158"/>
  <c r="L32" i="158" s="1"/>
  <c r="M32" i="158" s="1"/>
  <c r="N32" i="158" s="1"/>
  <c r="H31" i="158"/>
  <c r="D31" i="158"/>
  <c r="F31" i="158" s="1"/>
  <c r="F30" i="158"/>
  <c r="H29" i="158"/>
  <c r="D29" i="158"/>
  <c r="F29" i="158" s="1"/>
  <c r="H27" i="158"/>
  <c r="D27" i="158"/>
  <c r="F27" i="158" s="1"/>
  <c r="H26" i="158"/>
  <c r="D26" i="158"/>
  <c r="F26" i="158" s="1"/>
  <c r="H25" i="158"/>
  <c r="D25" i="158"/>
  <c r="F25" i="158" s="1"/>
  <c r="H24" i="158"/>
  <c r="G24" i="158"/>
  <c r="D24" i="158"/>
  <c r="F24" i="158" s="1"/>
  <c r="H23" i="158"/>
  <c r="D23" i="158"/>
  <c r="F23" i="158" s="1"/>
  <c r="H22" i="158"/>
  <c r="G22" i="158"/>
  <c r="D22" i="158"/>
  <c r="F22" i="158" s="1"/>
  <c r="H21" i="158"/>
  <c r="D21" i="158"/>
  <c r="F21" i="158" s="1"/>
  <c r="F20" i="158"/>
  <c r="L20" i="158" s="1"/>
  <c r="F19" i="158"/>
  <c r="L19" i="158" s="1"/>
  <c r="M19" i="158" s="1"/>
  <c r="N19" i="158" s="1"/>
  <c r="H18" i="158"/>
  <c r="D18" i="158"/>
  <c r="F18" i="158" s="1"/>
  <c r="H17" i="158"/>
  <c r="D17" i="158"/>
  <c r="H15" i="158"/>
  <c r="D15" i="158"/>
  <c r="F15" i="158" s="1"/>
  <c r="H14" i="158"/>
  <c r="D14" i="158"/>
  <c r="F14" i="158" s="1"/>
  <c r="H13" i="158"/>
  <c r="G13" i="158"/>
  <c r="D13" i="158"/>
  <c r="F13" i="158" s="1"/>
  <c r="H12" i="158"/>
  <c r="D12" i="158"/>
  <c r="F12" i="158" s="1"/>
  <c r="H11" i="158"/>
  <c r="D11" i="158"/>
  <c r="F10" i="158"/>
  <c r="L10" i="158" s="1"/>
  <c r="H9" i="158"/>
  <c r="F9" i="158"/>
  <c r="K6" i="158"/>
  <c r="G6" i="158"/>
  <c r="E6" i="158"/>
  <c r="M5" i="158"/>
  <c r="F5" i="158"/>
  <c r="L5" i="158" s="1"/>
  <c r="H4" i="158"/>
  <c r="H6" i="158" s="1"/>
  <c r="D36" i="158" l="1"/>
  <c r="M4" i="158"/>
  <c r="M6" i="158" s="1"/>
  <c r="Q50" i="158" s="1"/>
  <c r="F17" i="158"/>
  <c r="N5" i="158"/>
  <c r="G36" i="158"/>
  <c r="F6" i="158"/>
  <c r="D6" i="158"/>
  <c r="F11" i="158"/>
  <c r="H36" i="158"/>
  <c r="M20" i="158"/>
  <c r="N20" i="158" s="1"/>
  <c r="M10" i="158"/>
  <c r="N10" i="158" s="1"/>
  <c r="H24" i="157"/>
  <c r="G24" i="157"/>
  <c r="D24" i="157"/>
  <c r="F36" i="158" l="1"/>
  <c r="F24" i="157"/>
  <c r="K20" i="157" l="1"/>
  <c r="H20" i="157"/>
  <c r="D20" i="157"/>
  <c r="H4" i="157" l="1"/>
  <c r="F28" i="157"/>
  <c r="D4" i="157"/>
  <c r="M4" i="157" s="1"/>
  <c r="H25" i="157"/>
  <c r="D25" i="157"/>
  <c r="F25" i="157" s="1"/>
  <c r="L44" i="157"/>
  <c r="L46" i="157" s="1"/>
  <c r="D44" i="157"/>
  <c r="M40" i="157"/>
  <c r="L40" i="157"/>
  <c r="N40" i="157"/>
  <c r="E36" i="157"/>
  <c r="H35" i="157"/>
  <c r="D35" i="157"/>
  <c r="F35" i="157" s="1"/>
  <c r="H34" i="157"/>
  <c r="D34" i="157"/>
  <c r="F34" i="157" s="1"/>
  <c r="H33" i="157"/>
  <c r="D33" i="157"/>
  <c r="F33" i="157" s="1"/>
  <c r="F32" i="157"/>
  <c r="H31" i="157"/>
  <c r="D31" i="157"/>
  <c r="F31" i="157" s="1"/>
  <c r="F30" i="157"/>
  <c r="L30" i="157" s="1"/>
  <c r="H29" i="157"/>
  <c r="D29" i="157"/>
  <c r="F29" i="157" s="1"/>
  <c r="H27" i="157"/>
  <c r="D27" i="157"/>
  <c r="F27" i="157" s="1"/>
  <c r="H26" i="157"/>
  <c r="D26" i="157"/>
  <c r="F26" i="157" s="1"/>
  <c r="H23" i="157"/>
  <c r="D23" i="157"/>
  <c r="F23" i="157" s="1"/>
  <c r="H22" i="157"/>
  <c r="G22" i="157"/>
  <c r="D22" i="157"/>
  <c r="F22" i="157" s="1"/>
  <c r="H21" i="157"/>
  <c r="D21" i="157"/>
  <c r="F21" i="157" s="1"/>
  <c r="F20" i="157"/>
  <c r="F19" i="157"/>
  <c r="L19" i="157" s="1"/>
  <c r="H18" i="157"/>
  <c r="D18" i="157"/>
  <c r="F18" i="157" s="1"/>
  <c r="H17" i="157"/>
  <c r="D17" i="157"/>
  <c r="F17" i="157" s="1"/>
  <c r="H16" i="157"/>
  <c r="D16" i="157"/>
  <c r="F16" i="157" s="1"/>
  <c r="H15" i="157"/>
  <c r="D15" i="157"/>
  <c r="F15" i="157" s="1"/>
  <c r="H14" i="157"/>
  <c r="D14" i="157"/>
  <c r="F14" i="157" s="1"/>
  <c r="H13" i="157"/>
  <c r="G13" i="157"/>
  <c r="D13" i="157"/>
  <c r="F13" i="157" s="1"/>
  <c r="H12" i="157"/>
  <c r="D12" i="157"/>
  <c r="F12" i="157" s="1"/>
  <c r="H11" i="157"/>
  <c r="D11" i="157"/>
  <c r="F11" i="157" s="1"/>
  <c r="F10" i="157"/>
  <c r="L10" i="157" s="1"/>
  <c r="M10" i="157" s="1"/>
  <c r="H9" i="157"/>
  <c r="F9" i="157"/>
  <c r="K6" i="157"/>
  <c r="G6" i="157"/>
  <c r="E6" i="157"/>
  <c r="M5" i="157"/>
  <c r="F5" i="157"/>
  <c r="L5" i="157" s="1"/>
  <c r="D6" i="157" l="1"/>
  <c r="F4" i="157"/>
  <c r="G36" i="157"/>
  <c r="N5" i="157"/>
  <c r="H36" i="157"/>
  <c r="N10" i="157"/>
  <c r="L32" i="157"/>
  <c r="M32" i="157" s="1"/>
  <c r="N32" i="157" s="1"/>
  <c r="F6" i="157"/>
  <c r="M6" i="157"/>
  <c r="Q50" i="157" s="1"/>
  <c r="D36" i="157"/>
  <c r="F36" i="157"/>
  <c r="H6" i="157"/>
  <c r="M19" i="157"/>
  <c r="N19" i="157" s="1"/>
  <c r="L28" i="157"/>
  <c r="M30" i="157"/>
  <c r="N30" i="157" s="1"/>
  <c r="G32" i="156"/>
  <c r="H32" i="156"/>
  <c r="F32" i="156"/>
  <c r="D32" i="156"/>
  <c r="M28" i="157" l="1"/>
  <c r="N28" i="157" s="1"/>
  <c r="H28" i="156"/>
  <c r="G28" i="156"/>
  <c r="D28" i="156"/>
  <c r="M36" i="154"/>
  <c r="M39" i="156" l="1"/>
  <c r="N39" i="156" s="1"/>
  <c r="N40" i="156" s="1"/>
  <c r="H5" i="156"/>
  <c r="D5" i="156"/>
  <c r="M5" i="156" s="1"/>
  <c r="H4" i="156"/>
  <c r="D4" i="156"/>
  <c r="M4" i="156" s="1"/>
  <c r="G6" i="156"/>
  <c r="E6" i="156"/>
  <c r="K6" i="156"/>
  <c r="L44" i="156"/>
  <c r="L46" i="156" s="1"/>
  <c r="D44" i="156"/>
  <c r="M40" i="156"/>
  <c r="L40" i="156"/>
  <c r="E36" i="156"/>
  <c r="H35" i="156"/>
  <c r="D35" i="156"/>
  <c r="F35" i="156" s="1"/>
  <c r="H34" i="156"/>
  <c r="D34" i="156"/>
  <c r="F34" i="156" s="1"/>
  <c r="H33" i="156"/>
  <c r="D33" i="156"/>
  <c r="F33" i="156" s="1"/>
  <c r="H31" i="156"/>
  <c r="D31" i="156"/>
  <c r="F31" i="156" s="1"/>
  <c r="F30" i="156"/>
  <c r="L30" i="156" s="1"/>
  <c r="H29" i="156"/>
  <c r="D29" i="156"/>
  <c r="F29" i="156" s="1"/>
  <c r="F28" i="156"/>
  <c r="H27" i="156"/>
  <c r="D27" i="156"/>
  <c r="F27" i="156" s="1"/>
  <c r="H26" i="156"/>
  <c r="D26" i="156"/>
  <c r="F26" i="156" s="1"/>
  <c r="F25" i="156"/>
  <c r="L25" i="156" s="1"/>
  <c r="F24" i="156"/>
  <c r="H23" i="156"/>
  <c r="D23" i="156"/>
  <c r="F23" i="156" s="1"/>
  <c r="H22" i="156"/>
  <c r="G22" i="156"/>
  <c r="D22" i="156"/>
  <c r="F22" i="156" s="1"/>
  <c r="H21" i="156"/>
  <c r="D21" i="156"/>
  <c r="F21" i="156" s="1"/>
  <c r="F20" i="156"/>
  <c r="F19" i="156"/>
  <c r="L19" i="156" s="1"/>
  <c r="M19" i="156" s="1"/>
  <c r="H18" i="156"/>
  <c r="D18" i="156"/>
  <c r="F18" i="156" s="1"/>
  <c r="H17" i="156"/>
  <c r="D17" i="156"/>
  <c r="F17" i="156" s="1"/>
  <c r="H16" i="156"/>
  <c r="D16" i="156"/>
  <c r="F16" i="156" s="1"/>
  <c r="H15" i="156"/>
  <c r="D15" i="156"/>
  <c r="F15" i="156" s="1"/>
  <c r="H14" i="156"/>
  <c r="D14" i="156"/>
  <c r="F14" i="156" s="1"/>
  <c r="H13" i="156"/>
  <c r="G13" i="156"/>
  <c r="D13" i="156"/>
  <c r="F13" i="156" s="1"/>
  <c r="H12" i="156"/>
  <c r="D12" i="156"/>
  <c r="F12" i="156" s="1"/>
  <c r="H11" i="156"/>
  <c r="D11" i="156"/>
  <c r="F10" i="156"/>
  <c r="H9" i="156"/>
  <c r="F9" i="156"/>
  <c r="H23" i="155"/>
  <c r="G23" i="155"/>
  <c r="D23" i="155"/>
  <c r="E36" i="155"/>
  <c r="D36" i="156" l="1"/>
  <c r="F11" i="156"/>
  <c r="F4" i="156"/>
  <c r="F5" i="156"/>
  <c r="D6" i="156"/>
  <c r="H6" i="156"/>
  <c r="M6" i="156"/>
  <c r="Q50" i="156" s="1"/>
  <c r="G36" i="156"/>
  <c r="L20" i="156"/>
  <c r="M20" i="156" s="1"/>
  <c r="N20" i="156" s="1"/>
  <c r="L24" i="156"/>
  <c r="M24" i="156" s="1"/>
  <c r="N24" i="156" s="1"/>
  <c r="L10" i="156"/>
  <c r="M10" i="156" s="1"/>
  <c r="N10" i="156" s="1"/>
  <c r="H36" i="156"/>
  <c r="M25" i="156"/>
  <c r="N25" i="156" s="1"/>
  <c r="M30" i="156"/>
  <c r="N30" i="156" s="1"/>
  <c r="N19" i="156"/>
  <c r="F36" i="156"/>
  <c r="M35" i="154"/>
  <c r="L35" i="154"/>
  <c r="H25" i="155"/>
  <c r="G25" i="155"/>
  <c r="D25" i="155"/>
  <c r="F25" i="155"/>
  <c r="F6" i="156" l="1"/>
  <c r="H19" i="155"/>
  <c r="G19" i="155"/>
  <c r="D19" i="155"/>
  <c r="H9" i="155" l="1"/>
  <c r="G9" i="155"/>
  <c r="D9" i="155"/>
  <c r="H24" i="155" l="1"/>
  <c r="D24" i="155"/>
  <c r="M34" i="154" l="1"/>
  <c r="I5" i="155"/>
  <c r="H16" i="155"/>
  <c r="D16" i="155"/>
  <c r="F19" i="155" l="1"/>
  <c r="L44" i="155"/>
  <c r="L46" i="155" s="1"/>
  <c r="D44" i="155"/>
  <c r="M40" i="155"/>
  <c r="L40" i="155"/>
  <c r="N40" i="155"/>
  <c r="H35" i="155"/>
  <c r="D35" i="155"/>
  <c r="F35" i="155" s="1"/>
  <c r="H34" i="155"/>
  <c r="D34" i="155"/>
  <c r="F34" i="155" s="1"/>
  <c r="H33" i="155"/>
  <c r="D33" i="155"/>
  <c r="F33" i="155" s="1"/>
  <c r="H32" i="155"/>
  <c r="D32" i="155"/>
  <c r="F32" i="155" s="1"/>
  <c r="H31" i="155"/>
  <c r="D31" i="155"/>
  <c r="F31" i="155" s="1"/>
  <c r="F30" i="155"/>
  <c r="L30" i="155" s="1"/>
  <c r="H29" i="155"/>
  <c r="D29" i="155"/>
  <c r="F29" i="155" s="1"/>
  <c r="F28" i="155"/>
  <c r="L28" i="155" s="1"/>
  <c r="H27" i="155"/>
  <c r="D27" i="155"/>
  <c r="F27" i="155" s="1"/>
  <c r="H26" i="155"/>
  <c r="D26" i="155"/>
  <c r="F26" i="155" s="1"/>
  <c r="F24" i="155"/>
  <c r="F23" i="155"/>
  <c r="H22" i="155"/>
  <c r="D22" i="155"/>
  <c r="F22" i="155" s="1"/>
  <c r="H21" i="155"/>
  <c r="G21" i="155"/>
  <c r="D21" i="155"/>
  <c r="F21" i="155" s="1"/>
  <c r="H20" i="155"/>
  <c r="D20" i="155"/>
  <c r="F20" i="155" s="1"/>
  <c r="H18" i="155"/>
  <c r="F18" i="155"/>
  <c r="H17" i="155"/>
  <c r="D17" i="155"/>
  <c r="F17" i="155" s="1"/>
  <c r="F16" i="155"/>
  <c r="H15" i="155"/>
  <c r="D15" i="155"/>
  <c r="F15" i="155" s="1"/>
  <c r="H14" i="155"/>
  <c r="D14" i="155"/>
  <c r="F14" i="155" s="1"/>
  <c r="H13" i="155"/>
  <c r="D13" i="155"/>
  <c r="F13" i="155" s="1"/>
  <c r="H12" i="155"/>
  <c r="G12" i="155"/>
  <c r="D12" i="155"/>
  <c r="H11" i="155"/>
  <c r="D11" i="155"/>
  <c r="F11" i="155" s="1"/>
  <c r="H10" i="155"/>
  <c r="D10" i="155"/>
  <c r="H8" i="155"/>
  <c r="F8" i="155"/>
  <c r="K5" i="155"/>
  <c r="G5" i="155"/>
  <c r="E5" i="155"/>
  <c r="J5" i="155"/>
  <c r="H5" i="155"/>
  <c r="F4" i="155"/>
  <c r="L4" i="155" s="1"/>
  <c r="D5" i="155"/>
  <c r="G36" i="155" l="1"/>
  <c r="F10" i="155"/>
  <c r="D36" i="155"/>
  <c r="H36" i="155"/>
  <c r="F9" i="155"/>
  <c r="L18" i="155"/>
  <c r="M18" i="155" s="1"/>
  <c r="N18" i="155" s="1"/>
  <c r="M30" i="155"/>
  <c r="N30" i="155" s="1"/>
  <c r="L5" i="155"/>
  <c r="M28" i="155"/>
  <c r="N28" i="155" s="1"/>
  <c r="M4" i="155"/>
  <c r="M5" i="155" s="1"/>
  <c r="Q50" i="155" s="1"/>
  <c r="F5" i="155"/>
  <c r="F12" i="155"/>
  <c r="L39" i="153"/>
  <c r="F36" i="155" l="1"/>
  <c r="N4" i="155"/>
  <c r="N5" i="155" s="1"/>
  <c r="L8" i="154"/>
  <c r="M8" i="154" s="1"/>
  <c r="M26" i="154"/>
  <c r="M6" i="154"/>
  <c r="H23" i="154"/>
  <c r="I23" i="154" s="1"/>
  <c r="M23" i="154"/>
  <c r="M21" i="154"/>
  <c r="H18" i="154"/>
  <c r="I18" i="154" s="1"/>
  <c r="M18" i="154"/>
  <c r="M17" i="154"/>
  <c r="M9" i="154"/>
  <c r="B4" i="154"/>
  <c r="B1" i="154"/>
  <c r="B2" i="154" s="1"/>
  <c r="M3" i="154"/>
  <c r="F30" i="154"/>
  <c r="M29" i="154"/>
  <c r="M28" i="154"/>
  <c r="M27" i="154"/>
  <c r="M25" i="154"/>
  <c r="M24" i="154"/>
  <c r="M22" i="154"/>
  <c r="M20" i="154"/>
  <c r="M19" i="154"/>
  <c r="M16" i="154"/>
  <c r="M15" i="154"/>
  <c r="M14" i="154"/>
  <c r="M12" i="154"/>
  <c r="M11" i="154"/>
  <c r="M10" i="154"/>
  <c r="M7" i="154"/>
  <c r="M5" i="154"/>
  <c r="M4" i="154"/>
  <c r="I29" i="163" l="1"/>
  <c r="I31" i="162"/>
  <c r="I30" i="161"/>
  <c r="H9" i="154"/>
  <c r="I9" i="154" s="1"/>
  <c r="H46" i="154"/>
  <c r="I46" i="154" s="1"/>
  <c r="H45" i="154"/>
  <c r="I45" i="154" s="1"/>
  <c r="H44" i="154"/>
  <c r="I44" i="154" s="1"/>
  <c r="H42" i="154"/>
  <c r="I42" i="154" s="1"/>
  <c r="H43" i="154"/>
  <c r="I43" i="154" s="1"/>
  <c r="H41" i="154"/>
  <c r="I41" i="154" s="1"/>
  <c r="I15" i="160"/>
  <c r="I15" i="159"/>
  <c r="I14" i="155"/>
  <c r="H3" i="154"/>
  <c r="I3" i="154" s="1"/>
  <c r="I9" i="161" s="1"/>
  <c r="H28" i="154"/>
  <c r="B5" i="154"/>
  <c r="C4" i="154"/>
  <c r="C1" i="154"/>
  <c r="H40" i="154"/>
  <c r="I40" i="154" s="1"/>
  <c r="H39" i="154"/>
  <c r="I39" i="154" s="1"/>
  <c r="H38" i="154"/>
  <c r="I38" i="154" s="1"/>
  <c r="H37" i="154"/>
  <c r="I37" i="154" s="1"/>
  <c r="H36" i="154"/>
  <c r="I36" i="154" s="1"/>
  <c r="H35" i="154"/>
  <c r="I35" i="154" s="1"/>
  <c r="H34" i="154"/>
  <c r="I34" i="154" s="1"/>
  <c r="H6" i="154"/>
  <c r="I6" i="154" s="1"/>
  <c r="H21" i="154"/>
  <c r="I21" i="154" s="1"/>
  <c r="I27" i="161" s="1"/>
  <c r="I29" i="160"/>
  <c r="I30" i="159"/>
  <c r="I29" i="158"/>
  <c r="I29" i="157"/>
  <c r="I29" i="156"/>
  <c r="I29" i="155"/>
  <c r="H17" i="154"/>
  <c r="I17" i="154" s="1"/>
  <c r="H20" i="154"/>
  <c r="H12" i="154"/>
  <c r="H22" i="154"/>
  <c r="H14" i="154"/>
  <c r="H24" i="154"/>
  <c r="H16" i="154"/>
  <c r="H26" i="154"/>
  <c r="H10" i="154"/>
  <c r="H11" i="154"/>
  <c r="H13" i="154"/>
  <c r="H15" i="154"/>
  <c r="H19" i="154"/>
  <c r="H25" i="154"/>
  <c r="H27" i="154"/>
  <c r="H29" i="154"/>
  <c r="H4" i="154"/>
  <c r="H5" i="154"/>
  <c r="H7" i="154"/>
  <c r="H8" i="154"/>
  <c r="H29" i="153"/>
  <c r="H23" i="153"/>
  <c r="H25" i="153"/>
  <c r="H26" i="153"/>
  <c r="H27" i="153"/>
  <c r="H28" i="153"/>
  <c r="H30" i="153"/>
  <c r="H31" i="153"/>
  <c r="H32" i="153"/>
  <c r="H33" i="153"/>
  <c r="H34" i="153"/>
  <c r="H24" i="153"/>
  <c r="H9" i="153"/>
  <c r="H10" i="153"/>
  <c r="H11" i="153"/>
  <c r="H12" i="153"/>
  <c r="H13" i="153"/>
  <c r="H14" i="153"/>
  <c r="H15" i="153"/>
  <c r="H17" i="153"/>
  <c r="H18" i="153"/>
  <c r="H19" i="153"/>
  <c r="H20" i="153"/>
  <c r="H21" i="153"/>
  <c r="H22" i="153"/>
  <c r="H8" i="153"/>
  <c r="H4" i="153"/>
  <c r="J29" i="153"/>
  <c r="G29" i="153"/>
  <c r="D29" i="153"/>
  <c r="I33" i="163" l="1"/>
  <c r="I7" i="162"/>
  <c r="I34" i="161"/>
  <c r="I27" i="163"/>
  <c r="I6" i="162"/>
  <c r="I28" i="161"/>
  <c r="I10" i="163"/>
  <c r="I4" i="162"/>
  <c r="I10" i="161"/>
  <c r="I24" i="163"/>
  <c r="I26" i="162"/>
  <c r="I24" i="161"/>
  <c r="I5" i="163"/>
  <c r="I28" i="162"/>
  <c r="I4" i="163"/>
  <c r="I27" i="162"/>
  <c r="I15" i="163"/>
  <c r="I17" i="162"/>
  <c r="I15" i="161"/>
  <c r="I30" i="163"/>
  <c r="I32" i="162"/>
  <c r="I31" i="161"/>
  <c r="J45" i="154"/>
  <c r="K45" i="154" s="1"/>
  <c r="J46" i="154"/>
  <c r="K46" i="154" s="1"/>
  <c r="J44" i="154"/>
  <c r="K44" i="154" s="1"/>
  <c r="J42" i="154"/>
  <c r="K42" i="154" s="1"/>
  <c r="J43" i="154"/>
  <c r="K43" i="154" s="1"/>
  <c r="J41" i="154"/>
  <c r="K41" i="154" s="1"/>
  <c r="I19" i="163"/>
  <c r="I21" i="162"/>
  <c r="I19" i="161"/>
  <c r="I11" i="163"/>
  <c r="I5" i="162"/>
  <c r="I11" i="161"/>
  <c r="I12" i="163"/>
  <c r="I14" i="162"/>
  <c r="I12" i="161"/>
  <c r="I15" i="156"/>
  <c r="I28" i="163"/>
  <c r="I30" i="162"/>
  <c r="I29" i="161"/>
  <c r="I15" i="157"/>
  <c r="I23" i="163"/>
  <c r="I25" i="162"/>
  <c r="I23" i="161"/>
  <c r="I20" i="163"/>
  <c r="I22" i="162"/>
  <c r="I20" i="161"/>
  <c r="I15" i="158"/>
  <c r="I12" i="160"/>
  <c r="I12" i="159"/>
  <c r="I12" i="158"/>
  <c r="I12" i="157"/>
  <c r="I12" i="156"/>
  <c r="I11" i="155"/>
  <c r="I24" i="158"/>
  <c r="I24" i="157"/>
  <c r="I4" i="156"/>
  <c r="I28" i="160"/>
  <c r="I4" i="159"/>
  <c r="I29" i="159"/>
  <c r="I4" i="158"/>
  <c r="I28" i="158"/>
  <c r="I4" i="157"/>
  <c r="I28" i="156"/>
  <c r="I23" i="160"/>
  <c r="I23" i="159"/>
  <c r="I23" i="158"/>
  <c r="I23" i="157"/>
  <c r="I23" i="156"/>
  <c r="I22" i="155"/>
  <c r="I20" i="160"/>
  <c r="I20" i="159"/>
  <c r="I20" i="157"/>
  <c r="I30" i="160"/>
  <c r="I30" i="158"/>
  <c r="I27" i="160"/>
  <c r="I28" i="159"/>
  <c r="I27" i="158"/>
  <c r="I27" i="157"/>
  <c r="I27" i="156"/>
  <c r="I27" i="155"/>
  <c r="N21" i="154"/>
  <c r="I26" i="159"/>
  <c r="I25" i="158"/>
  <c r="I25" i="157"/>
  <c r="I23" i="155"/>
  <c r="I5" i="156"/>
  <c r="I25" i="155"/>
  <c r="J40" i="154"/>
  <c r="K40" i="154" s="1"/>
  <c r="J39" i="154"/>
  <c r="K39" i="154" s="1"/>
  <c r="J38" i="154"/>
  <c r="K38" i="154" s="1"/>
  <c r="J37" i="154"/>
  <c r="K37" i="154" s="1"/>
  <c r="J36" i="154"/>
  <c r="K36" i="154" s="1"/>
  <c r="J35" i="154"/>
  <c r="K35" i="154" s="1"/>
  <c r="N35" i="154" s="1"/>
  <c r="J34" i="154"/>
  <c r="K34" i="154" s="1"/>
  <c r="N34" i="154" s="1"/>
  <c r="J25" i="154"/>
  <c r="J8" i="154"/>
  <c r="K8" i="154" s="1"/>
  <c r="J17" i="154"/>
  <c r="K17" i="154" s="1"/>
  <c r="J24" i="154"/>
  <c r="J7" i="154"/>
  <c r="K7" i="154" s="1"/>
  <c r="J23" i="154"/>
  <c r="K23" i="154" s="1"/>
  <c r="J22" i="154"/>
  <c r="J5" i="154"/>
  <c r="J20" i="154"/>
  <c r="K20" i="154" s="1"/>
  <c r="J4" i="154"/>
  <c r="K4" i="154" s="1"/>
  <c r="J9" i="155" s="1"/>
  <c r="J9" i="154"/>
  <c r="K9" i="154" s="1"/>
  <c r="J19" i="154"/>
  <c r="J3" i="154"/>
  <c r="J15" i="154"/>
  <c r="K15" i="154" s="1"/>
  <c r="J29" i="154"/>
  <c r="K29" i="154" s="1"/>
  <c r="J18" i="154"/>
  <c r="K18" i="154" s="1"/>
  <c r="N18" i="154" s="1"/>
  <c r="J28" i="154"/>
  <c r="K28" i="154" s="1"/>
  <c r="J12" i="154"/>
  <c r="K12" i="154" s="1"/>
  <c r="J20" i="162" s="1"/>
  <c r="J21" i="154"/>
  <c r="K21" i="154" s="1"/>
  <c r="J27" i="161" s="1"/>
  <c r="L27" i="161" s="1"/>
  <c r="M27" i="161" s="1"/>
  <c r="N27" i="161" s="1"/>
  <c r="J16" i="154"/>
  <c r="K16" i="154" s="1"/>
  <c r="J14" i="154"/>
  <c r="K14" i="154" s="1"/>
  <c r="J19" i="155" s="1"/>
  <c r="J13" i="154"/>
  <c r="K13" i="154" s="1"/>
  <c r="J27" i="154"/>
  <c r="K27" i="154" s="1"/>
  <c r="J11" i="154"/>
  <c r="J6" i="154"/>
  <c r="K6" i="154" s="1"/>
  <c r="J26" i="154"/>
  <c r="K26" i="154" s="1"/>
  <c r="J10" i="154"/>
  <c r="K10" i="154" s="1"/>
  <c r="I9" i="160"/>
  <c r="I9" i="159"/>
  <c r="I9" i="158"/>
  <c r="I9" i="157"/>
  <c r="I9" i="156"/>
  <c r="I8" i="155"/>
  <c r="I19" i="159"/>
  <c r="I5" i="160"/>
  <c r="I25" i="159"/>
  <c r="H35" i="153"/>
  <c r="I28" i="154"/>
  <c r="I20" i="154"/>
  <c r="I29" i="154"/>
  <c r="I13" i="154"/>
  <c r="I10" i="154"/>
  <c r="I22" i="154"/>
  <c r="K22" i="154"/>
  <c r="I27" i="154"/>
  <c r="I19" i="154"/>
  <c r="K19" i="154"/>
  <c r="J24" i="155" s="1"/>
  <c r="I11" i="154"/>
  <c r="K11" i="154"/>
  <c r="I24" i="154"/>
  <c r="K24" i="154"/>
  <c r="J4" i="160" s="1"/>
  <c r="I8" i="154"/>
  <c r="I4" i="154"/>
  <c r="I15" i="154"/>
  <c r="I14" i="154"/>
  <c r="I7" i="154"/>
  <c r="I16" i="154"/>
  <c r="I5" i="154"/>
  <c r="K5" i="154"/>
  <c r="I25" i="154"/>
  <c r="K25" i="154"/>
  <c r="I26" i="154"/>
  <c r="I12" i="154"/>
  <c r="I20" i="162" s="1"/>
  <c r="L20" i="162" s="1"/>
  <c r="M20" i="162" s="1"/>
  <c r="N20" i="162" s="1"/>
  <c r="H30" i="154"/>
  <c r="M38" i="153"/>
  <c r="N38" i="153" s="1"/>
  <c r="N39" i="153" s="1"/>
  <c r="D23" i="153"/>
  <c r="F23" i="153" s="1"/>
  <c r="J23" i="153"/>
  <c r="K5" i="153"/>
  <c r="J31" i="153"/>
  <c r="D31" i="153"/>
  <c r="F31" i="153" s="1"/>
  <c r="K42" i="140"/>
  <c r="F16" i="153"/>
  <c r="L16" i="153" s="1"/>
  <c r="D4" i="153"/>
  <c r="M4" i="153" s="1"/>
  <c r="J11" i="153"/>
  <c r="D11" i="153"/>
  <c r="F11" i="153" s="1"/>
  <c r="B100" i="153"/>
  <c r="E100" i="153" s="1"/>
  <c r="B98" i="153"/>
  <c r="E98" i="153" s="1"/>
  <c r="B96" i="153"/>
  <c r="E96" i="153" s="1"/>
  <c r="B94" i="153"/>
  <c r="E94" i="153" s="1"/>
  <c r="B92" i="153"/>
  <c r="E92" i="153" s="1"/>
  <c r="B90" i="153"/>
  <c r="E90" i="153" s="1"/>
  <c r="B88" i="153"/>
  <c r="E88" i="153" s="1"/>
  <c r="B86" i="153"/>
  <c r="E86" i="153" s="1"/>
  <c r="B84" i="153"/>
  <c r="E84" i="153" s="1"/>
  <c r="B82" i="153"/>
  <c r="E82" i="153" s="1"/>
  <c r="B80" i="153"/>
  <c r="E80" i="153" s="1"/>
  <c r="B78" i="153"/>
  <c r="E78" i="153" s="1"/>
  <c r="B76" i="153"/>
  <c r="E76" i="153" s="1"/>
  <c r="B74" i="153"/>
  <c r="E74" i="153" s="1"/>
  <c r="B72" i="153"/>
  <c r="E72" i="153" s="1"/>
  <c r="B70" i="153"/>
  <c r="E70" i="153" s="1"/>
  <c r="B68" i="153"/>
  <c r="E68" i="153" s="1"/>
  <c r="B66" i="153"/>
  <c r="E66" i="153" s="1"/>
  <c r="B64" i="153"/>
  <c r="E64" i="153" s="1"/>
  <c r="B62" i="153"/>
  <c r="E62" i="153" s="1"/>
  <c r="B60" i="153"/>
  <c r="E60" i="153" s="1"/>
  <c r="B58" i="153"/>
  <c r="E58" i="153" s="1"/>
  <c r="B56" i="153"/>
  <c r="E56" i="153" s="1"/>
  <c r="B54" i="153"/>
  <c r="E54" i="153" s="1"/>
  <c r="B52" i="153"/>
  <c r="E52" i="153" s="1"/>
  <c r="B50" i="153"/>
  <c r="E50" i="153" s="1"/>
  <c r="B48" i="153"/>
  <c r="E48" i="153" s="1"/>
  <c r="L43" i="153"/>
  <c r="L45" i="153" s="1"/>
  <c r="D43" i="153"/>
  <c r="E35" i="153"/>
  <c r="J34" i="153"/>
  <c r="D34" i="153"/>
  <c r="F34" i="153" s="1"/>
  <c r="J33" i="153"/>
  <c r="D33" i="153"/>
  <c r="F33" i="153" s="1"/>
  <c r="J32" i="153"/>
  <c r="D32" i="153"/>
  <c r="F32" i="153" s="1"/>
  <c r="J30" i="153"/>
  <c r="D30" i="153"/>
  <c r="F30" i="153" s="1"/>
  <c r="F29" i="153"/>
  <c r="J28" i="153"/>
  <c r="D28" i="153"/>
  <c r="F28" i="153" s="1"/>
  <c r="F27" i="153"/>
  <c r="L27" i="153" s="1"/>
  <c r="J26" i="153"/>
  <c r="D26" i="153"/>
  <c r="F26" i="153" s="1"/>
  <c r="J25" i="153"/>
  <c r="D25" i="153"/>
  <c r="F25" i="153" s="1"/>
  <c r="J24" i="153"/>
  <c r="D24" i="153"/>
  <c r="F24" i="153" s="1"/>
  <c r="J22" i="153"/>
  <c r="D22" i="153"/>
  <c r="F22" i="153" s="1"/>
  <c r="J21" i="153"/>
  <c r="G21" i="153"/>
  <c r="D21" i="153"/>
  <c r="F21" i="153" s="1"/>
  <c r="J20" i="153"/>
  <c r="D20" i="153"/>
  <c r="F20" i="153" s="1"/>
  <c r="J19" i="153"/>
  <c r="D19" i="153"/>
  <c r="F19" i="153" s="1"/>
  <c r="F18" i="153"/>
  <c r="L18" i="153" s="1"/>
  <c r="J17" i="153"/>
  <c r="D17" i="153"/>
  <c r="F17" i="153" s="1"/>
  <c r="J15" i="153"/>
  <c r="D15" i="153"/>
  <c r="F15" i="153" s="1"/>
  <c r="J14" i="153"/>
  <c r="D14" i="153"/>
  <c r="F14" i="153" s="1"/>
  <c r="J13" i="153"/>
  <c r="D13" i="153"/>
  <c r="J12" i="153"/>
  <c r="G12" i="153"/>
  <c r="D12" i="153"/>
  <c r="F12" i="153" s="1"/>
  <c r="J10" i="153"/>
  <c r="D10" i="153"/>
  <c r="F10" i="153" s="1"/>
  <c r="J9" i="153"/>
  <c r="D9" i="153"/>
  <c r="F8" i="153"/>
  <c r="L8" i="153" s="1"/>
  <c r="G5" i="153"/>
  <c r="E5" i="153"/>
  <c r="H5" i="153"/>
  <c r="J4" i="153"/>
  <c r="J5" i="153" s="1"/>
  <c r="J17" i="152"/>
  <c r="H17" i="152"/>
  <c r="D17" i="152"/>
  <c r="E36" i="152"/>
  <c r="J14" i="163" l="1"/>
  <c r="J16" i="162"/>
  <c r="J14" i="161"/>
  <c r="J4" i="163"/>
  <c r="J27" i="162"/>
  <c r="I35" i="163"/>
  <c r="L35" i="163" s="1"/>
  <c r="M35" i="163" s="1"/>
  <c r="N35" i="163" s="1"/>
  <c r="I37" i="162"/>
  <c r="L37" i="162" s="1"/>
  <c r="M37" i="162" s="1"/>
  <c r="N37" i="162" s="1"/>
  <c r="I36" i="161"/>
  <c r="L36" i="161" s="1"/>
  <c r="M36" i="161" s="1"/>
  <c r="N36" i="161" s="1"/>
  <c r="I17" i="163"/>
  <c r="L17" i="163" s="1"/>
  <c r="M17" i="163" s="1"/>
  <c r="N17" i="163" s="1"/>
  <c r="I19" i="162"/>
  <c r="I17" i="161"/>
  <c r="J31" i="163"/>
  <c r="J33" i="162"/>
  <c r="J32" i="161"/>
  <c r="I31" i="163"/>
  <c r="L31" i="163" s="1"/>
  <c r="M31" i="163" s="1"/>
  <c r="N31" i="163" s="1"/>
  <c r="I33" i="162"/>
  <c r="L33" i="162" s="1"/>
  <c r="M33" i="162" s="1"/>
  <c r="N33" i="162" s="1"/>
  <c r="I32" i="161"/>
  <c r="J35" i="163"/>
  <c r="J34" i="163"/>
  <c r="J37" i="162"/>
  <c r="J36" i="162"/>
  <c r="J36" i="161"/>
  <c r="J35" i="161"/>
  <c r="J12" i="163"/>
  <c r="L12" i="163" s="1"/>
  <c r="M12" i="163" s="1"/>
  <c r="N12" i="163" s="1"/>
  <c r="J14" i="162"/>
  <c r="J12" i="161"/>
  <c r="L4" i="162"/>
  <c r="I8" i="162"/>
  <c r="I13" i="163"/>
  <c r="I15" i="162"/>
  <c r="I13" i="161"/>
  <c r="J15" i="163"/>
  <c r="J17" i="162"/>
  <c r="J15" i="161"/>
  <c r="L15" i="161"/>
  <c r="M15" i="161" s="1"/>
  <c r="N15" i="161" s="1"/>
  <c r="N17" i="154"/>
  <c r="J23" i="163"/>
  <c r="L23" i="163" s="1"/>
  <c r="M23" i="163" s="1"/>
  <c r="N23" i="163" s="1"/>
  <c r="J25" i="162"/>
  <c r="J23" i="161"/>
  <c r="J28" i="163"/>
  <c r="L28" i="163" s="1"/>
  <c r="M28" i="163" s="1"/>
  <c r="N28" i="163" s="1"/>
  <c r="J30" i="162"/>
  <c r="L30" i="162" s="1"/>
  <c r="M30" i="162" s="1"/>
  <c r="N30" i="162" s="1"/>
  <c r="J29" i="161"/>
  <c r="L29" i="161" s="1"/>
  <c r="M29" i="161" s="1"/>
  <c r="N29" i="161" s="1"/>
  <c r="L17" i="162"/>
  <c r="M17" i="162" s="1"/>
  <c r="N17" i="162" s="1"/>
  <c r="L5" i="162"/>
  <c r="N5" i="162" s="1"/>
  <c r="J21" i="163"/>
  <c r="J23" i="162"/>
  <c r="J21" i="161"/>
  <c r="J20" i="163"/>
  <c r="J22" i="162"/>
  <c r="J20" i="161"/>
  <c r="L20" i="161"/>
  <c r="M20" i="161" s="1"/>
  <c r="N20" i="161" s="1"/>
  <c r="J10" i="163"/>
  <c r="L10" i="163" s="1"/>
  <c r="J4" i="162"/>
  <c r="J10" i="161"/>
  <c r="L10" i="161" s="1"/>
  <c r="M10" i="161" s="1"/>
  <c r="N10" i="161" s="1"/>
  <c r="L15" i="163"/>
  <c r="M15" i="163" s="1"/>
  <c r="N15" i="163" s="1"/>
  <c r="L6" i="162"/>
  <c r="N6" i="162" s="1"/>
  <c r="I21" i="163"/>
  <c r="I23" i="162"/>
  <c r="L23" i="162" s="1"/>
  <c r="M23" i="162" s="1"/>
  <c r="N23" i="162" s="1"/>
  <c r="I21" i="161"/>
  <c r="L21" i="161" s="1"/>
  <c r="M21" i="161" s="1"/>
  <c r="N21" i="161" s="1"/>
  <c r="J22" i="163"/>
  <c r="J24" i="162"/>
  <c r="J22" i="161"/>
  <c r="N38" i="154"/>
  <c r="J30" i="163"/>
  <c r="L30" i="163" s="1"/>
  <c r="M30" i="163" s="1"/>
  <c r="N30" i="163" s="1"/>
  <c r="J32" i="162"/>
  <c r="L32" i="162" s="1"/>
  <c r="M32" i="162" s="1"/>
  <c r="N32" i="162" s="1"/>
  <c r="J31" i="161"/>
  <c r="L22" i="162"/>
  <c r="M22" i="162" s="1"/>
  <c r="N22" i="162" s="1"/>
  <c r="L12" i="161"/>
  <c r="M12" i="161" s="1"/>
  <c r="N12" i="161" s="1"/>
  <c r="J33" i="163"/>
  <c r="J7" i="162"/>
  <c r="J34" i="161"/>
  <c r="L27" i="162"/>
  <c r="M27" i="162" s="1"/>
  <c r="N27" i="162" s="1"/>
  <c r="J19" i="159"/>
  <c r="L19" i="159" s="1"/>
  <c r="M19" i="159" s="1"/>
  <c r="N19" i="159" s="1"/>
  <c r="J19" i="163"/>
  <c r="L19" i="163" s="1"/>
  <c r="M19" i="163" s="1"/>
  <c r="N19" i="163" s="1"/>
  <c r="J21" i="162"/>
  <c r="L21" i="162" s="1"/>
  <c r="M21" i="162" s="1"/>
  <c r="N21" i="162" s="1"/>
  <c r="J19" i="161"/>
  <c r="L19" i="161" s="1"/>
  <c r="M19" i="161" s="1"/>
  <c r="N19" i="161" s="1"/>
  <c r="L20" i="163"/>
  <c r="M20" i="163" s="1"/>
  <c r="N20" i="163" s="1"/>
  <c r="L14" i="162"/>
  <c r="J11" i="163"/>
  <c r="L11" i="163" s="1"/>
  <c r="M11" i="163" s="1"/>
  <c r="N11" i="163" s="1"/>
  <c r="J5" i="162"/>
  <c r="J11" i="161"/>
  <c r="L11" i="161" s="1"/>
  <c r="M11" i="161" s="1"/>
  <c r="N11" i="161" s="1"/>
  <c r="I6" i="163"/>
  <c r="L4" i="163"/>
  <c r="L34" i="161"/>
  <c r="M34" i="161" s="1"/>
  <c r="N34" i="161" s="1"/>
  <c r="L31" i="161"/>
  <c r="M31" i="161" s="1"/>
  <c r="N31" i="161" s="1"/>
  <c r="J17" i="163"/>
  <c r="J19" i="162"/>
  <c r="J17" i="161"/>
  <c r="I22" i="163"/>
  <c r="L22" i="163" s="1"/>
  <c r="M22" i="163" s="1"/>
  <c r="N22" i="163" s="1"/>
  <c r="I24" i="162"/>
  <c r="L24" i="162" s="1"/>
  <c r="M24" i="162" s="1"/>
  <c r="N24" i="162" s="1"/>
  <c r="I22" i="161"/>
  <c r="J29" i="163"/>
  <c r="L29" i="163" s="1"/>
  <c r="M29" i="163" s="1"/>
  <c r="N29" i="163" s="1"/>
  <c r="J31" i="162"/>
  <c r="L31" i="162" s="1"/>
  <c r="M31" i="162" s="1"/>
  <c r="N31" i="162" s="1"/>
  <c r="J30" i="161"/>
  <c r="L30" i="161" s="1"/>
  <c r="N6" i="154"/>
  <c r="L23" i="161"/>
  <c r="M23" i="161" s="1"/>
  <c r="N23" i="161" s="1"/>
  <c r="J27" i="163"/>
  <c r="L27" i="163" s="1"/>
  <c r="M27" i="163" s="1"/>
  <c r="N27" i="163" s="1"/>
  <c r="J6" i="162"/>
  <c r="J28" i="161"/>
  <c r="L28" i="161" s="1"/>
  <c r="M28" i="161" s="1"/>
  <c r="N28" i="161" s="1"/>
  <c r="L7" i="162"/>
  <c r="N7" i="162" s="1"/>
  <c r="I34" i="163"/>
  <c r="L34" i="163" s="1"/>
  <c r="M34" i="163" s="1"/>
  <c r="N34" i="163" s="1"/>
  <c r="I36" i="162"/>
  <c r="L36" i="162" s="1"/>
  <c r="M36" i="162" s="1"/>
  <c r="N36" i="162" s="1"/>
  <c r="I35" i="161"/>
  <c r="L35" i="161" s="1"/>
  <c r="M35" i="161" s="1"/>
  <c r="N35" i="161" s="1"/>
  <c r="J24" i="163"/>
  <c r="L24" i="163" s="1"/>
  <c r="M24" i="163" s="1"/>
  <c r="N24" i="163" s="1"/>
  <c r="J26" i="162"/>
  <c r="L26" i="162" s="1"/>
  <c r="M26" i="162" s="1"/>
  <c r="N26" i="162" s="1"/>
  <c r="J24" i="161"/>
  <c r="L24" i="161" s="1"/>
  <c r="M24" i="161" s="1"/>
  <c r="N24" i="161" s="1"/>
  <c r="I14" i="163"/>
  <c r="L14" i="163" s="1"/>
  <c r="M14" i="163" s="1"/>
  <c r="N14" i="163" s="1"/>
  <c r="I16" i="162"/>
  <c r="L16" i="162" s="1"/>
  <c r="M16" i="162" s="1"/>
  <c r="N16" i="162" s="1"/>
  <c r="I14" i="161"/>
  <c r="L14" i="161" s="1"/>
  <c r="M14" i="161" s="1"/>
  <c r="N14" i="161" s="1"/>
  <c r="J13" i="163"/>
  <c r="J15" i="162"/>
  <c r="J13" i="161"/>
  <c r="L25" i="162"/>
  <c r="M25" i="162" s="1"/>
  <c r="N25" i="162" s="1"/>
  <c r="J5" i="163"/>
  <c r="J28" i="162"/>
  <c r="L28" i="162" s="1"/>
  <c r="M28" i="162" s="1"/>
  <c r="N28" i="162" s="1"/>
  <c r="L5" i="163"/>
  <c r="N5" i="163" s="1"/>
  <c r="L33" i="163"/>
  <c r="M33" i="163" s="1"/>
  <c r="N33" i="163" s="1"/>
  <c r="J26" i="160"/>
  <c r="J27" i="159"/>
  <c r="J26" i="158"/>
  <c r="J26" i="157"/>
  <c r="J26" i="156"/>
  <c r="J26" i="155"/>
  <c r="J18" i="160"/>
  <c r="J18" i="159"/>
  <c r="J18" i="158"/>
  <c r="J18" i="157"/>
  <c r="J18" i="156"/>
  <c r="J17" i="155"/>
  <c r="J13" i="160"/>
  <c r="J13" i="159"/>
  <c r="J13" i="158"/>
  <c r="J13" i="157"/>
  <c r="J13" i="156"/>
  <c r="J12" i="155"/>
  <c r="J22" i="160"/>
  <c r="J22" i="159"/>
  <c r="J22" i="158"/>
  <c r="J22" i="157"/>
  <c r="J22" i="156"/>
  <c r="J21" i="155"/>
  <c r="J34" i="159"/>
  <c r="J33" i="158"/>
  <c r="J33" i="157"/>
  <c r="J33" i="156"/>
  <c r="J33" i="155"/>
  <c r="J34" i="160"/>
  <c r="J35" i="160"/>
  <c r="J35" i="159"/>
  <c r="J36" i="159"/>
  <c r="J34" i="158"/>
  <c r="J35" i="158"/>
  <c r="J35" i="157"/>
  <c r="J34" i="157"/>
  <c r="J34" i="156"/>
  <c r="J35" i="156"/>
  <c r="J35" i="155"/>
  <c r="J34" i="155"/>
  <c r="J32" i="156"/>
  <c r="J32" i="155"/>
  <c r="J21" i="160"/>
  <c r="J21" i="159"/>
  <c r="J21" i="158"/>
  <c r="J21" i="157"/>
  <c r="J21" i="156"/>
  <c r="J20" i="155"/>
  <c r="J15" i="160"/>
  <c r="L15" i="160" s="1"/>
  <c r="M15" i="160" s="1"/>
  <c r="N15" i="160" s="1"/>
  <c r="J15" i="159"/>
  <c r="L15" i="159" s="1"/>
  <c r="M15" i="159" s="1"/>
  <c r="N15" i="159" s="1"/>
  <c r="J15" i="158"/>
  <c r="L15" i="158" s="1"/>
  <c r="M15" i="158" s="1"/>
  <c r="N15" i="158" s="1"/>
  <c r="J15" i="157"/>
  <c r="L15" i="157" s="1"/>
  <c r="M15" i="157" s="1"/>
  <c r="N15" i="157" s="1"/>
  <c r="J15" i="156"/>
  <c r="L15" i="156" s="1"/>
  <c r="M15" i="156" s="1"/>
  <c r="N15" i="156" s="1"/>
  <c r="J14" i="155"/>
  <c r="L14" i="155" s="1"/>
  <c r="M14" i="155" s="1"/>
  <c r="N14" i="155" s="1"/>
  <c r="N9" i="154"/>
  <c r="J28" i="160"/>
  <c r="L28" i="160" s="1"/>
  <c r="M28" i="160" s="1"/>
  <c r="N28" i="160" s="1"/>
  <c r="J4" i="159"/>
  <c r="J6" i="159" s="1"/>
  <c r="J29" i="159"/>
  <c r="L29" i="159" s="1"/>
  <c r="M29" i="159" s="1"/>
  <c r="N29" i="159" s="1"/>
  <c r="J28" i="158"/>
  <c r="L28" i="158" s="1"/>
  <c r="M28" i="158" s="1"/>
  <c r="N28" i="158" s="1"/>
  <c r="J4" i="158"/>
  <c r="J6" i="158" s="1"/>
  <c r="J4" i="157"/>
  <c r="J6" i="157" s="1"/>
  <c r="J28" i="156"/>
  <c r="L28" i="156" s="1"/>
  <c r="M28" i="156" s="1"/>
  <c r="N28" i="156" s="1"/>
  <c r="I9" i="155"/>
  <c r="L9" i="155" s="1"/>
  <c r="N4" i="154"/>
  <c r="J20" i="160"/>
  <c r="J20" i="159"/>
  <c r="L20" i="159" s="1"/>
  <c r="M20" i="159" s="1"/>
  <c r="N20" i="159" s="1"/>
  <c r="J20" i="157"/>
  <c r="L20" i="157" s="1"/>
  <c r="M20" i="157" s="1"/>
  <c r="N20" i="157" s="1"/>
  <c r="N36" i="154"/>
  <c r="I11" i="160"/>
  <c r="I11" i="159"/>
  <c r="I11" i="158"/>
  <c r="I11" i="157"/>
  <c r="I11" i="156"/>
  <c r="I10" i="155"/>
  <c r="N5" i="154"/>
  <c r="J27" i="160"/>
  <c r="L27" i="160" s="1"/>
  <c r="M27" i="160" s="1"/>
  <c r="N27" i="160" s="1"/>
  <c r="J28" i="159"/>
  <c r="L28" i="159" s="1"/>
  <c r="M28" i="159" s="1"/>
  <c r="N28" i="159" s="1"/>
  <c r="J27" i="158"/>
  <c r="L27" i="158" s="1"/>
  <c r="M27" i="158" s="1"/>
  <c r="N27" i="158" s="1"/>
  <c r="J27" i="157"/>
  <c r="J27" i="156"/>
  <c r="L27" i="156" s="1"/>
  <c r="M27" i="156" s="1"/>
  <c r="N27" i="156" s="1"/>
  <c r="J27" i="155"/>
  <c r="L27" i="155" s="1"/>
  <c r="M27" i="155" s="1"/>
  <c r="N27" i="155" s="1"/>
  <c r="J29" i="160"/>
  <c r="L29" i="160" s="1"/>
  <c r="M29" i="160" s="1"/>
  <c r="N29" i="160" s="1"/>
  <c r="J30" i="159"/>
  <c r="L30" i="159" s="1"/>
  <c r="M30" i="159" s="1"/>
  <c r="N30" i="159" s="1"/>
  <c r="J29" i="158"/>
  <c r="L29" i="158" s="1"/>
  <c r="M29" i="158" s="1"/>
  <c r="N29" i="158" s="1"/>
  <c r="J29" i="157"/>
  <c r="L29" i="157" s="1"/>
  <c r="M29" i="157" s="1"/>
  <c r="N29" i="157" s="1"/>
  <c r="J29" i="156"/>
  <c r="L29" i="156" s="1"/>
  <c r="M29" i="156" s="1"/>
  <c r="N29" i="156" s="1"/>
  <c r="J29" i="155"/>
  <c r="L29" i="155" s="1"/>
  <c r="M29" i="155" s="1"/>
  <c r="N29" i="155" s="1"/>
  <c r="N23" i="154"/>
  <c r="J5" i="160"/>
  <c r="J6" i="160" s="1"/>
  <c r="J25" i="159"/>
  <c r="L25" i="159" s="1"/>
  <c r="M25" i="159" s="1"/>
  <c r="N25" i="159" s="1"/>
  <c r="L27" i="157"/>
  <c r="M27" i="157" s="1"/>
  <c r="N27" i="157" s="1"/>
  <c r="I6" i="157"/>
  <c r="I22" i="160"/>
  <c r="L22" i="160" s="1"/>
  <c r="M22" i="160" s="1"/>
  <c r="N22" i="160" s="1"/>
  <c r="I22" i="159"/>
  <c r="L22" i="159" s="1"/>
  <c r="M22" i="159" s="1"/>
  <c r="N22" i="159" s="1"/>
  <c r="I22" i="158"/>
  <c r="L22" i="158" s="1"/>
  <c r="M22" i="158" s="1"/>
  <c r="N22" i="158" s="1"/>
  <c r="I22" i="157"/>
  <c r="I22" i="156"/>
  <c r="I21" i="155"/>
  <c r="N16" i="154"/>
  <c r="I4" i="160"/>
  <c r="N24" i="154"/>
  <c r="L20" i="160"/>
  <c r="M20" i="160" s="1"/>
  <c r="N20" i="160" s="1"/>
  <c r="J17" i="160"/>
  <c r="J17" i="159"/>
  <c r="J17" i="158"/>
  <c r="J17" i="157"/>
  <c r="J17" i="156"/>
  <c r="J16" i="155"/>
  <c r="I6" i="158"/>
  <c r="I32" i="156"/>
  <c r="I32" i="155"/>
  <c r="N26" i="154"/>
  <c r="I21" i="160"/>
  <c r="I21" i="159"/>
  <c r="I21" i="158"/>
  <c r="I21" i="157"/>
  <c r="I21" i="156"/>
  <c r="I20" i="155"/>
  <c r="N15" i="154"/>
  <c r="I34" i="160"/>
  <c r="I35" i="159"/>
  <c r="I34" i="158"/>
  <c r="I34" i="157"/>
  <c r="I34" i="156"/>
  <c r="I34" i="155"/>
  <c r="L34" i="155" s="1"/>
  <c r="M34" i="155" s="1"/>
  <c r="N34" i="155" s="1"/>
  <c r="N28" i="154"/>
  <c r="J26" i="159"/>
  <c r="L26" i="159" s="1"/>
  <c r="M26" i="159" s="1"/>
  <c r="N26" i="159" s="1"/>
  <c r="J25" i="158"/>
  <c r="L25" i="158" s="1"/>
  <c r="M25" i="158" s="1"/>
  <c r="N25" i="158" s="1"/>
  <c r="J25" i="157"/>
  <c r="L25" i="157" s="1"/>
  <c r="M25" i="157" s="1"/>
  <c r="N25" i="157" s="1"/>
  <c r="J23" i="155"/>
  <c r="J5" i="156"/>
  <c r="L5" i="156" s="1"/>
  <c r="N5" i="156" s="1"/>
  <c r="J25" i="155"/>
  <c r="I6" i="156"/>
  <c r="I31" i="160"/>
  <c r="I32" i="159"/>
  <c r="I31" i="158"/>
  <c r="L31" i="158" s="1"/>
  <c r="M31" i="158" s="1"/>
  <c r="N31" i="158" s="1"/>
  <c r="I31" i="157"/>
  <c r="I31" i="156"/>
  <c r="I31" i="155"/>
  <c r="N25" i="154"/>
  <c r="J14" i="160"/>
  <c r="J14" i="159"/>
  <c r="J14" i="158"/>
  <c r="J14" i="157"/>
  <c r="J14" i="156"/>
  <c r="J13" i="155"/>
  <c r="J16" i="158"/>
  <c r="J16" i="157"/>
  <c r="J16" i="156"/>
  <c r="J15" i="155"/>
  <c r="N37" i="154"/>
  <c r="I16" i="158"/>
  <c r="L16" i="158" s="1"/>
  <c r="M16" i="158" s="1"/>
  <c r="N16" i="158" s="1"/>
  <c r="I16" i="157"/>
  <c r="I16" i="156"/>
  <c r="I15" i="155"/>
  <c r="N10" i="154"/>
  <c r="I6" i="159"/>
  <c r="L4" i="159"/>
  <c r="I19" i="155"/>
  <c r="L19" i="155" s="1"/>
  <c r="M19" i="155" s="1"/>
  <c r="N19" i="155" s="1"/>
  <c r="N14" i="154"/>
  <c r="K3" i="154"/>
  <c r="J9" i="161" s="1"/>
  <c r="J30" i="154"/>
  <c r="I34" i="159"/>
  <c r="L34" i="159" s="1"/>
  <c r="M34" i="159" s="1"/>
  <c r="N34" i="159" s="1"/>
  <c r="I33" i="158"/>
  <c r="I33" i="157"/>
  <c r="I33" i="156"/>
  <c r="I33" i="155"/>
  <c r="N27" i="154"/>
  <c r="J31" i="160"/>
  <c r="J32" i="159"/>
  <c r="J31" i="158"/>
  <c r="J31" i="157"/>
  <c r="J31" i="156"/>
  <c r="J31" i="155"/>
  <c r="J11" i="160"/>
  <c r="J11" i="159"/>
  <c r="J11" i="158"/>
  <c r="J11" i="157"/>
  <c r="J11" i="156"/>
  <c r="J10" i="155"/>
  <c r="J30" i="160"/>
  <c r="L30" i="160" s="1"/>
  <c r="M30" i="160" s="1"/>
  <c r="N30" i="160" s="1"/>
  <c r="J30" i="158"/>
  <c r="L30" i="158" s="1"/>
  <c r="M30" i="158" s="1"/>
  <c r="N30" i="158" s="1"/>
  <c r="L24" i="158"/>
  <c r="I14" i="160"/>
  <c r="I14" i="159"/>
  <c r="L14" i="159" s="1"/>
  <c r="I14" i="158"/>
  <c r="L14" i="158" s="1"/>
  <c r="M14" i="158" s="1"/>
  <c r="N14" i="158" s="1"/>
  <c r="I14" i="157"/>
  <c r="I14" i="156"/>
  <c r="I13" i="155"/>
  <c r="N8" i="154"/>
  <c r="I13" i="160"/>
  <c r="I13" i="159"/>
  <c r="I13" i="158"/>
  <c r="I13" i="157"/>
  <c r="L13" i="157" s="1"/>
  <c r="M13" i="157" s="1"/>
  <c r="N13" i="157" s="1"/>
  <c r="I13" i="156"/>
  <c r="L13" i="156" s="1"/>
  <c r="M13" i="156" s="1"/>
  <c r="N13" i="156" s="1"/>
  <c r="I12" i="155"/>
  <c r="L12" i="155" s="1"/>
  <c r="N7" i="154"/>
  <c r="I17" i="160"/>
  <c r="I17" i="159"/>
  <c r="I17" i="158"/>
  <c r="I17" i="157"/>
  <c r="I17" i="156"/>
  <c r="L17" i="156" s="1"/>
  <c r="M17" i="156" s="1"/>
  <c r="N17" i="156" s="1"/>
  <c r="I16" i="155"/>
  <c r="L16" i="155" s="1"/>
  <c r="N11" i="154"/>
  <c r="I35" i="160"/>
  <c r="L35" i="160" s="1"/>
  <c r="M35" i="160" s="1"/>
  <c r="N35" i="160" s="1"/>
  <c r="I36" i="159"/>
  <c r="L36" i="159" s="1"/>
  <c r="M36" i="159" s="1"/>
  <c r="N36" i="159" s="1"/>
  <c r="I35" i="158"/>
  <c r="I35" i="157"/>
  <c r="I35" i="156"/>
  <c r="L35" i="156" s="1"/>
  <c r="M35" i="156" s="1"/>
  <c r="N35" i="156" s="1"/>
  <c r="I35" i="155"/>
  <c r="N29" i="154"/>
  <c r="J23" i="160"/>
  <c r="L23" i="160" s="1"/>
  <c r="M23" i="160" s="1"/>
  <c r="N23" i="160" s="1"/>
  <c r="J23" i="159"/>
  <c r="L23" i="159" s="1"/>
  <c r="M23" i="159" s="1"/>
  <c r="N23" i="159" s="1"/>
  <c r="J23" i="158"/>
  <c r="J23" i="157"/>
  <c r="L23" i="157" s="1"/>
  <c r="J23" i="156"/>
  <c r="J22" i="155"/>
  <c r="L22" i="155" s="1"/>
  <c r="M22" i="155" s="1"/>
  <c r="N22" i="155" s="1"/>
  <c r="L25" i="155"/>
  <c r="M25" i="155" s="1"/>
  <c r="N25" i="155" s="1"/>
  <c r="L12" i="158"/>
  <c r="M12" i="158" s="1"/>
  <c r="N12" i="158" s="1"/>
  <c r="L23" i="156"/>
  <c r="M23" i="156" s="1"/>
  <c r="N23" i="156" s="1"/>
  <c r="I18" i="160"/>
  <c r="I18" i="159"/>
  <c r="I18" i="158"/>
  <c r="I18" i="157"/>
  <c r="I18" i="156"/>
  <c r="I17" i="155"/>
  <c r="N12" i="154"/>
  <c r="I24" i="155"/>
  <c r="L24" i="155" s="1"/>
  <c r="M24" i="155" s="1"/>
  <c r="N24" i="155" s="1"/>
  <c r="N19" i="154"/>
  <c r="I26" i="160"/>
  <c r="L26" i="160" s="1"/>
  <c r="M26" i="160" s="1"/>
  <c r="N26" i="160" s="1"/>
  <c r="I27" i="159"/>
  <c r="L27" i="159" s="1"/>
  <c r="M27" i="159" s="1"/>
  <c r="N27" i="159" s="1"/>
  <c r="I26" i="158"/>
  <c r="I26" i="157"/>
  <c r="I26" i="156"/>
  <c r="L26" i="156" s="1"/>
  <c r="M26" i="156" s="1"/>
  <c r="N26" i="156" s="1"/>
  <c r="I26" i="155"/>
  <c r="L26" i="155" s="1"/>
  <c r="M26" i="155" s="1"/>
  <c r="N26" i="155" s="1"/>
  <c r="N20" i="154"/>
  <c r="J12" i="160"/>
  <c r="L12" i="160" s="1"/>
  <c r="M12" i="160" s="1"/>
  <c r="N12" i="160" s="1"/>
  <c r="J12" i="159"/>
  <c r="L12" i="159" s="1"/>
  <c r="J12" i="158"/>
  <c r="J12" i="157"/>
  <c r="J12" i="156"/>
  <c r="J11" i="155"/>
  <c r="L23" i="155"/>
  <c r="M23" i="155" s="1"/>
  <c r="N23" i="155" s="1"/>
  <c r="N39" i="154"/>
  <c r="J24" i="158"/>
  <c r="J24" i="157"/>
  <c r="L24" i="157" s="1"/>
  <c r="M24" i="157" s="1"/>
  <c r="N24" i="157" s="1"/>
  <c r="J4" i="156"/>
  <c r="L4" i="156" s="1"/>
  <c r="L23" i="158"/>
  <c r="M23" i="158" s="1"/>
  <c r="N23" i="158" s="1"/>
  <c r="F9" i="153"/>
  <c r="D35" i="153"/>
  <c r="M39" i="153"/>
  <c r="G35" i="153"/>
  <c r="I30" i="154"/>
  <c r="J35" i="153"/>
  <c r="F13" i="153"/>
  <c r="M16" i="153"/>
  <c r="N16" i="153" s="1"/>
  <c r="M18" i="153"/>
  <c r="N18" i="153" s="1"/>
  <c r="D5" i="153"/>
  <c r="F4" i="153"/>
  <c r="M8" i="153"/>
  <c r="M27" i="153"/>
  <c r="N27" i="153" s="1"/>
  <c r="D5" i="152"/>
  <c r="F5" i="152" s="1"/>
  <c r="J5" i="152"/>
  <c r="E6" i="152"/>
  <c r="K6" i="152"/>
  <c r="H5" i="152"/>
  <c r="G5" i="152"/>
  <c r="H10" i="152"/>
  <c r="H11" i="152"/>
  <c r="H13" i="152"/>
  <c r="H14" i="152"/>
  <c r="H15" i="152"/>
  <c r="H16" i="152"/>
  <c r="H18" i="152"/>
  <c r="H20" i="152"/>
  <c r="H21" i="152"/>
  <c r="H22" i="152"/>
  <c r="H23" i="152"/>
  <c r="H24" i="152"/>
  <c r="H25" i="152"/>
  <c r="H26" i="152"/>
  <c r="H27" i="152"/>
  <c r="H29" i="152"/>
  <c r="H30" i="152"/>
  <c r="H31" i="152"/>
  <c r="H33" i="152"/>
  <c r="H34" i="152"/>
  <c r="H35" i="152"/>
  <c r="H9" i="152"/>
  <c r="H4" i="152"/>
  <c r="H6" i="152" s="1"/>
  <c r="J4" i="152"/>
  <c r="G4" i="152"/>
  <c r="D4" i="152"/>
  <c r="E35" i="151"/>
  <c r="F17" i="152"/>
  <c r="B101" i="152"/>
  <c r="E101" i="152" s="1"/>
  <c r="B99" i="152"/>
  <c r="E99" i="152" s="1"/>
  <c r="B97" i="152"/>
  <c r="E97" i="152" s="1"/>
  <c r="B95" i="152"/>
  <c r="E95" i="152" s="1"/>
  <c r="B93" i="152"/>
  <c r="E93" i="152" s="1"/>
  <c r="B91" i="152"/>
  <c r="E91" i="152" s="1"/>
  <c r="B89" i="152"/>
  <c r="E89" i="152" s="1"/>
  <c r="B87" i="152"/>
  <c r="E87" i="152" s="1"/>
  <c r="B85" i="152"/>
  <c r="E85" i="152" s="1"/>
  <c r="B83" i="152"/>
  <c r="E83" i="152" s="1"/>
  <c r="B81" i="152"/>
  <c r="E81" i="152" s="1"/>
  <c r="B79" i="152"/>
  <c r="E79" i="152" s="1"/>
  <c r="B77" i="152"/>
  <c r="E77" i="152" s="1"/>
  <c r="B75" i="152"/>
  <c r="E75" i="152" s="1"/>
  <c r="B73" i="152"/>
  <c r="E73" i="152" s="1"/>
  <c r="B71" i="152"/>
  <c r="E71" i="152" s="1"/>
  <c r="B69" i="152"/>
  <c r="E69" i="152" s="1"/>
  <c r="B67" i="152"/>
  <c r="E67" i="152" s="1"/>
  <c r="B65" i="152"/>
  <c r="E65" i="152" s="1"/>
  <c r="B63" i="152"/>
  <c r="E63" i="152" s="1"/>
  <c r="B61" i="152"/>
  <c r="E61" i="152" s="1"/>
  <c r="B59" i="152"/>
  <c r="E59" i="152" s="1"/>
  <c r="B57" i="152"/>
  <c r="E57" i="152" s="1"/>
  <c r="B55" i="152"/>
  <c r="E55" i="152" s="1"/>
  <c r="B53" i="152"/>
  <c r="E53" i="152" s="1"/>
  <c r="B51" i="152"/>
  <c r="E51" i="152" s="1"/>
  <c r="B49" i="152"/>
  <c r="E49" i="152" s="1"/>
  <c r="L44" i="152"/>
  <c r="L46" i="152" s="1"/>
  <c r="D44" i="152"/>
  <c r="N40" i="152"/>
  <c r="M40" i="152"/>
  <c r="L40" i="152"/>
  <c r="J35" i="152"/>
  <c r="D35" i="152"/>
  <c r="F35" i="152" s="1"/>
  <c r="J34" i="152"/>
  <c r="D34" i="152"/>
  <c r="F34" i="152" s="1"/>
  <c r="J33" i="152"/>
  <c r="D33" i="152"/>
  <c r="F33" i="152" s="1"/>
  <c r="F32" i="152"/>
  <c r="L32" i="152" s="1"/>
  <c r="J31" i="152"/>
  <c r="D31" i="152"/>
  <c r="F31" i="152" s="1"/>
  <c r="J30" i="152"/>
  <c r="D30" i="152"/>
  <c r="F30" i="152" s="1"/>
  <c r="J29" i="152"/>
  <c r="D29" i="152"/>
  <c r="F29" i="152" s="1"/>
  <c r="F28" i="152"/>
  <c r="L28" i="152" s="1"/>
  <c r="J27" i="152"/>
  <c r="D27" i="152"/>
  <c r="F27" i="152" s="1"/>
  <c r="J26" i="152"/>
  <c r="D26" i="152"/>
  <c r="F26" i="152" s="1"/>
  <c r="J25" i="152"/>
  <c r="D25" i="152"/>
  <c r="F25" i="152" s="1"/>
  <c r="J24" i="152"/>
  <c r="D24" i="152"/>
  <c r="F24" i="152" s="1"/>
  <c r="J23" i="152"/>
  <c r="D23" i="152"/>
  <c r="F23" i="152" s="1"/>
  <c r="J22" i="152"/>
  <c r="G22" i="152"/>
  <c r="D22" i="152"/>
  <c r="F22" i="152" s="1"/>
  <c r="J21" i="152"/>
  <c r="D21" i="152"/>
  <c r="F21" i="152" s="1"/>
  <c r="J20" i="152"/>
  <c r="D20" i="152"/>
  <c r="F20" i="152" s="1"/>
  <c r="F19" i="152"/>
  <c r="L19" i="152" s="1"/>
  <c r="M19" i="152" s="1"/>
  <c r="N19" i="152" s="1"/>
  <c r="J18" i="152"/>
  <c r="D18" i="152"/>
  <c r="F18" i="152" s="1"/>
  <c r="J16" i="152"/>
  <c r="D16" i="152"/>
  <c r="F16" i="152" s="1"/>
  <c r="J15" i="152"/>
  <c r="D15" i="152"/>
  <c r="F15" i="152" s="1"/>
  <c r="J14" i="152"/>
  <c r="G14" i="152"/>
  <c r="D14" i="152"/>
  <c r="F14" i="152" s="1"/>
  <c r="J13" i="152"/>
  <c r="G13" i="152"/>
  <c r="D13" i="152"/>
  <c r="F13" i="152" s="1"/>
  <c r="F12" i="152"/>
  <c r="J11" i="152"/>
  <c r="D11" i="152"/>
  <c r="F11" i="152" s="1"/>
  <c r="J10" i="152"/>
  <c r="D10" i="152"/>
  <c r="F9" i="152"/>
  <c r="G31" i="151"/>
  <c r="D31" i="151"/>
  <c r="J31" i="151"/>
  <c r="H31" i="151"/>
  <c r="J11" i="151"/>
  <c r="H11" i="151"/>
  <c r="G11" i="151"/>
  <c r="D11" i="151"/>
  <c r="K40" i="140"/>
  <c r="M10" i="163" l="1"/>
  <c r="J37" i="161"/>
  <c r="L9" i="161"/>
  <c r="L31" i="156"/>
  <c r="M31" i="156" s="1"/>
  <c r="N31" i="156" s="1"/>
  <c r="L4" i="157"/>
  <c r="I36" i="163"/>
  <c r="M14" i="162"/>
  <c r="M38" i="162" s="1"/>
  <c r="Q55" i="162" s="1"/>
  <c r="Q65" i="162" s="1"/>
  <c r="L38" i="162"/>
  <c r="L31" i="157"/>
  <c r="M31" i="157" s="1"/>
  <c r="N31" i="157" s="1"/>
  <c r="J8" i="162"/>
  <c r="J38" i="162"/>
  <c r="L13" i="159"/>
  <c r="M13" i="159" s="1"/>
  <c r="N13" i="159" s="1"/>
  <c r="L32" i="159"/>
  <c r="M32" i="159" s="1"/>
  <c r="N32" i="159" s="1"/>
  <c r="L34" i="157"/>
  <c r="M34" i="157" s="1"/>
  <c r="N34" i="157" s="1"/>
  <c r="L31" i="155"/>
  <c r="M31" i="155" s="1"/>
  <c r="N31" i="155" s="1"/>
  <c r="J36" i="163"/>
  <c r="L13" i="160"/>
  <c r="M13" i="160" s="1"/>
  <c r="N13" i="160" s="1"/>
  <c r="M30" i="161"/>
  <c r="N30" i="161" s="1"/>
  <c r="N4" i="163"/>
  <c r="N6" i="163" s="1"/>
  <c r="L6" i="163"/>
  <c r="L4" i="158"/>
  <c r="N4" i="158" s="1"/>
  <c r="N6" i="158" s="1"/>
  <c r="I37" i="161"/>
  <c r="L17" i="157"/>
  <c r="M17" i="157" s="1"/>
  <c r="N17" i="157" s="1"/>
  <c r="J6" i="163"/>
  <c r="L17" i="158"/>
  <c r="M17" i="158" s="1"/>
  <c r="N17" i="158" s="1"/>
  <c r="L14" i="156"/>
  <c r="M14" i="156" s="1"/>
  <c r="N14" i="156" s="1"/>
  <c r="L13" i="161"/>
  <c r="M13" i="161" s="1"/>
  <c r="N13" i="161" s="1"/>
  <c r="N4" i="162"/>
  <c r="N8" i="162" s="1"/>
  <c r="L8" i="162"/>
  <c r="Q67" i="162" s="1"/>
  <c r="Q69" i="162" s="1"/>
  <c r="L17" i="159"/>
  <c r="M17" i="159" s="1"/>
  <c r="N17" i="159" s="1"/>
  <c r="L14" i="157"/>
  <c r="M14" i="157" s="1"/>
  <c r="N14" i="157" s="1"/>
  <c r="L20" i="155"/>
  <c r="M20" i="155" s="1"/>
  <c r="N20" i="155" s="1"/>
  <c r="L10" i="155"/>
  <c r="M10" i="155" s="1"/>
  <c r="N10" i="155" s="1"/>
  <c r="L22" i="161"/>
  <c r="L15" i="162"/>
  <c r="M15" i="162" s="1"/>
  <c r="N15" i="162" s="1"/>
  <c r="L17" i="161"/>
  <c r="M17" i="161" s="1"/>
  <c r="N17" i="161" s="1"/>
  <c r="L13" i="158"/>
  <c r="M13" i="158" s="1"/>
  <c r="N13" i="158" s="1"/>
  <c r="L34" i="156"/>
  <c r="M34" i="156" s="1"/>
  <c r="N34" i="156" s="1"/>
  <c r="L17" i="160"/>
  <c r="M17" i="160" s="1"/>
  <c r="N17" i="160" s="1"/>
  <c r="L33" i="158"/>
  <c r="M33" i="158" s="1"/>
  <c r="N33" i="158" s="1"/>
  <c r="L16" i="157"/>
  <c r="M16" i="157" s="1"/>
  <c r="N16" i="157" s="1"/>
  <c r="L11" i="156"/>
  <c r="M11" i="156" s="1"/>
  <c r="N11" i="156" s="1"/>
  <c r="I38" i="162"/>
  <c r="L21" i="163"/>
  <c r="M21" i="163" s="1"/>
  <c r="N21" i="163" s="1"/>
  <c r="L13" i="163"/>
  <c r="L32" i="161"/>
  <c r="M32" i="161" s="1"/>
  <c r="N32" i="161" s="1"/>
  <c r="L19" i="162"/>
  <c r="M19" i="162" s="1"/>
  <c r="N19" i="162" s="1"/>
  <c r="M23" i="157"/>
  <c r="N23" i="157" s="1"/>
  <c r="L6" i="156"/>
  <c r="N4" i="156"/>
  <c r="N6" i="156" s="1"/>
  <c r="M12" i="159"/>
  <c r="N12" i="159"/>
  <c r="L11" i="155"/>
  <c r="M12" i="155"/>
  <c r="N12" i="155" s="1"/>
  <c r="L21" i="156"/>
  <c r="M21" i="156" s="1"/>
  <c r="N21" i="156" s="1"/>
  <c r="M14" i="159"/>
  <c r="N14" i="159" s="1"/>
  <c r="I36" i="160"/>
  <c r="L14" i="160"/>
  <c r="M14" i="160" s="1"/>
  <c r="N14" i="160" s="1"/>
  <c r="K12" i="157"/>
  <c r="L12" i="157" s="1"/>
  <c r="M12" i="157" s="1"/>
  <c r="N12" i="157" s="1"/>
  <c r="K12" i="156"/>
  <c r="K11" i="155"/>
  <c r="K11" i="153"/>
  <c r="L17" i="155"/>
  <c r="M17" i="155" s="1"/>
  <c r="N17" i="155" s="1"/>
  <c r="M24" i="158"/>
  <c r="N24" i="158" s="1"/>
  <c r="L18" i="156"/>
  <c r="M18" i="156" s="1"/>
  <c r="N18" i="156" s="1"/>
  <c r="M16" i="155"/>
  <c r="N16" i="155" s="1"/>
  <c r="L21" i="160"/>
  <c r="M21" i="160" s="1"/>
  <c r="N21" i="160" s="1"/>
  <c r="I36" i="158"/>
  <c r="L11" i="157"/>
  <c r="M11" i="157" s="1"/>
  <c r="N11" i="157" s="1"/>
  <c r="L18" i="157"/>
  <c r="M18" i="157" s="1"/>
  <c r="N18" i="157" s="1"/>
  <c r="L5" i="160"/>
  <c r="N5" i="160" s="1"/>
  <c r="L31" i="160"/>
  <c r="M31" i="160" s="1"/>
  <c r="N31" i="160" s="1"/>
  <c r="I6" i="160"/>
  <c r="L4" i="160"/>
  <c r="L11" i="158"/>
  <c r="M9" i="155"/>
  <c r="N9" i="155" s="1"/>
  <c r="L6" i="158"/>
  <c r="I37" i="159"/>
  <c r="I36" i="155"/>
  <c r="L21" i="157"/>
  <c r="M21" i="157" s="1"/>
  <c r="N21" i="157" s="1"/>
  <c r="L21" i="158"/>
  <c r="M21" i="158" s="1"/>
  <c r="N21" i="158" s="1"/>
  <c r="N4" i="157"/>
  <c r="N6" i="157" s="1"/>
  <c r="L6" i="157"/>
  <c r="J6" i="156"/>
  <c r="L32" i="155"/>
  <c r="M32" i="155" s="1"/>
  <c r="N32" i="155" s="1"/>
  <c r="L11" i="159"/>
  <c r="M11" i="159" s="1"/>
  <c r="N11" i="159" s="1"/>
  <c r="I36" i="156"/>
  <c r="L34" i="158"/>
  <c r="M34" i="158" s="1"/>
  <c r="N34" i="158" s="1"/>
  <c r="L11" i="160"/>
  <c r="M11" i="160" s="1"/>
  <c r="N11" i="160" s="1"/>
  <c r="L26" i="157"/>
  <c r="L18" i="160"/>
  <c r="M18" i="160" s="1"/>
  <c r="N18" i="160" s="1"/>
  <c r="L15" i="155"/>
  <c r="M15" i="155" s="1"/>
  <c r="N15" i="155" s="1"/>
  <c r="L35" i="159"/>
  <c r="M35" i="159" s="1"/>
  <c r="N35" i="159" s="1"/>
  <c r="L35" i="157"/>
  <c r="M35" i="157" s="1"/>
  <c r="N35" i="157" s="1"/>
  <c r="L35" i="158"/>
  <c r="M35" i="158" s="1"/>
  <c r="N35" i="158" s="1"/>
  <c r="N4" i="159"/>
  <c r="N6" i="159" s="1"/>
  <c r="L6" i="159"/>
  <c r="L21" i="159"/>
  <c r="M21" i="159" s="1"/>
  <c r="N21" i="159" s="1"/>
  <c r="L18" i="158"/>
  <c r="M18" i="158" s="1"/>
  <c r="N18" i="158" s="1"/>
  <c r="L18" i="159"/>
  <c r="M18" i="159" s="1"/>
  <c r="N18" i="159" s="1"/>
  <c r="I36" i="157"/>
  <c r="L32" i="156"/>
  <c r="M32" i="156" s="1"/>
  <c r="N32" i="156" s="1"/>
  <c r="J6" i="152"/>
  <c r="L26" i="158"/>
  <c r="M26" i="158" s="1"/>
  <c r="N26" i="158" s="1"/>
  <c r="L35" i="155"/>
  <c r="M35" i="155" s="1"/>
  <c r="N35" i="155" s="1"/>
  <c r="L13" i="155"/>
  <c r="M13" i="155" s="1"/>
  <c r="N13" i="155" s="1"/>
  <c r="J9" i="160"/>
  <c r="J9" i="159"/>
  <c r="J9" i="158"/>
  <c r="J9" i="157"/>
  <c r="J9" i="156"/>
  <c r="J8" i="155"/>
  <c r="K30" i="154"/>
  <c r="N3" i="154"/>
  <c r="L16" i="156"/>
  <c r="M16" i="156" s="1"/>
  <c r="N16" i="156" s="1"/>
  <c r="L34" i="160"/>
  <c r="M34" i="160" s="1"/>
  <c r="N34" i="160" s="1"/>
  <c r="F35" i="153"/>
  <c r="G6" i="152"/>
  <c r="J36" i="152"/>
  <c r="M5" i="152"/>
  <c r="F4" i="152"/>
  <c r="M4" i="152"/>
  <c r="D6" i="152"/>
  <c r="D36" i="152"/>
  <c r="G36" i="152"/>
  <c r="H36" i="152"/>
  <c r="F5" i="153"/>
  <c r="N8" i="153"/>
  <c r="L12" i="152"/>
  <c r="M12" i="152" s="1"/>
  <c r="N12" i="152" s="1"/>
  <c r="M28" i="152"/>
  <c r="N28" i="152" s="1"/>
  <c r="M32" i="152"/>
  <c r="N32" i="152" s="1"/>
  <c r="L9" i="152"/>
  <c r="F10" i="152"/>
  <c r="B100" i="151"/>
  <c r="E100" i="151" s="1"/>
  <c r="K34" i="151" s="1"/>
  <c r="B98" i="151"/>
  <c r="E98" i="151" s="1"/>
  <c r="K33" i="151" s="1"/>
  <c r="B96" i="151"/>
  <c r="E96" i="151" s="1"/>
  <c r="B94" i="151"/>
  <c r="E94" i="151" s="1"/>
  <c r="B92" i="151"/>
  <c r="E92" i="151" s="1"/>
  <c r="K30" i="151" s="1"/>
  <c r="B90" i="151"/>
  <c r="E90" i="151" s="1"/>
  <c r="K29" i="151" s="1"/>
  <c r="B88" i="151"/>
  <c r="E88" i="151" s="1"/>
  <c r="B86" i="151"/>
  <c r="E86" i="151" s="1"/>
  <c r="B84" i="151"/>
  <c r="E84" i="151" s="1"/>
  <c r="B82" i="151"/>
  <c r="E82" i="151" s="1"/>
  <c r="B80" i="151"/>
  <c r="E80" i="151" s="1"/>
  <c r="B78" i="151"/>
  <c r="E78" i="151" s="1"/>
  <c r="B76" i="151"/>
  <c r="E76" i="151" s="1"/>
  <c r="B74" i="151"/>
  <c r="E74" i="151" s="1"/>
  <c r="B72" i="151"/>
  <c r="E72" i="151" s="1"/>
  <c r="K20" i="151" s="1"/>
  <c r="B70" i="151"/>
  <c r="E70" i="151" s="1"/>
  <c r="B68" i="151"/>
  <c r="E68" i="151" s="1"/>
  <c r="B66" i="151"/>
  <c r="E66" i="151" s="1"/>
  <c r="B64" i="151"/>
  <c r="E64" i="151" s="1"/>
  <c r="B62" i="151"/>
  <c r="E62" i="151" s="1"/>
  <c r="B60" i="151"/>
  <c r="E60" i="151" s="1"/>
  <c r="B58" i="151"/>
  <c r="E58" i="151" s="1"/>
  <c r="B56" i="151"/>
  <c r="E56" i="151" s="1"/>
  <c r="B54" i="151"/>
  <c r="E54" i="151" s="1"/>
  <c r="B52" i="151"/>
  <c r="E52" i="151" s="1"/>
  <c r="B50" i="151"/>
  <c r="E50" i="151" s="1"/>
  <c r="B48" i="151"/>
  <c r="E48" i="151" s="1"/>
  <c r="L43" i="151"/>
  <c r="L45" i="151" s="1"/>
  <c r="D43" i="151"/>
  <c r="N39" i="151"/>
  <c r="M39" i="151"/>
  <c r="L39" i="151"/>
  <c r="J34" i="151"/>
  <c r="H34" i="151"/>
  <c r="D34" i="151"/>
  <c r="F34" i="151" s="1"/>
  <c r="J33" i="151"/>
  <c r="H33" i="151"/>
  <c r="D33" i="151"/>
  <c r="F33" i="151" s="1"/>
  <c r="J32" i="151"/>
  <c r="H32" i="151"/>
  <c r="D32" i="151"/>
  <c r="F32" i="151" s="1"/>
  <c r="F31" i="151"/>
  <c r="J30" i="151"/>
  <c r="H30" i="151"/>
  <c r="D30" i="151"/>
  <c r="F30" i="151" s="1"/>
  <c r="J29" i="151"/>
  <c r="H29" i="151"/>
  <c r="D29" i="151"/>
  <c r="F29" i="151" s="1"/>
  <c r="J28" i="151"/>
  <c r="H28" i="151"/>
  <c r="D28" i="151"/>
  <c r="F28" i="151" s="1"/>
  <c r="F27" i="151"/>
  <c r="L27" i="151" s="1"/>
  <c r="M27" i="151" s="1"/>
  <c r="J26" i="151"/>
  <c r="H26" i="151"/>
  <c r="D26" i="151"/>
  <c r="F26" i="151" s="1"/>
  <c r="J25" i="151"/>
  <c r="H25" i="151"/>
  <c r="D25" i="151"/>
  <c r="F25" i="151" s="1"/>
  <c r="J24" i="151"/>
  <c r="H24" i="151"/>
  <c r="D24" i="151"/>
  <c r="F24" i="151" s="1"/>
  <c r="J23" i="151"/>
  <c r="H23" i="151"/>
  <c r="D23" i="151"/>
  <c r="F23" i="151" s="1"/>
  <c r="J22" i="151"/>
  <c r="H22" i="151"/>
  <c r="D22" i="151"/>
  <c r="F22" i="151" s="1"/>
  <c r="J21" i="151"/>
  <c r="H21" i="151"/>
  <c r="G21" i="151"/>
  <c r="D21" i="151"/>
  <c r="F21" i="151" s="1"/>
  <c r="J20" i="151"/>
  <c r="H20" i="151"/>
  <c r="D20" i="151"/>
  <c r="F20" i="151" s="1"/>
  <c r="J19" i="151"/>
  <c r="H19" i="151"/>
  <c r="D19" i="151"/>
  <c r="F19" i="151" s="1"/>
  <c r="F18" i="151"/>
  <c r="L18" i="151" s="1"/>
  <c r="M18" i="151" s="1"/>
  <c r="J17" i="151"/>
  <c r="H17" i="151"/>
  <c r="D17" i="151"/>
  <c r="F17" i="151" s="1"/>
  <c r="F16" i="151"/>
  <c r="L16" i="151" s="1"/>
  <c r="M16" i="151" s="1"/>
  <c r="J15" i="151"/>
  <c r="H15" i="151"/>
  <c r="D15" i="151"/>
  <c r="F15" i="151" s="1"/>
  <c r="J14" i="151"/>
  <c r="H14" i="151"/>
  <c r="D14" i="151"/>
  <c r="F14" i="151" s="1"/>
  <c r="J13" i="151"/>
  <c r="H13" i="151"/>
  <c r="G13" i="151"/>
  <c r="D13" i="151"/>
  <c r="F13" i="151" s="1"/>
  <c r="J12" i="151"/>
  <c r="H12" i="151"/>
  <c r="G12" i="151"/>
  <c r="D12" i="151"/>
  <c r="F12" i="151" s="1"/>
  <c r="F11" i="151"/>
  <c r="J10" i="151"/>
  <c r="H10" i="151"/>
  <c r="D10" i="151"/>
  <c r="F10" i="151" s="1"/>
  <c r="J9" i="151"/>
  <c r="H9" i="151"/>
  <c r="D9" i="151"/>
  <c r="F9" i="151" s="1"/>
  <c r="H8" i="151"/>
  <c r="F8" i="151"/>
  <c r="N5" i="151"/>
  <c r="M5" i="151"/>
  <c r="Q49" i="151" s="1"/>
  <c r="L5" i="151"/>
  <c r="K5" i="151"/>
  <c r="J5" i="151"/>
  <c r="I5" i="151"/>
  <c r="H5" i="151"/>
  <c r="G5" i="151"/>
  <c r="F5" i="151"/>
  <c r="E5" i="151"/>
  <c r="D5" i="151"/>
  <c r="B100" i="149"/>
  <c r="E100" i="149" s="1"/>
  <c r="K34" i="149" s="1"/>
  <c r="B98" i="149"/>
  <c r="E98" i="149" s="1"/>
  <c r="K33" i="149" s="1"/>
  <c r="B96" i="149"/>
  <c r="E96" i="149" s="1"/>
  <c r="B94" i="149"/>
  <c r="E94" i="149" s="1"/>
  <c r="B92" i="149"/>
  <c r="E92" i="149" s="1"/>
  <c r="K30" i="149" s="1"/>
  <c r="B90" i="149"/>
  <c r="E90" i="149" s="1"/>
  <c r="K29" i="149" s="1"/>
  <c r="B88" i="149"/>
  <c r="E88" i="149" s="1"/>
  <c r="B86" i="149"/>
  <c r="E86" i="149" s="1"/>
  <c r="B84" i="149"/>
  <c r="E84" i="149" s="1"/>
  <c r="B82" i="149"/>
  <c r="E82" i="149" s="1"/>
  <c r="B80" i="149"/>
  <c r="E80" i="149" s="1"/>
  <c r="B78" i="149"/>
  <c r="E78" i="149" s="1"/>
  <c r="B76" i="149"/>
  <c r="E76" i="149" s="1"/>
  <c r="B74" i="149"/>
  <c r="E74" i="149" s="1"/>
  <c r="B72" i="149"/>
  <c r="E72" i="149" s="1"/>
  <c r="K20" i="149" s="1"/>
  <c r="E70" i="149"/>
  <c r="B70" i="149"/>
  <c r="B68" i="149"/>
  <c r="E68" i="149" s="1"/>
  <c r="B66" i="149"/>
  <c r="E66" i="149" s="1"/>
  <c r="E64" i="149"/>
  <c r="B64" i="149"/>
  <c r="B62" i="149"/>
  <c r="E62" i="149" s="1"/>
  <c r="B60" i="149"/>
  <c r="E60" i="149" s="1"/>
  <c r="B58" i="149"/>
  <c r="E58" i="149" s="1"/>
  <c r="B56" i="149"/>
  <c r="E56" i="149" s="1"/>
  <c r="B54" i="149"/>
  <c r="E54" i="149" s="1"/>
  <c r="E52" i="149"/>
  <c r="B52" i="149"/>
  <c r="B50" i="149"/>
  <c r="E50" i="149" s="1"/>
  <c r="Q49" i="149"/>
  <c r="B48" i="149"/>
  <c r="E48" i="149" s="1"/>
  <c r="L43" i="149"/>
  <c r="L45" i="149" s="1"/>
  <c r="D43" i="149"/>
  <c r="N39" i="149"/>
  <c r="M39" i="149"/>
  <c r="L39" i="149"/>
  <c r="E35" i="149"/>
  <c r="J34" i="149"/>
  <c r="H34" i="149"/>
  <c r="D34" i="149"/>
  <c r="F34" i="149" s="1"/>
  <c r="J33" i="149"/>
  <c r="H33" i="149"/>
  <c r="D33" i="149"/>
  <c r="F33" i="149" s="1"/>
  <c r="J32" i="149"/>
  <c r="H32" i="149"/>
  <c r="D32" i="149"/>
  <c r="F32" i="149" s="1"/>
  <c r="F31" i="149"/>
  <c r="L31" i="149" s="1"/>
  <c r="J30" i="149"/>
  <c r="H30" i="149"/>
  <c r="D30" i="149"/>
  <c r="F30" i="149" s="1"/>
  <c r="J29" i="149"/>
  <c r="H29" i="149"/>
  <c r="D29" i="149"/>
  <c r="F29" i="149" s="1"/>
  <c r="J28" i="149"/>
  <c r="H28" i="149"/>
  <c r="D28" i="149"/>
  <c r="F28" i="149" s="1"/>
  <c r="F27" i="149"/>
  <c r="L27" i="149" s="1"/>
  <c r="J26" i="149"/>
  <c r="H26" i="149"/>
  <c r="D26" i="149"/>
  <c r="F26" i="149" s="1"/>
  <c r="J25" i="149"/>
  <c r="H25" i="149"/>
  <c r="F25" i="149"/>
  <c r="D25" i="149"/>
  <c r="J24" i="149"/>
  <c r="H24" i="149"/>
  <c r="D24" i="149"/>
  <c r="F24" i="149" s="1"/>
  <c r="J23" i="149"/>
  <c r="H23" i="149"/>
  <c r="D23" i="149"/>
  <c r="F23" i="149" s="1"/>
  <c r="J22" i="149"/>
  <c r="H22" i="149"/>
  <c r="D22" i="149"/>
  <c r="F22" i="149" s="1"/>
  <c r="J21" i="149"/>
  <c r="H21" i="149"/>
  <c r="G21" i="149"/>
  <c r="D21" i="149"/>
  <c r="F21" i="149" s="1"/>
  <c r="J20" i="149"/>
  <c r="H20" i="149"/>
  <c r="D20" i="149"/>
  <c r="F20" i="149" s="1"/>
  <c r="J19" i="149"/>
  <c r="H19" i="149"/>
  <c r="D19" i="149"/>
  <c r="F19" i="149" s="1"/>
  <c r="F18" i="149"/>
  <c r="L18" i="149" s="1"/>
  <c r="J17" i="149"/>
  <c r="H17" i="149"/>
  <c r="D17" i="149"/>
  <c r="F17" i="149" s="1"/>
  <c r="F16" i="149"/>
  <c r="L16" i="149" s="1"/>
  <c r="J15" i="149"/>
  <c r="H15" i="149"/>
  <c r="D15" i="149"/>
  <c r="F15" i="149" s="1"/>
  <c r="J14" i="149"/>
  <c r="H14" i="149"/>
  <c r="D14" i="149"/>
  <c r="F14" i="149" s="1"/>
  <c r="J13" i="149"/>
  <c r="H13" i="149"/>
  <c r="G13" i="149"/>
  <c r="D13" i="149"/>
  <c r="F13" i="149" s="1"/>
  <c r="J12" i="149"/>
  <c r="H12" i="149"/>
  <c r="G12" i="149"/>
  <c r="D12" i="149"/>
  <c r="F12" i="149" s="1"/>
  <c r="F11" i="149"/>
  <c r="L11" i="149" s="1"/>
  <c r="J10" i="149"/>
  <c r="H10" i="149"/>
  <c r="D10" i="149"/>
  <c r="F10" i="149" s="1"/>
  <c r="J9" i="149"/>
  <c r="H9" i="149"/>
  <c r="D9" i="149"/>
  <c r="H8" i="149"/>
  <c r="F8" i="149"/>
  <c r="L8" i="149" s="1"/>
  <c r="N5" i="149"/>
  <c r="M5" i="149"/>
  <c r="L5" i="149"/>
  <c r="K5" i="149"/>
  <c r="J5" i="149"/>
  <c r="I5" i="149"/>
  <c r="H5" i="149"/>
  <c r="G5" i="149"/>
  <c r="F5" i="149"/>
  <c r="E5" i="149"/>
  <c r="D5" i="149"/>
  <c r="N14" i="162" l="1"/>
  <c r="N38" i="162" s="1"/>
  <c r="M9" i="161"/>
  <c r="L37" i="161"/>
  <c r="Q70" i="161" s="1"/>
  <c r="M13" i="163"/>
  <c r="N13" i="163"/>
  <c r="L36" i="163"/>
  <c r="Q64" i="163" s="1"/>
  <c r="M22" i="161"/>
  <c r="N22" i="161"/>
  <c r="N10" i="163"/>
  <c r="M36" i="163"/>
  <c r="Q54" i="163" s="1"/>
  <c r="Q62" i="163" s="1"/>
  <c r="H35" i="151"/>
  <c r="J36" i="158"/>
  <c r="L9" i="158"/>
  <c r="J37" i="159"/>
  <c r="L9" i="159"/>
  <c r="J36" i="160"/>
  <c r="L9" i="160"/>
  <c r="L12" i="156"/>
  <c r="M12" i="156" s="1"/>
  <c r="N12" i="156" s="1"/>
  <c r="H35" i="149"/>
  <c r="D35" i="149"/>
  <c r="J36" i="157"/>
  <c r="L9" i="157"/>
  <c r="M26" i="157"/>
  <c r="N26" i="157" s="1"/>
  <c r="M6" i="152"/>
  <c r="M11" i="155"/>
  <c r="N11" i="155"/>
  <c r="F35" i="151"/>
  <c r="J36" i="155"/>
  <c r="L8" i="155"/>
  <c r="M11" i="158"/>
  <c r="N11" i="158" s="1"/>
  <c r="J36" i="156"/>
  <c r="L9" i="156"/>
  <c r="N4" i="160"/>
  <c r="N6" i="160" s="1"/>
  <c r="L6" i="160"/>
  <c r="J35" i="149"/>
  <c r="J35" i="151"/>
  <c r="G35" i="149"/>
  <c r="G35" i="151"/>
  <c r="F36" i="152"/>
  <c r="F6" i="152"/>
  <c r="M5" i="153"/>
  <c r="Q49" i="153" s="1"/>
  <c r="Q50" i="152"/>
  <c r="M9" i="152"/>
  <c r="N9" i="152" s="1"/>
  <c r="N27" i="151"/>
  <c r="N16" i="151"/>
  <c r="N18" i="151"/>
  <c r="L8" i="151"/>
  <c r="M8" i="151" s="1"/>
  <c r="D35" i="151"/>
  <c r="M16" i="149"/>
  <c r="N16" i="149"/>
  <c r="M18" i="149"/>
  <c r="N18" i="149" s="1"/>
  <c r="M27" i="149"/>
  <c r="N27" i="149" s="1"/>
  <c r="M31" i="149"/>
  <c r="N31" i="149" s="1"/>
  <c r="M8" i="149"/>
  <c r="M11" i="149"/>
  <c r="N11" i="149" s="1"/>
  <c r="F9" i="149"/>
  <c r="Q66" i="163" l="1"/>
  <c r="N9" i="161"/>
  <c r="N37" i="161" s="1"/>
  <c r="M37" i="161"/>
  <c r="Q53" i="161" s="1"/>
  <c r="Q68" i="161" s="1"/>
  <c r="Q72" i="161" s="1"/>
  <c r="N36" i="163"/>
  <c r="L36" i="158"/>
  <c r="Q74" i="158" s="1"/>
  <c r="M9" i="158"/>
  <c r="M36" i="158" s="1"/>
  <c r="Q49" i="158" s="1"/>
  <c r="Q72" i="158" s="1"/>
  <c r="N9" i="158"/>
  <c r="N36" i="158" s="1"/>
  <c r="M9" i="157"/>
  <c r="M9" i="160"/>
  <c r="M36" i="160" s="1"/>
  <c r="Q50" i="160" s="1"/>
  <c r="Q70" i="160" s="1"/>
  <c r="L36" i="160"/>
  <c r="Q72" i="160" s="1"/>
  <c r="N9" i="160"/>
  <c r="N36" i="160" s="1"/>
  <c r="M9" i="156"/>
  <c r="L37" i="159"/>
  <c r="Q80" i="159" s="1"/>
  <c r="M9" i="159"/>
  <c r="M37" i="159" s="1"/>
  <c r="Q51" i="159" s="1"/>
  <c r="Q78" i="159" s="1"/>
  <c r="M8" i="155"/>
  <c r="N8" i="155" s="1"/>
  <c r="F35" i="149"/>
  <c r="N8" i="149"/>
  <c r="Q74" i="160" l="1"/>
  <c r="Q76" i="158"/>
  <c r="N9" i="157"/>
  <c r="N9" i="156"/>
  <c r="N9" i="159"/>
  <c r="N37" i="159" s="1"/>
  <c r="Q82" i="159"/>
  <c r="N8" i="151"/>
  <c r="K39" i="140" l="1"/>
  <c r="L39" i="148"/>
  <c r="M39" i="148" s="1"/>
  <c r="G17" i="148"/>
  <c r="C17" i="148"/>
  <c r="D6" i="148" l="1"/>
  <c r="F6" i="148"/>
  <c r="J6" i="148"/>
  <c r="D36" i="148"/>
  <c r="I17" i="148"/>
  <c r="F17" i="148"/>
  <c r="I27" i="147"/>
  <c r="I12" i="148" l="1"/>
  <c r="G12" i="148" l="1"/>
  <c r="F12" i="148"/>
  <c r="C12" i="148"/>
  <c r="E12" i="148" s="1"/>
  <c r="I5" i="148"/>
  <c r="G5" i="148"/>
  <c r="C5" i="148"/>
  <c r="L5" i="148" s="1"/>
  <c r="I4" i="148"/>
  <c r="G4" i="148"/>
  <c r="G6" i="148" s="1"/>
  <c r="C4" i="148"/>
  <c r="G9" i="148"/>
  <c r="I27" i="148"/>
  <c r="G27" i="148"/>
  <c r="C27" i="148"/>
  <c r="E27" i="148" s="1"/>
  <c r="B101" i="148"/>
  <c r="D101" i="148" s="1"/>
  <c r="J35" i="148" s="1"/>
  <c r="B99" i="148"/>
  <c r="D99" i="148" s="1"/>
  <c r="J34" i="148" s="1"/>
  <c r="B97" i="148"/>
  <c r="D97" i="148" s="1"/>
  <c r="B95" i="148"/>
  <c r="D95" i="148" s="1"/>
  <c r="B93" i="148"/>
  <c r="D93" i="148" s="1"/>
  <c r="J31" i="148" s="1"/>
  <c r="B91" i="148"/>
  <c r="D91" i="148" s="1"/>
  <c r="J30" i="148" s="1"/>
  <c r="B89" i="148"/>
  <c r="D89" i="148" s="1"/>
  <c r="B87" i="148"/>
  <c r="D87" i="148" s="1"/>
  <c r="B85" i="148"/>
  <c r="D85" i="148" s="1"/>
  <c r="B83" i="148"/>
  <c r="D83" i="148" s="1"/>
  <c r="B81" i="148"/>
  <c r="D81" i="148" s="1"/>
  <c r="B79" i="148"/>
  <c r="D79" i="148" s="1"/>
  <c r="B77" i="148"/>
  <c r="D77" i="148" s="1"/>
  <c r="B75" i="148"/>
  <c r="D75" i="148" s="1"/>
  <c r="B73" i="148"/>
  <c r="D73" i="148" s="1"/>
  <c r="J21" i="148" s="1"/>
  <c r="B71" i="148"/>
  <c r="D71" i="148" s="1"/>
  <c r="B69" i="148"/>
  <c r="D69" i="148" s="1"/>
  <c r="B67" i="148"/>
  <c r="D67" i="148" s="1"/>
  <c r="B65" i="148"/>
  <c r="D65" i="148" s="1"/>
  <c r="B63" i="148"/>
  <c r="D63" i="148" s="1"/>
  <c r="B61" i="148"/>
  <c r="D61" i="148" s="1"/>
  <c r="B59" i="148"/>
  <c r="D59" i="148" s="1"/>
  <c r="B57" i="148"/>
  <c r="D57" i="148" s="1"/>
  <c r="B55" i="148"/>
  <c r="D55" i="148" s="1"/>
  <c r="B53" i="148"/>
  <c r="D53" i="148" s="1"/>
  <c r="B51" i="148"/>
  <c r="D51" i="148" s="1"/>
  <c r="B49" i="148"/>
  <c r="D49" i="148" s="1"/>
  <c r="K44" i="148"/>
  <c r="K46" i="148" s="1"/>
  <c r="C44" i="148"/>
  <c r="K40" i="148"/>
  <c r="I35" i="148"/>
  <c r="G35" i="148"/>
  <c r="C35" i="148"/>
  <c r="E35" i="148" s="1"/>
  <c r="I34" i="148"/>
  <c r="G34" i="148"/>
  <c r="C34" i="148"/>
  <c r="E34" i="148" s="1"/>
  <c r="I33" i="148"/>
  <c r="G33" i="148"/>
  <c r="C33" i="148"/>
  <c r="E33" i="148" s="1"/>
  <c r="E32" i="148"/>
  <c r="K32" i="148" s="1"/>
  <c r="I31" i="148"/>
  <c r="G31" i="148"/>
  <c r="C31" i="148"/>
  <c r="E31" i="148" s="1"/>
  <c r="I30" i="148"/>
  <c r="G30" i="148"/>
  <c r="C30" i="148"/>
  <c r="E30" i="148" s="1"/>
  <c r="E29" i="148"/>
  <c r="E28" i="148"/>
  <c r="K28" i="148" s="1"/>
  <c r="I26" i="148"/>
  <c r="G26" i="148"/>
  <c r="C26" i="148"/>
  <c r="E26" i="148" s="1"/>
  <c r="I25" i="148"/>
  <c r="G25" i="148"/>
  <c r="C25" i="148"/>
  <c r="E25" i="148" s="1"/>
  <c r="I24" i="148"/>
  <c r="G24" i="148"/>
  <c r="C24" i="148"/>
  <c r="E24" i="148" s="1"/>
  <c r="I23" i="148"/>
  <c r="G23" i="148"/>
  <c r="C23" i="148"/>
  <c r="E23" i="148" s="1"/>
  <c r="I22" i="148"/>
  <c r="G22" i="148"/>
  <c r="F22" i="148"/>
  <c r="C22" i="148"/>
  <c r="E22" i="148" s="1"/>
  <c r="I21" i="148"/>
  <c r="G21" i="148"/>
  <c r="C21" i="148"/>
  <c r="E21" i="148" s="1"/>
  <c r="I20" i="148"/>
  <c r="G20" i="148"/>
  <c r="C20" i="148"/>
  <c r="E20" i="148" s="1"/>
  <c r="E19" i="148"/>
  <c r="I18" i="148"/>
  <c r="G18" i="148"/>
  <c r="C18" i="148"/>
  <c r="E18" i="148" s="1"/>
  <c r="E17" i="148"/>
  <c r="I16" i="148"/>
  <c r="G16" i="148"/>
  <c r="C16" i="148"/>
  <c r="E16" i="148" s="1"/>
  <c r="E15" i="148"/>
  <c r="I14" i="148"/>
  <c r="G14" i="148"/>
  <c r="F14" i="148"/>
  <c r="C14" i="148"/>
  <c r="E14" i="148" s="1"/>
  <c r="I13" i="148"/>
  <c r="G13" i="148"/>
  <c r="F13" i="148"/>
  <c r="C13" i="148"/>
  <c r="E13" i="148" s="1"/>
  <c r="I11" i="148"/>
  <c r="G11" i="148"/>
  <c r="C11" i="148"/>
  <c r="E11" i="148" s="1"/>
  <c r="I10" i="148"/>
  <c r="G10" i="148"/>
  <c r="C10" i="148"/>
  <c r="E9" i="148"/>
  <c r="E5" i="148"/>
  <c r="I6" i="148" l="1"/>
  <c r="C6" i="148"/>
  <c r="L4" i="148"/>
  <c r="L6" i="148" s="1"/>
  <c r="P50" i="148" s="1"/>
  <c r="I36" i="148"/>
  <c r="F36" i="148"/>
  <c r="G36" i="148"/>
  <c r="K9" i="148"/>
  <c r="C36" i="148"/>
  <c r="E10" i="148"/>
  <c r="E36" i="148" s="1"/>
  <c r="E4" i="148"/>
  <c r="K29" i="148"/>
  <c r="L29" i="148" s="1"/>
  <c r="K19" i="148"/>
  <c r="L19" i="148" s="1"/>
  <c r="M19" i="148" s="1"/>
  <c r="K15" i="148"/>
  <c r="L15" i="148" s="1"/>
  <c r="M15" i="148" s="1"/>
  <c r="L28" i="148"/>
  <c r="M28" i="148" s="1"/>
  <c r="L32" i="148"/>
  <c r="M32" i="148" s="1"/>
  <c r="M40" i="148"/>
  <c r="L40" i="148"/>
  <c r="I25" i="147"/>
  <c r="G25" i="147"/>
  <c r="F25" i="147"/>
  <c r="C25" i="147"/>
  <c r="K35" i="140"/>
  <c r="J25" i="147" s="1"/>
  <c r="P87" i="147"/>
  <c r="J39" i="147"/>
  <c r="I39" i="147"/>
  <c r="G39" i="147"/>
  <c r="F39" i="147"/>
  <c r="C39" i="147"/>
  <c r="I9" i="147"/>
  <c r="I26" i="147"/>
  <c r="I28" i="147"/>
  <c r="I29" i="147"/>
  <c r="I30" i="147"/>
  <c r="I31" i="147"/>
  <c r="I32" i="147"/>
  <c r="I33" i="147"/>
  <c r="I34" i="147"/>
  <c r="I35" i="147"/>
  <c r="I36" i="147"/>
  <c r="I40" i="147"/>
  <c r="I41" i="147"/>
  <c r="I43" i="147"/>
  <c r="I44" i="147"/>
  <c r="I21" i="147"/>
  <c r="I22" i="147"/>
  <c r="I23" i="147"/>
  <c r="I24" i="147"/>
  <c r="I20" i="147"/>
  <c r="I11" i="147"/>
  <c r="I12" i="147"/>
  <c r="I13" i="147"/>
  <c r="I10" i="147"/>
  <c r="I5" i="147"/>
  <c r="I4" i="147"/>
  <c r="I45" i="147"/>
  <c r="E6" i="148" l="1"/>
  <c r="M29" i="148"/>
  <c r="L9" i="148"/>
  <c r="I46" i="147"/>
  <c r="I6" i="147"/>
  <c r="F13" i="147"/>
  <c r="F14" i="147"/>
  <c r="F15" i="147"/>
  <c r="F16" i="147"/>
  <c r="F17" i="147"/>
  <c r="F18" i="147"/>
  <c r="F19" i="147"/>
  <c r="F12" i="147"/>
  <c r="F11" i="147"/>
  <c r="F10" i="147"/>
  <c r="F9" i="147"/>
  <c r="C19" i="147"/>
  <c r="E19" i="147" s="1"/>
  <c r="C18" i="147"/>
  <c r="E18" i="147" s="1"/>
  <c r="C17" i="147"/>
  <c r="E17" i="147" s="1"/>
  <c r="C16" i="147"/>
  <c r="E16" i="147" s="1"/>
  <c r="C15" i="147"/>
  <c r="E15" i="147" s="1"/>
  <c r="K15" i="147" s="1"/>
  <c r="L15" i="147" s="1"/>
  <c r="C14" i="147"/>
  <c r="E14" i="147" s="1"/>
  <c r="K14" i="147" s="1"/>
  <c r="C13" i="147"/>
  <c r="E13" i="147" s="1"/>
  <c r="C12" i="147"/>
  <c r="E12" i="147" s="1"/>
  <c r="C11" i="147"/>
  <c r="E11" i="147" s="1"/>
  <c r="C10" i="147"/>
  <c r="E10" i="147" s="1"/>
  <c r="D6" i="147"/>
  <c r="J6" i="147"/>
  <c r="F5" i="147"/>
  <c r="F6" i="147" s="1"/>
  <c r="C5" i="147"/>
  <c r="L5" i="147" s="1"/>
  <c r="K18" i="147" l="1"/>
  <c r="M9" i="148"/>
  <c r="K16" i="147"/>
  <c r="L16" i="147" s="1"/>
  <c r="K17" i="147"/>
  <c r="L17" i="147" s="1"/>
  <c r="M17" i="147" s="1"/>
  <c r="K19" i="147"/>
  <c r="L19" i="147" s="1"/>
  <c r="E5" i="147"/>
  <c r="L18" i="147"/>
  <c r="M18" i="147" s="1"/>
  <c r="L14" i="147"/>
  <c r="M14" i="147" s="1"/>
  <c r="M15" i="147"/>
  <c r="G9" i="147"/>
  <c r="C9" i="147"/>
  <c r="K34" i="140"/>
  <c r="J9" i="147" s="1"/>
  <c r="M16" i="147" l="1"/>
  <c r="M19" i="147"/>
  <c r="C4" i="147"/>
  <c r="L4" i="147" l="1"/>
  <c r="C6" i="147"/>
  <c r="L6" i="147"/>
  <c r="P60" i="147" s="1"/>
  <c r="G33" i="147"/>
  <c r="C33" i="147"/>
  <c r="B112" i="147" l="1"/>
  <c r="D112" i="147" s="1"/>
  <c r="B110" i="147"/>
  <c r="D110" i="147" s="1"/>
  <c r="J44" i="147" s="1"/>
  <c r="B108" i="147"/>
  <c r="D108" i="147" s="1"/>
  <c r="B106" i="147"/>
  <c r="D106" i="147" s="1"/>
  <c r="B104" i="147"/>
  <c r="D104" i="147" s="1"/>
  <c r="B102" i="147"/>
  <c r="D102" i="147" s="1"/>
  <c r="J40" i="147" s="1"/>
  <c r="B100" i="147"/>
  <c r="D100" i="147" s="1"/>
  <c r="B98" i="147"/>
  <c r="D98" i="147" s="1"/>
  <c r="B96" i="147"/>
  <c r="D96" i="147" s="1"/>
  <c r="B94" i="147"/>
  <c r="D94" i="147" s="1"/>
  <c r="B92" i="147"/>
  <c r="D92" i="147" s="1"/>
  <c r="B90" i="147"/>
  <c r="D90" i="147" s="1"/>
  <c r="B88" i="147"/>
  <c r="D88" i="147" s="1"/>
  <c r="B86" i="147"/>
  <c r="D86" i="147" s="1"/>
  <c r="B84" i="147"/>
  <c r="D84" i="147" s="1"/>
  <c r="J31" i="147" s="1"/>
  <c r="B82" i="147"/>
  <c r="D82" i="147" s="1"/>
  <c r="B80" i="147"/>
  <c r="D80" i="147" s="1"/>
  <c r="B78" i="147"/>
  <c r="D78" i="147" s="1"/>
  <c r="B76" i="147"/>
  <c r="D76" i="147" s="1"/>
  <c r="B74" i="147"/>
  <c r="D74" i="147" s="1"/>
  <c r="B72" i="147"/>
  <c r="D72" i="147" s="1"/>
  <c r="B69" i="147"/>
  <c r="D69" i="147" s="1"/>
  <c r="B67" i="147"/>
  <c r="D67" i="147" s="1"/>
  <c r="B65" i="147"/>
  <c r="D65" i="147" s="1"/>
  <c r="B63" i="147"/>
  <c r="D63" i="147" s="1"/>
  <c r="B61" i="147"/>
  <c r="D61" i="147" s="1"/>
  <c r="B59" i="147"/>
  <c r="D59" i="147" s="1"/>
  <c r="K54" i="147"/>
  <c r="K56" i="147" s="1"/>
  <c r="C54" i="147"/>
  <c r="K50" i="147"/>
  <c r="L49" i="147"/>
  <c r="D46" i="147"/>
  <c r="J45" i="147"/>
  <c r="G45" i="147"/>
  <c r="C45" i="147"/>
  <c r="E45" i="147" s="1"/>
  <c r="G44" i="147"/>
  <c r="C44" i="147"/>
  <c r="E44" i="147" s="1"/>
  <c r="G43" i="147"/>
  <c r="C43" i="147"/>
  <c r="E43" i="147" s="1"/>
  <c r="E42" i="147"/>
  <c r="K42" i="147" s="1"/>
  <c r="L42" i="147" s="1"/>
  <c r="J41" i="147"/>
  <c r="G41" i="147"/>
  <c r="C41" i="147"/>
  <c r="E41" i="147" s="1"/>
  <c r="G40" i="147"/>
  <c r="C40" i="147"/>
  <c r="E40" i="147" s="1"/>
  <c r="E39" i="147"/>
  <c r="E38" i="147"/>
  <c r="E37" i="147"/>
  <c r="K37" i="147" s="1"/>
  <c r="G36" i="147"/>
  <c r="C36" i="147"/>
  <c r="E36" i="147" s="1"/>
  <c r="G35" i="147"/>
  <c r="C35" i="147"/>
  <c r="E35" i="147" s="1"/>
  <c r="G34" i="147"/>
  <c r="C34" i="147"/>
  <c r="E34" i="147" s="1"/>
  <c r="E33" i="147"/>
  <c r="G32" i="147"/>
  <c r="F32" i="147"/>
  <c r="C32" i="147"/>
  <c r="E32" i="147" s="1"/>
  <c r="G31" i="147"/>
  <c r="C31" i="147"/>
  <c r="E31" i="147" s="1"/>
  <c r="G30" i="147"/>
  <c r="C30" i="147"/>
  <c r="E30" i="147" s="1"/>
  <c r="G29" i="147"/>
  <c r="C29" i="147"/>
  <c r="E29" i="147" s="1"/>
  <c r="G28" i="147"/>
  <c r="C28" i="147"/>
  <c r="E28" i="147" s="1"/>
  <c r="G27" i="147"/>
  <c r="F27" i="147"/>
  <c r="C27" i="147"/>
  <c r="E27" i="147" s="1"/>
  <c r="G26" i="147"/>
  <c r="C26" i="147"/>
  <c r="E26" i="147" s="1"/>
  <c r="E25" i="147"/>
  <c r="G24" i="147"/>
  <c r="F24" i="147"/>
  <c r="C24" i="147"/>
  <c r="E24" i="147" s="1"/>
  <c r="G23" i="147"/>
  <c r="F23" i="147"/>
  <c r="C23" i="147"/>
  <c r="E23" i="147" s="1"/>
  <c r="G22" i="147"/>
  <c r="C22" i="147"/>
  <c r="E22" i="147" s="1"/>
  <c r="G21" i="147"/>
  <c r="C21" i="147"/>
  <c r="E21" i="147" s="1"/>
  <c r="G20" i="147"/>
  <c r="C20" i="147"/>
  <c r="G4" i="147"/>
  <c r="G6" i="147" s="1"/>
  <c r="E4" i="147"/>
  <c r="E6" i="147" s="1"/>
  <c r="O73" i="146"/>
  <c r="J40" i="146"/>
  <c r="G28" i="146"/>
  <c r="F28" i="146"/>
  <c r="C28" i="146"/>
  <c r="E20" i="147" l="1"/>
  <c r="C46" i="147"/>
  <c r="M42" i="147"/>
  <c r="L50" i="147"/>
  <c r="G46" i="147"/>
  <c r="L37" i="147"/>
  <c r="M37" i="147" s="1"/>
  <c r="E9" i="147"/>
  <c r="F46" i="147"/>
  <c r="M49" i="147"/>
  <c r="M50" i="147" s="1"/>
  <c r="G27" i="146"/>
  <c r="F27" i="146"/>
  <c r="C27" i="146"/>
  <c r="E46" i="147" l="1"/>
  <c r="F26" i="146"/>
  <c r="G26" i="146"/>
  <c r="C26" i="146"/>
  <c r="K38" i="140"/>
  <c r="K26" i="151" l="1"/>
  <c r="K26" i="149"/>
  <c r="J27" i="148"/>
  <c r="K39" i="146"/>
  <c r="G8" i="146"/>
  <c r="C8" i="146"/>
  <c r="G5" i="146" l="1"/>
  <c r="G6" i="146" s="1"/>
  <c r="F5" i="146"/>
  <c r="F6" i="146" s="1"/>
  <c r="C5" i="146"/>
  <c r="K5" i="146" s="1"/>
  <c r="D6" i="146"/>
  <c r="B102" i="146"/>
  <c r="D102" i="146" s="1"/>
  <c r="I34" i="146" s="1"/>
  <c r="B100" i="146"/>
  <c r="D100" i="146" s="1"/>
  <c r="I33" i="146" s="1"/>
  <c r="B98" i="146"/>
  <c r="D98" i="146" s="1"/>
  <c r="B96" i="146"/>
  <c r="D96" i="146" s="1"/>
  <c r="B94" i="146"/>
  <c r="D94" i="146" s="1"/>
  <c r="I30" i="146" s="1"/>
  <c r="B92" i="146"/>
  <c r="D92" i="146" s="1"/>
  <c r="I29" i="146" s="1"/>
  <c r="B90" i="146"/>
  <c r="D90" i="146" s="1"/>
  <c r="I28" i="146" s="1"/>
  <c r="B88" i="146"/>
  <c r="D88" i="146" s="1"/>
  <c r="I27" i="146" s="1"/>
  <c r="B86" i="146"/>
  <c r="D86" i="146" s="1"/>
  <c r="B84" i="146"/>
  <c r="D84" i="146" s="1"/>
  <c r="B82" i="146"/>
  <c r="D82" i="146" s="1"/>
  <c r="B80" i="146"/>
  <c r="D80" i="146" s="1"/>
  <c r="B78" i="146"/>
  <c r="D78" i="146" s="1"/>
  <c r="B76" i="146"/>
  <c r="D76" i="146" s="1"/>
  <c r="B74" i="146"/>
  <c r="D74" i="146" s="1"/>
  <c r="I20" i="146" s="1"/>
  <c r="B72" i="146"/>
  <c r="D72" i="146" s="1"/>
  <c r="B70" i="146"/>
  <c r="D70" i="146" s="1"/>
  <c r="B68" i="146"/>
  <c r="D68" i="146" s="1"/>
  <c r="B66" i="146"/>
  <c r="D66" i="146" s="1"/>
  <c r="B64" i="146"/>
  <c r="D64" i="146" s="1"/>
  <c r="B62" i="146"/>
  <c r="D62" i="146" s="1"/>
  <c r="B59" i="146"/>
  <c r="D59" i="146" s="1"/>
  <c r="I13" i="146" s="1"/>
  <c r="B57" i="146"/>
  <c r="D57" i="146" s="1"/>
  <c r="I12" i="146" s="1"/>
  <c r="B55" i="146"/>
  <c r="D55" i="146" s="1"/>
  <c r="B53" i="146"/>
  <c r="D53" i="146" s="1"/>
  <c r="B51" i="146"/>
  <c r="D51" i="146" s="1"/>
  <c r="B49" i="146"/>
  <c r="D49" i="146" s="1"/>
  <c r="J44" i="146"/>
  <c r="J46" i="146" s="1"/>
  <c r="C44" i="146"/>
  <c r="L39" i="146"/>
  <c r="K38" i="146"/>
  <c r="D35" i="146"/>
  <c r="G34" i="146"/>
  <c r="C34" i="146"/>
  <c r="E34" i="146" s="1"/>
  <c r="G33" i="146"/>
  <c r="C33" i="146"/>
  <c r="E33" i="146" s="1"/>
  <c r="G32" i="146"/>
  <c r="C32" i="146"/>
  <c r="E32" i="146" s="1"/>
  <c r="E31" i="146"/>
  <c r="J31" i="146" s="1"/>
  <c r="K31" i="146" s="1"/>
  <c r="G30" i="146"/>
  <c r="C30" i="146"/>
  <c r="E30" i="146" s="1"/>
  <c r="G29" i="146"/>
  <c r="C29" i="146"/>
  <c r="E29" i="146" s="1"/>
  <c r="E28" i="146"/>
  <c r="E27" i="146"/>
  <c r="E26" i="146"/>
  <c r="G25" i="146"/>
  <c r="C25" i="146"/>
  <c r="E25" i="146" s="1"/>
  <c r="G24" i="146"/>
  <c r="C24" i="146"/>
  <c r="E24" i="146" s="1"/>
  <c r="G23" i="146"/>
  <c r="C23" i="146"/>
  <c r="E23" i="146" s="1"/>
  <c r="E22" i="146"/>
  <c r="G21" i="146"/>
  <c r="F21" i="146"/>
  <c r="C21" i="146"/>
  <c r="E21" i="146" s="1"/>
  <c r="G20" i="146"/>
  <c r="C20" i="146"/>
  <c r="E20" i="146" s="1"/>
  <c r="G19" i="146"/>
  <c r="C19" i="146"/>
  <c r="E19" i="146" s="1"/>
  <c r="G18" i="146"/>
  <c r="C18" i="146"/>
  <c r="E18" i="146" s="1"/>
  <c r="G17" i="146"/>
  <c r="C17" i="146"/>
  <c r="E17" i="146" s="1"/>
  <c r="G16" i="146"/>
  <c r="F16" i="146"/>
  <c r="C16" i="146"/>
  <c r="E16" i="146" s="1"/>
  <c r="G15" i="146"/>
  <c r="C15" i="146"/>
  <c r="E15" i="146" s="1"/>
  <c r="E14" i="146"/>
  <c r="G13" i="146"/>
  <c r="F13" i="146"/>
  <c r="C13" i="146"/>
  <c r="E13" i="146" s="1"/>
  <c r="G12" i="146"/>
  <c r="F12" i="146"/>
  <c r="C12" i="146"/>
  <c r="E12" i="146" s="1"/>
  <c r="G11" i="146"/>
  <c r="C11" i="146"/>
  <c r="E11" i="146" s="1"/>
  <c r="G10" i="146"/>
  <c r="C10" i="146"/>
  <c r="E10" i="146" s="1"/>
  <c r="G9" i="146"/>
  <c r="C9" i="146"/>
  <c r="E9" i="146" s="1"/>
  <c r="E8" i="146"/>
  <c r="J36" i="145"/>
  <c r="D31" i="145"/>
  <c r="F35" i="146" l="1"/>
  <c r="K6" i="146"/>
  <c r="O50" i="146" s="1"/>
  <c r="E5" i="146"/>
  <c r="C35" i="146"/>
  <c r="C6" i="146"/>
  <c r="J22" i="146"/>
  <c r="K22" i="146" s="1"/>
  <c r="L22" i="146" s="1"/>
  <c r="E35" i="146"/>
  <c r="G35" i="146"/>
  <c r="K40" i="146"/>
  <c r="J14" i="146"/>
  <c r="I35" i="146"/>
  <c r="L31" i="146"/>
  <c r="L38" i="146"/>
  <c r="L40" i="146" s="1"/>
  <c r="E6" i="146" l="1"/>
  <c r="K14" i="146"/>
  <c r="L14" i="146" s="1"/>
  <c r="K35" i="145"/>
  <c r="L35" i="145" s="1"/>
  <c r="G10" i="145"/>
  <c r="F10" i="145"/>
  <c r="C10" i="145"/>
  <c r="E10" i="145" s="1"/>
  <c r="O66" i="145" l="1"/>
  <c r="G18" i="145"/>
  <c r="F18" i="145"/>
  <c r="C18" i="145"/>
  <c r="E18" i="145" s="1"/>
  <c r="B74" i="145"/>
  <c r="D74" i="145" s="1"/>
  <c r="K36" i="140"/>
  <c r="G19" i="145"/>
  <c r="C19" i="145"/>
  <c r="E19" i="145" s="1"/>
  <c r="C100" i="145"/>
  <c r="B98" i="145"/>
  <c r="D98" i="145" s="1"/>
  <c r="I30" i="145" s="1"/>
  <c r="B96" i="145"/>
  <c r="D96" i="145" s="1"/>
  <c r="I29" i="145" s="1"/>
  <c r="B94" i="145"/>
  <c r="D94" i="145" s="1"/>
  <c r="B92" i="145"/>
  <c r="D92" i="145" s="1"/>
  <c r="B90" i="145"/>
  <c r="D90" i="145" s="1"/>
  <c r="I26" i="145" s="1"/>
  <c r="B88" i="145"/>
  <c r="D88" i="145" s="1"/>
  <c r="I25" i="145" s="1"/>
  <c r="B86" i="145"/>
  <c r="D86" i="145" s="1"/>
  <c r="I24" i="145" s="1"/>
  <c r="B84" i="145"/>
  <c r="D84" i="145" s="1"/>
  <c r="I23" i="145" s="1"/>
  <c r="B82" i="145"/>
  <c r="D82" i="145" s="1"/>
  <c r="B80" i="145"/>
  <c r="D80" i="145" s="1"/>
  <c r="B78" i="145"/>
  <c r="D78" i="145" s="1"/>
  <c r="B76" i="145"/>
  <c r="D76" i="145" s="1"/>
  <c r="I19" i="145" s="1"/>
  <c r="B72" i="145"/>
  <c r="D72" i="145" s="1"/>
  <c r="B70" i="145"/>
  <c r="D70" i="145" s="1"/>
  <c r="I16" i="145" s="1"/>
  <c r="B68" i="145"/>
  <c r="D68" i="145" s="1"/>
  <c r="B66" i="145"/>
  <c r="D66" i="145" s="1"/>
  <c r="B64" i="145"/>
  <c r="D64" i="145" s="1"/>
  <c r="B62" i="145"/>
  <c r="D62" i="145" s="1"/>
  <c r="B60" i="145"/>
  <c r="D60" i="145" s="1"/>
  <c r="B58" i="145"/>
  <c r="D58" i="145" s="1"/>
  <c r="B55" i="145"/>
  <c r="D55" i="145" s="1"/>
  <c r="I9" i="145" s="1"/>
  <c r="B53" i="145"/>
  <c r="D53" i="145" s="1"/>
  <c r="I8" i="145" s="1"/>
  <c r="B51" i="145"/>
  <c r="D51" i="145" s="1"/>
  <c r="B49" i="145"/>
  <c r="D49" i="145" s="1"/>
  <c r="B47" i="145"/>
  <c r="D47" i="145" s="1"/>
  <c r="B45" i="145"/>
  <c r="D45" i="145" s="1"/>
  <c r="J40" i="145"/>
  <c r="J42" i="145" s="1"/>
  <c r="C40" i="145"/>
  <c r="K34" i="145"/>
  <c r="K36" i="145" s="1"/>
  <c r="G30" i="145"/>
  <c r="C30" i="145"/>
  <c r="E30" i="145" s="1"/>
  <c r="G29" i="145"/>
  <c r="C29" i="145"/>
  <c r="E29" i="145" s="1"/>
  <c r="G28" i="145"/>
  <c r="C28" i="145"/>
  <c r="E28" i="145" s="1"/>
  <c r="E27" i="145"/>
  <c r="J27" i="145" s="1"/>
  <c r="G26" i="145"/>
  <c r="C26" i="145"/>
  <c r="E26" i="145" s="1"/>
  <c r="G25" i="145"/>
  <c r="C25" i="145"/>
  <c r="E25" i="145" s="1"/>
  <c r="G24" i="145"/>
  <c r="C24" i="145"/>
  <c r="E24" i="145" s="1"/>
  <c r="G23" i="145"/>
  <c r="C23" i="145"/>
  <c r="E23" i="145" s="1"/>
  <c r="E22" i="145"/>
  <c r="J22" i="145" s="1"/>
  <c r="G21" i="145"/>
  <c r="C21" i="145"/>
  <c r="E21" i="145" s="1"/>
  <c r="G20" i="145"/>
  <c r="C20" i="145"/>
  <c r="E20" i="145" s="1"/>
  <c r="G17" i="145"/>
  <c r="F17" i="145"/>
  <c r="C17" i="145"/>
  <c r="E17" i="145" s="1"/>
  <c r="G16" i="145"/>
  <c r="C16" i="145"/>
  <c r="E16" i="145" s="1"/>
  <c r="G15" i="145"/>
  <c r="C15" i="145"/>
  <c r="E15" i="145" s="1"/>
  <c r="G14" i="145"/>
  <c r="C14" i="145"/>
  <c r="E14" i="145" s="1"/>
  <c r="G13" i="145"/>
  <c r="C13" i="145"/>
  <c r="E13" i="145" s="1"/>
  <c r="G12" i="145"/>
  <c r="F12" i="145"/>
  <c r="C12" i="145"/>
  <c r="E12" i="145" s="1"/>
  <c r="G11" i="145"/>
  <c r="C11" i="145"/>
  <c r="E11" i="145" s="1"/>
  <c r="G9" i="145"/>
  <c r="F9" i="145"/>
  <c r="C9" i="145"/>
  <c r="E9" i="145" s="1"/>
  <c r="G8" i="145"/>
  <c r="F8" i="145"/>
  <c r="C8" i="145"/>
  <c r="E8" i="145" s="1"/>
  <c r="G7" i="145"/>
  <c r="C7" i="145"/>
  <c r="E7" i="145" s="1"/>
  <c r="G6" i="145"/>
  <c r="C6" i="145"/>
  <c r="E6" i="145" s="1"/>
  <c r="G5" i="145"/>
  <c r="C5" i="145"/>
  <c r="E5" i="145" s="1"/>
  <c r="G4" i="145"/>
  <c r="C4" i="145"/>
  <c r="K40" i="144"/>
  <c r="P62" i="144"/>
  <c r="L39" i="144"/>
  <c r="M39" i="144" s="1"/>
  <c r="H26" i="144"/>
  <c r="G26" i="144"/>
  <c r="F26" i="144"/>
  <c r="C26" i="144"/>
  <c r="K22" i="151" l="1"/>
  <c r="K22" i="149"/>
  <c r="K35" i="149" s="1"/>
  <c r="J23" i="148"/>
  <c r="J36" i="148" s="1"/>
  <c r="J33" i="147"/>
  <c r="J46" i="147" s="1"/>
  <c r="I5" i="146"/>
  <c r="I6" i="146" s="1"/>
  <c r="G31" i="145"/>
  <c r="F31" i="145"/>
  <c r="I31" i="145"/>
  <c r="E4" i="145"/>
  <c r="E31" i="145" s="1"/>
  <c r="C31" i="145"/>
  <c r="K27" i="145"/>
  <c r="L27" i="145" s="1"/>
  <c r="K22" i="145"/>
  <c r="L22" i="145" s="1"/>
  <c r="L34" i="145"/>
  <c r="L36" i="145" s="1"/>
  <c r="D5" i="144"/>
  <c r="F5" i="144"/>
  <c r="H4" i="144"/>
  <c r="H5" i="144" s="1"/>
  <c r="C4" i="144"/>
  <c r="G4" i="144"/>
  <c r="G5" i="144" s="1"/>
  <c r="G8" i="144"/>
  <c r="C8" i="144"/>
  <c r="H8" i="144"/>
  <c r="G9" i="144"/>
  <c r="G10" i="144"/>
  <c r="G11" i="144"/>
  <c r="G12" i="144"/>
  <c r="G13" i="144"/>
  <c r="G14" i="144"/>
  <c r="G15" i="144"/>
  <c r="G16" i="144"/>
  <c r="G17" i="144"/>
  <c r="G18" i="144"/>
  <c r="G19" i="144"/>
  <c r="G20" i="144"/>
  <c r="G21" i="144"/>
  <c r="G24" i="144"/>
  <c r="G25" i="144"/>
  <c r="G27" i="144"/>
  <c r="G28" i="144"/>
  <c r="G29" i="144"/>
  <c r="G30" i="144"/>
  <c r="G32" i="144"/>
  <c r="G33" i="144"/>
  <c r="G34" i="144"/>
  <c r="D35" i="144"/>
  <c r="C18" i="144"/>
  <c r="E18" i="144" s="1"/>
  <c r="H11" i="144"/>
  <c r="C103" i="144"/>
  <c r="B101" i="144"/>
  <c r="D101" i="144" s="1"/>
  <c r="B99" i="144"/>
  <c r="D99" i="144" s="1"/>
  <c r="B97" i="144"/>
  <c r="D97" i="144" s="1"/>
  <c r="B95" i="144"/>
  <c r="D95" i="144" s="1"/>
  <c r="B93" i="144"/>
  <c r="D93" i="144" s="1"/>
  <c r="B91" i="144"/>
  <c r="D91" i="144" s="1"/>
  <c r="B89" i="144"/>
  <c r="D89" i="144" s="1"/>
  <c r="B87" i="144"/>
  <c r="D87" i="144" s="1"/>
  <c r="B85" i="144"/>
  <c r="D85" i="144" s="1"/>
  <c r="B83" i="144"/>
  <c r="D83" i="144" s="1"/>
  <c r="B81" i="144"/>
  <c r="D81" i="144" s="1"/>
  <c r="B79" i="144"/>
  <c r="D79" i="144" s="1"/>
  <c r="J5" i="144" s="1"/>
  <c r="B77" i="144"/>
  <c r="D77" i="144" s="1"/>
  <c r="B75" i="144"/>
  <c r="D75" i="144" s="1"/>
  <c r="B73" i="144"/>
  <c r="D73" i="144" s="1"/>
  <c r="B71" i="144"/>
  <c r="D71" i="144" s="1"/>
  <c r="B69" i="144"/>
  <c r="D69" i="144" s="1"/>
  <c r="B67" i="144"/>
  <c r="D67" i="144" s="1"/>
  <c r="B65" i="144"/>
  <c r="D65" i="144" s="1"/>
  <c r="B63" i="144"/>
  <c r="D63" i="144" s="1"/>
  <c r="B61" i="144"/>
  <c r="D61" i="144" s="1"/>
  <c r="B59" i="144"/>
  <c r="D59" i="144" s="1"/>
  <c r="J13" i="144" s="1"/>
  <c r="B57" i="144"/>
  <c r="D57" i="144" s="1"/>
  <c r="J12" i="144" s="1"/>
  <c r="B55" i="144"/>
  <c r="D55" i="144" s="1"/>
  <c r="B53" i="144"/>
  <c r="D53" i="144" s="1"/>
  <c r="B51" i="144"/>
  <c r="D51" i="144" s="1"/>
  <c r="B49" i="144"/>
  <c r="D49" i="144" s="1"/>
  <c r="K44" i="144"/>
  <c r="K46" i="144" s="1"/>
  <c r="C44" i="144"/>
  <c r="L38" i="144"/>
  <c r="H34" i="144"/>
  <c r="C34" i="144"/>
  <c r="E34" i="144" s="1"/>
  <c r="H33" i="144"/>
  <c r="C33" i="144"/>
  <c r="E33" i="144" s="1"/>
  <c r="H32" i="144"/>
  <c r="C32" i="144"/>
  <c r="E32" i="144" s="1"/>
  <c r="E31" i="144"/>
  <c r="K31" i="144" s="1"/>
  <c r="H30" i="144"/>
  <c r="C30" i="144"/>
  <c r="E30" i="144" s="1"/>
  <c r="H29" i="144"/>
  <c r="C29" i="144"/>
  <c r="E29" i="144" s="1"/>
  <c r="H28" i="144"/>
  <c r="C28" i="144"/>
  <c r="E28" i="144" s="1"/>
  <c r="H27" i="144"/>
  <c r="C27" i="144"/>
  <c r="E27" i="144" s="1"/>
  <c r="E26" i="144"/>
  <c r="H25" i="144"/>
  <c r="C25" i="144"/>
  <c r="E25" i="144" s="1"/>
  <c r="H24" i="144"/>
  <c r="C24" i="144"/>
  <c r="E24" i="144" s="1"/>
  <c r="E23" i="144"/>
  <c r="E22" i="144"/>
  <c r="K22" i="144" s="1"/>
  <c r="H21" i="144"/>
  <c r="F21" i="144"/>
  <c r="C21" i="144"/>
  <c r="E21" i="144" s="1"/>
  <c r="H20" i="144"/>
  <c r="C20" i="144"/>
  <c r="E20" i="144" s="1"/>
  <c r="H19" i="144"/>
  <c r="C19" i="144"/>
  <c r="E19" i="144" s="1"/>
  <c r="H18" i="144"/>
  <c r="H17" i="144"/>
  <c r="C17" i="144"/>
  <c r="E17" i="144" s="1"/>
  <c r="H16" i="144"/>
  <c r="F16" i="144"/>
  <c r="C16" i="144"/>
  <c r="E16" i="144" s="1"/>
  <c r="H15" i="144"/>
  <c r="C15" i="144"/>
  <c r="E15" i="144" s="1"/>
  <c r="H14" i="144"/>
  <c r="C14" i="144"/>
  <c r="E14" i="144" s="1"/>
  <c r="H13" i="144"/>
  <c r="F13" i="144"/>
  <c r="C13" i="144"/>
  <c r="E13" i="144" s="1"/>
  <c r="H12" i="144"/>
  <c r="F12" i="144"/>
  <c r="C12" i="144"/>
  <c r="E12" i="144" s="1"/>
  <c r="C11" i="144"/>
  <c r="E11" i="144" s="1"/>
  <c r="H10" i="144"/>
  <c r="C10" i="144"/>
  <c r="E10" i="144" s="1"/>
  <c r="H9" i="144"/>
  <c r="C9" i="144"/>
  <c r="E9" i="144" s="1"/>
  <c r="D35" i="143"/>
  <c r="G31" i="143"/>
  <c r="F31" i="143"/>
  <c r="C31" i="143"/>
  <c r="L4" i="144" l="1"/>
  <c r="L5" i="144" s="1"/>
  <c r="P50" i="144" s="1"/>
  <c r="F35" i="144"/>
  <c r="M38" i="144"/>
  <c r="M40" i="144" s="1"/>
  <c r="L40" i="144"/>
  <c r="E4" i="144"/>
  <c r="H35" i="144"/>
  <c r="J35" i="144"/>
  <c r="G35" i="144"/>
  <c r="E5" i="144"/>
  <c r="E8" i="144"/>
  <c r="L31" i="144"/>
  <c r="M31" i="144" s="1"/>
  <c r="K23" i="144"/>
  <c r="L22" i="144"/>
  <c r="M22" i="144" s="1"/>
  <c r="C35" i="144"/>
  <c r="C5" i="144"/>
  <c r="G23" i="143"/>
  <c r="C23" i="143"/>
  <c r="E23" i="143" s="1"/>
  <c r="B79" i="143"/>
  <c r="D79" i="143" s="1"/>
  <c r="I23" i="143" s="1"/>
  <c r="K37" i="140"/>
  <c r="G9" i="143"/>
  <c r="G10" i="143"/>
  <c r="G11" i="143"/>
  <c r="G12" i="143"/>
  <c r="G13" i="143"/>
  <c r="G14" i="143"/>
  <c r="G15" i="143"/>
  <c r="G16" i="143"/>
  <c r="G17" i="143"/>
  <c r="G18" i="143"/>
  <c r="G19" i="143"/>
  <c r="G20" i="143"/>
  <c r="G21" i="143"/>
  <c r="G24" i="143"/>
  <c r="G25" i="143"/>
  <c r="G26" i="143"/>
  <c r="G27" i="143"/>
  <c r="G28" i="143"/>
  <c r="G29" i="143"/>
  <c r="G30" i="143"/>
  <c r="G32" i="143"/>
  <c r="G33" i="143"/>
  <c r="G34" i="143"/>
  <c r="G4" i="143"/>
  <c r="G5" i="143" s="1"/>
  <c r="C4" i="143"/>
  <c r="K4" i="143" s="1"/>
  <c r="C13" i="143"/>
  <c r="E13" i="143" s="1"/>
  <c r="F13" i="143"/>
  <c r="C12" i="143"/>
  <c r="E12" i="143" s="1"/>
  <c r="F12" i="143"/>
  <c r="C103" i="143"/>
  <c r="B101" i="143"/>
  <c r="D101" i="143" s="1"/>
  <c r="B99" i="143"/>
  <c r="D99" i="143" s="1"/>
  <c r="B97" i="143"/>
  <c r="D97" i="143" s="1"/>
  <c r="I32" i="143" s="1"/>
  <c r="B95" i="143"/>
  <c r="D95" i="143" s="1"/>
  <c r="B93" i="143"/>
  <c r="D93" i="143" s="1"/>
  <c r="B91" i="143"/>
  <c r="D91" i="143" s="1"/>
  <c r="B89" i="143"/>
  <c r="D89" i="143" s="1"/>
  <c r="B87" i="143"/>
  <c r="D87" i="143" s="1"/>
  <c r="B85" i="143"/>
  <c r="D85" i="143" s="1"/>
  <c r="B83" i="143"/>
  <c r="D83" i="143" s="1"/>
  <c r="B81" i="143"/>
  <c r="D81" i="143" s="1"/>
  <c r="B77" i="143"/>
  <c r="D77" i="143" s="1"/>
  <c r="B75" i="143"/>
  <c r="D75" i="143" s="1"/>
  <c r="I21" i="143" s="1"/>
  <c r="B73" i="143"/>
  <c r="D73" i="143" s="1"/>
  <c r="B71" i="143"/>
  <c r="D71" i="143" s="1"/>
  <c r="B69" i="143"/>
  <c r="D69" i="143" s="1"/>
  <c r="B67" i="143"/>
  <c r="D67" i="143" s="1"/>
  <c r="B65" i="143"/>
  <c r="D65" i="143" s="1"/>
  <c r="O63" i="143"/>
  <c r="B63" i="143"/>
  <c r="D63" i="143" s="1"/>
  <c r="B61" i="143"/>
  <c r="D61" i="143" s="1"/>
  <c r="B59" i="143"/>
  <c r="D59" i="143" s="1"/>
  <c r="B57" i="143"/>
  <c r="D57" i="143" s="1"/>
  <c r="B55" i="143"/>
  <c r="D55" i="143" s="1"/>
  <c r="B53" i="143"/>
  <c r="D53" i="143" s="1"/>
  <c r="B51" i="143"/>
  <c r="D51" i="143" s="1"/>
  <c r="B49" i="143"/>
  <c r="D49" i="143" s="1"/>
  <c r="I4" i="143" s="1"/>
  <c r="J44" i="143"/>
  <c r="J46" i="143" s="1"/>
  <c r="C44" i="143"/>
  <c r="J40" i="143"/>
  <c r="K39" i="143"/>
  <c r="L39" i="143" s="1"/>
  <c r="K38" i="143"/>
  <c r="C34" i="143"/>
  <c r="E34" i="143" s="1"/>
  <c r="C33" i="143"/>
  <c r="E33" i="143" s="1"/>
  <c r="C32" i="143"/>
  <c r="E32" i="143" s="1"/>
  <c r="E31" i="143"/>
  <c r="C30" i="143"/>
  <c r="E30" i="143" s="1"/>
  <c r="C29" i="143"/>
  <c r="E29" i="143" s="1"/>
  <c r="C28" i="143"/>
  <c r="E28" i="143" s="1"/>
  <c r="C27" i="143"/>
  <c r="E27" i="143" s="1"/>
  <c r="C26" i="143"/>
  <c r="E26" i="143" s="1"/>
  <c r="C25" i="143"/>
  <c r="E25" i="143" s="1"/>
  <c r="C24" i="143"/>
  <c r="E24" i="143" s="1"/>
  <c r="E22" i="143"/>
  <c r="F21" i="143"/>
  <c r="C21" i="143"/>
  <c r="E21" i="143" s="1"/>
  <c r="C20" i="143"/>
  <c r="E20" i="143" s="1"/>
  <c r="C19" i="143"/>
  <c r="E19" i="143" s="1"/>
  <c r="C18" i="143"/>
  <c r="E18" i="143" s="1"/>
  <c r="C17" i="143"/>
  <c r="E17" i="143" s="1"/>
  <c r="F16" i="143"/>
  <c r="C16" i="143"/>
  <c r="E16" i="143" s="1"/>
  <c r="C15" i="143"/>
  <c r="E15" i="143" s="1"/>
  <c r="C14" i="143"/>
  <c r="E14" i="143" s="1"/>
  <c r="C11" i="143"/>
  <c r="E11" i="143" s="1"/>
  <c r="C10" i="143"/>
  <c r="E10" i="143" s="1"/>
  <c r="C9" i="143"/>
  <c r="E8" i="143"/>
  <c r="D5" i="143"/>
  <c r="F5" i="143"/>
  <c r="E35" i="144" l="1"/>
  <c r="L23" i="144"/>
  <c r="M23" i="144" s="1"/>
  <c r="C35" i="143"/>
  <c r="F35" i="143"/>
  <c r="G35" i="143"/>
  <c r="E4" i="143"/>
  <c r="J8" i="143"/>
  <c r="K40" i="143"/>
  <c r="E9" i="143"/>
  <c r="E35" i="143" s="1"/>
  <c r="I5" i="143"/>
  <c r="I12" i="143"/>
  <c r="I13" i="143"/>
  <c r="J22" i="143"/>
  <c r="K22" i="143" s="1"/>
  <c r="C5" i="143"/>
  <c r="L38" i="143"/>
  <c r="L40" i="143" s="1"/>
  <c r="J43" i="142"/>
  <c r="D37" i="142"/>
  <c r="D6" i="142"/>
  <c r="G24" i="142"/>
  <c r="F24" i="142"/>
  <c r="C24" i="142"/>
  <c r="K42" i="142"/>
  <c r="L42" i="142" s="1"/>
  <c r="G25" i="142"/>
  <c r="F25" i="142"/>
  <c r="C25" i="142"/>
  <c r="I35" i="143" l="1"/>
  <c r="K5" i="143"/>
  <c r="O50" i="143" s="1"/>
  <c r="K8" i="143"/>
  <c r="E5" i="143"/>
  <c r="L22" i="143"/>
  <c r="C33" i="142"/>
  <c r="C27" i="142"/>
  <c r="C13" i="142"/>
  <c r="K41" i="142"/>
  <c r="L41" i="142" s="1"/>
  <c r="G9" i="142"/>
  <c r="C9" i="142"/>
  <c r="L8" i="143" l="1"/>
  <c r="G10" i="142"/>
  <c r="C10" i="142"/>
  <c r="E10" i="142" s="1"/>
  <c r="K33" i="140"/>
  <c r="G5" i="142"/>
  <c r="F5" i="142"/>
  <c r="C5" i="142"/>
  <c r="G11" i="142"/>
  <c r="G12" i="142"/>
  <c r="G13" i="142"/>
  <c r="G16" i="142"/>
  <c r="G17" i="142"/>
  <c r="G18" i="142"/>
  <c r="G19" i="142"/>
  <c r="G20" i="142"/>
  <c r="G21" i="142"/>
  <c r="G22" i="142"/>
  <c r="G23" i="142"/>
  <c r="G26" i="142"/>
  <c r="G27" i="142"/>
  <c r="G28" i="142"/>
  <c r="G29" i="142"/>
  <c r="G30" i="142"/>
  <c r="G31" i="142"/>
  <c r="G32" i="142"/>
  <c r="G33" i="142"/>
  <c r="G34" i="142"/>
  <c r="G35" i="142"/>
  <c r="G36" i="142"/>
  <c r="G4" i="142"/>
  <c r="G6" i="142" s="1"/>
  <c r="F4" i="142"/>
  <c r="F6" i="142" s="1"/>
  <c r="C4" i="142"/>
  <c r="K4" i="142" s="1"/>
  <c r="G37" i="142" l="1"/>
  <c r="E5" i="142"/>
  <c r="K5" i="142"/>
  <c r="K6" i="142" s="1"/>
  <c r="O53" i="142" s="1"/>
  <c r="C6" i="142"/>
  <c r="E4" i="142"/>
  <c r="C106" i="142"/>
  <c r="B104" i="142"/>
  <c r="D104" i="142" s="1"/>
  <c r="B102" i="142"/>
  <c r="D102" i="142" s="1"/>
  <c r="B100" i="142"/>
  <c r="D100" i="142" s="1"/>
  <c r="I34" i="142" s="1"/>
  <c r="B98" i="142"/>
  <c r="D98" i="142" s="1"/>
  <c r="B96" i="142"/>
  <c r="D96" i="142" s="1"/>
  <c r="B94" i="142"/>
  <c r="D94" i="142" s="1"/>
  <c r="B92" i="142"/>
  <c r="D92" i="142" s="1"/>
  <c r="B90" i="142"/>
  <c r="D90" i="142" s="1"/>
  <c r="B88" i="142"/>
  <c r="D88" i="142" s="1"/>
  <c r="B86" i="142"/>
  <c r="D86" i="142" s="1"/>
  <c r="B84" i="142"/>
  <c r="D84" i="142" s="1"/>
  <c r="B82" i="142"/>
  <c r="D82" i="142" s="1"/>
  <c r="B80" i="142"/>
  <c r="D80" i="142" s="1"/>
  <c r="B78" i="142"/>
  <c r="D78" i="142" s="1"/>
  <c r="I23" i="142" s="1"/>
  <c r="B76" i="142"/>
  <c r="D76" i="142" s="1"/>
  <c r="B74" i="142"/>
  <c r="D74" i="142" s="1"/>
  <c r="B72" i="142"/>
  <c r="D72" i="142" s="1"/>
  <c r="B70" i="142"/>
  <c r="D70" i="142" s="1"/>
  <c r="B68" i="142"/>
  <c r="D68" i="142" s="1"/>
  <c r="B66" i="142"/>
  <c r="D66" i="142" s="1"/>
  <c r="O66" i="142"/>
  <c r="B64" i="142"/>
  <c r="D64" i="142" s="1"/>
  <c r="B62" i="142"/>
  <c r="D62" i="142" s="1"/>
  <c r="I5" i="142" s="1"/>
  <c r="B60" i="142"/>
  <c r="D60" i="142" s="1"/>
  <c r="I4" i="142" s="1"/>
  <c r="B58" i="142"/>
  <c r="D58" i="142" s="1"/>
  <c r="B56" i="142"/>
  <c r="D56" i="142" s="1"/>
  <c r="B54" i="142"/>
  <c r="D54" i="142" s="1"/>
  <c r="B52" i="142"/>
  <c r="D52" i="142" s="1"/>
  <c r="J47" i="142"/>
  <c r="J49" i="142" s="1"/>
  <c r="C47" i="142"/>
  <c r="K40" i="142"/>
  <c r="K43" i="142" s="1"/>
  <c r="C36" i="142"/>
  <c r="E36" i="142" s="1"/>
  <c r="C35" i="142"/>
  <c r="E35" i="142" s="1"/>
  <c r="C34" i="142"/>
  <c r="E34" i="142" s="1"/>
  <c r="E33" i="142"/>
  <c r="C32" i="142"/>
  <c r="E32" i="142" s="1"/>
  <c r="C31" i="142"/>
  <c r="E31" i="142" s="1"/>
  <c r="C30" i="142"/>
  <c r="E30" i="142" s="1"/>
  <c r="C29" i="142"/>
  <c r="E29" i="142" s="1"/>
  <c r="C28" i="142"/>
  <c r="E28" i="142" s="1"/>
  <c r="E27" i="142"/>
  <c r="C26" i="142"/>
  <c r="E26" i="142" s="1"/>
  <c r="E25" i="142"/>
  <c r="E24" i="142"/>
  <c r="F23" i="142"/>
  <c r="C23" i="142"/>
  <c r="E23" i="142" s="1"/>
  <c r="C22" i="142"/>
  <c r="E22" i="142" s="1"/>
  <c r="C21" i="142"/>
  <c r="E21" i="142" s="1"/>
  <c r="C20" i="142"/>
  <c r="E20" i="142" s="1"/>
  <c r="C19" i="142"/>
  <c r="E19" i="142" s="1"/>
  <c r="F18" i="142"/>
  <c r="C18" i="142"/>
  <c r="E18" i="142" s="1"/>
  <c r="C17" i="142"/>
  <c r="E17" i="142" s="1"/>
  <c r="C16" i="142"/>
  <c r="E16" i="142" s="1"/>
  <c r="E15" i="142"/>
  <c r="E14" i="142"/>
  <c r="E13" i="142"/>
  <c r="C12" i="142"/>
  <c r="E12" i="142" s="1"/>
  <c r="C11" i="142"/>
  <c r="E11" i="142" s="1"/>
  <c r="D35" i="141"/>
  <c r="I37" i="142" l="1"/>
  <c r="I6" i="142"/>
  <c r="F37" i="142"/>
  <c r="E6" i="142"/>
  <c r="C37" i="142"/>
  <c r="L40" i="142"/>
  <c r="L43" i="142" s="1"/>
  <c r="E9" i="142"/>
  <c r="E37" i="142" s="1"/>
  <c r="J14" i="142"/>
  <c r="J15" i="142"/>
  <c r="F8" i="141"/>
  <c r="K15" i="142" l="1"/>
  <c r="L15" i="142" s="1"/>
  <c r="K14" i="142"/>
  <c r="L14" i="142" s="1"/>
  <c r="G13" i="141"/>
  <c r="F13" i="141"/>
  <c r="C13" i="141"/>
  <c r="E13" i="141" s="1"/>
  <c r="B56" i="141"/>
  <c r="D56" i="141" s="1"/>
  <c r="K7" i="140"/>
  <c r="G12" i="141"/>
  <c r="F12" i="141"/>
  <c r="C12" i="141"/>
  <c r="E12" i="141" s="1"/>
  <c r="E25" i="141"/>
  <c r="O61" i="141"/>
  <c r="C16" i="141" l="1"/>
  <c r="G4" i="141" l="1"/>
  <c r="C4" i="141"/>
  <c r="E4" i="141" s="1"/>
  <c r="C102" i="141"/>
  <c r="B50" i="141"/>
  <c r="D50" i="141" s="1"/>
  <c r="F4" i="141"/>
  <c r="D5" i="141"/>
  <c r="G5" i="141"/>
  <c r="F5" i="141"/>
  <c r="B100" i="141"/>
  <c r="D100" i="141" s="1"/>
  <c r="B98" i="141"/>
  <c r="D98" i="141" s="1"/>
  <c r="B96" i="141"/>
  <c r="D96" i="141" s="1"/>
  <c r="I32" i="141" s="1"/>
  <c r="B94" i="141"/>
  <c r="D94" i="141" s="1"/>
  <c r="B92" i="141"/>
  <c r="D92" i="141" s="1"/>
  <c r="B90" i="141"/>
  <c r="D90" i="141" s="1"/>
  <c r="B88" i="141"/>
  <c r="D88" i="141" s="1"/>
  <c r="B86" i="141"/>
  <c r="D86" i="141" s="1"/>
  <c r="B84" i="141"/>
  <c r="D84" i="141" s="1"/>
  <c r="I26" i="141" s="1"/>
  <c r="B82" i="141"/>
  <c r="D82" i="141" s="1"/>
  <c r="B80" i="141"/>
  <c r="D80" i="141" s="1"/>
  <c r="B78" i="141"/>
  <c r="D78" i="141" s="1"/>
  <c r="B76" i="141"/>
  <c r="D76" i="141" s="1"/>
  <c r="B74" i="141"/>
  <c r="D74" i="141" s="1"/>
  <c r="I21" i="141" s="1"/>
  <c r="B72" i="141"/>
  <c r="D72" i="141" s="1"/>
  <c r="B70" i="141"/>
  <c r="D70" i="141" s="1"/>
  <c r="B68" i="141"/>
  <c r="D68" i="141" s="1"/>
  <c r="B66" i="141"/>
  <c r="D66" i="141" s="1"/>
  <c r="B64" i="141"/>
  <c r="D64" i="141" s="1"/>
  <c r="B62" i="141"/>
  <c r="D62" i="141" s="1"/>
  <c r="I15" i="141" s="1"/>
  <c r="B60" i="141"/>
  <c r="D60" i="141" s="1"/>
  <c r="B58" i="141"/>
  <c r="D58" i="141" s="1"/>
  <c r="B54" i="141"/>
  <c r="D54" i="141" s="1"/>
  <c r="B52" i="141"/>
  <c r="D52" i="141" s="1"/>
  <c r="B48" i="141"/>
  <c r="D48" i="141" s="1"/>
  <c r="J43" i="141"/>
  <c r="J45" i="141" s="1"/>
  <c r="C43" i="141"/>
  <c r="J39" i="141"/>
  <c r="K38" i="141"/>
  <c r="L38" i="141" s="1"/>
  <c r="L39" i="141" s="1"/>
  <c r="G34" i="141"/>
  <c r="C34" i="141"/>
  <c r="E34" i="141" s="1"/>
  <c r="G33" i="141"/>
  <c r="C33" i="141"/>
  <c r="E33" i="141" s="1"/>
  <c r="G32" i="141"/>
  <c r="C32" i="141"/>
  <c r="E32" i="141" s="1"/>
  <c r="G31" i="141"/>
  <c r="C31" i="141"/>
  <c r="E31" i="141" s="1"/>
  <c r="G30" i="141"/>
  <c r="C30" i="141"/>
  <c r="E30" i="141" s="1"/>
  <c r="G29" i="141"/>
  <c r="C29" i="141"/>
  <c r="E29" i="141" s="1"/>
  <c r="G28" i="141"/>
  <c r="C28" i="141"/>
  <c r="E28" i="141" s="1"/>
  <c r="G27" i="141"/>
  <c r="C27" i="141"/>
  <c r="E27" i="141" s="1"/>
  <c r="G26" i="141"/>
  <c r="C26" i="141"/>
  <c r="E26" i="141" s="1"/>
  <c r="G24" i="141"/>
  <c r="C24" i="141"/>
  <c r="E24" i="141" s="1"/>
  <c r="G23" i="141"/>
  <c r="F23" i="141"/>
  <c r="C23" i="141"/>
  <c r="E23" i="141" s="1"/>
  <c r="G22" i="141"/>
  <c r="C22" i="141"/>
  <c r="E22" i="141" s="1"/>
  <c r="G21" i="141"/>
  <c r="F21" i="141"/>
  <c r="C21" i="141"/>
  <c r="E21" i="141" s="1"/>
  <c r="G20" i="141"/>
  <c r="C20" i="141"/>
  <c r="E20" i="141" s="1"/>
  <c r="G19" i="141"/>
  <c r="C19" i="141"/>
  <c r="E19" i="141" s="1"/>
  <c r="G18" i="141"/>
  <c r="C18" i="141"/>
  <c r="E18" i="141" s="1"/>
  <c r="G17" i="141"/>
  <c r="C17" i="141"/>
  <c r="E17" i="141" s="1"/>
  <c r="G16" i="141"/>
  <c r="F16" i="141"/>
  <c r="E16" i="141"/>
  <c r="G15" i="141"/>
  <c r="C15" i="141"/>
  <c r="E15" i="141" s="1"/>
  <c r="G14" i="141"/>
  <c r="C14" i="141"/>
  <c r="E14" i="141" s="1"/>
  <c r="G11" i="141"/>
  <c r="C11" i="141"/>
  <c r="E11" i="141" s="1"/>
  <c r="G10" i="141"/>
  <c r="C10" i="141"/>
  <c r="E10" i="141" s="1"/>
  <c r="G9" i="141"/>
  <c r="C9" i="141"/>
  <c r="E9" i="141" s="1"/>
  <c r="G8" i="141"/>
  <c r="C8" i="141"/>
  <c r="K29" i="140"/>
  <c r="K27" i="140"/>
  <c r="K21" i="140"/>
  <c r="K20" i="140"/>
  <c r="K25" i="153" s="1"/>
  <c r="K19" i="140"/>
  <c r="K17" i="140"/>
  <c r="K16" i="140"/>
  <c r="K12" i="140"/>
  <c r="K10" i="140"/>
  <c r="K3" i="140"/>
  <c r="F30" i="140"/>
  <c r="K28" i="140"/>
  <c r="K26" i="140"/>
  <c r="K25" i="140"/>
  <c r="K24" i="140"/>
  <c r="K23" i="140"/>
  <c r="K22" i="140"/>
  <c r="K18" i="140"/>
  <c r="K15" i="140"/>
  <c r="K14" i="140"/>
  <c r="K13" i="140"/>
  <c r="K11" i="140"/>
  <c r="K9" i="140"/>
  <c r="K6" i="140"/>
  <c r="K5" i="140"/>
  <c r="K4" i="140"/>
  <c r="B2" i="140"/>
  <c r="O58" i="139"/>
  <c r="D31" i="139"/>
  <c r="C21" i="139"/>
  <c r="K33" i="157" l="1"/>
  <c r="L33" i="157" s="1"/>
  <c r="M33" i="157" s="1"/>
  <c r="N33" i="157" s="1"/>
  <c r="K33" i="156"/>
  <c r="L33" i="156" s="1"/>
  <c r="M33" i="156" s="1"/>
  <c r="N33" i="156" s="1"/>
  <c r="K33" i="155"/>
  <c r="L33" i="155" s="1"/>
  <c r="M33" i="155" s="1"/>
  <c r="N33" i="155" s="1"/>
  <c r="K32" i="153"/>
  <c r="K32" i="151"/>
  <c r="K22" i="157"/>
  <c r="K22" i="156"/>
  <c r="K21" i="155"/>
  <c r="K21" i="153"/>
  <c r="K35" i="153" s="1"/>
  <c r="K22" i="152"/>
  <c r="K36" i="152" s="1"/>
  <c r="K21" i="151"/>
  <c r="K35" i="151" s="1"/>
  <c r="H42" i="140"/>
  <c r="I42" i="140" s="1"/>
  <c r="H40" i="140"/>
  <c r="I40" i="140" s="1"/>
  <c r="H39" i="140"/>
  <c r="I39" i="140" s="1"/>
  <c r="H38" i="140"/>
  <c r="H41" i="140"/>
  <c r="I41" i="140" s="1"/>
  <c r="H35" i="140"/>
  <c r="I35" i="140" s="1"/>
  <c r="H34" i="140"/>
  <c r="I34" i="140" s="1"/>
  <c r="I38" i="140"/>
  <c r="H37" i="140"/>
  <c r="H36" i="140"/>
  <c r="H29" i="140"/>
  <c r="H33" i="140"/>
  <c r="I33" i="140" s="1"/>
  <c r="E8" i="141"/>
  <c r="C35" i="141"/>
  <c r="G35" i="141"/>
  <c r="K4" i="141"/>
  <c r="K5" i="141" s="1"/>
  <c r="O49" i="141" s="1"/>
  <c r="F35" i="141"/>
  <c r="I35" i="141"/>
  <c r="I5" i="141"/>
  <c r="C5" i="141"/>
  <c r="K39" i="141"/>
  <c r="J25" i="141"/>
  <c r="H4" i="140"/>
  <c r="H9" i="140"/>
  <c r="H13" i="140"/>
  <c r="H15" i="140"/>
  <c r="H22" i="140"/>
  <c r="H26" i="140"/>
  <c r="H6" i="140"/>
  <c r="H24" i="140"/>
  <c r="H5" i="140"/>
  <c r="H7" i="140"/>
  <c r="H11" i="140"/>
  <c r="H14" i="140"/>
  <c r="H18" i="140"/>
  <c r="H23" i="140"/>
  <c r="H25" i="140"/>
  <c r="H28" i="140"/>
  <c r="H8" i="140"/>
  <c r="H3" i="140"/>
  <c r="H10" i="140"/>
  <c r="H12" i="140"/>
  <c r="H16" i="140"/>
  <c r="H17" i="140"/>
  <c r="H19" i="140"/>
  <c r="H20" i="140"/>
  <c r="H21" i="140"/>
  <c r="H27" i="140"/>
  <c r="C28" i="139"/>
  <c r="G28" i="139"/>
  <c r="C17" i="139"/>
  <c r="E17" i="139" s="1"/>
  <c r="G17" i="139"/>
  <c r="F17" i="139"/>
  <c r="K34" i="139"/>
  <c r="L34" i="139" s="1"/>
  <c r="G9" i="139"/>
  <c r="F9" i="139"/>
  <c r="C9" i="139"/>
  <c r="E9" i="139" s="1"/>
  <c r="G21" i="139"/>
  <c r="F21" i="139"/>
  <c r="E21" i="139"/>
  <c r="B78" i="139"/>
  <c r="D78" i="139" s="1"/>
  <c r="I21" i="139" s="1"/>
  <c r="G4" i="139"/>
  <c r="G5" i="139"/>
  <c r="G6" i="139"/>
  <c r="G7" i="139"/>
  <c r="G10" i="139"/>
  <c r="G11" i="139"/>
  <c r="G12" i="139"/>
  <c r="G13" i="139"/>
  <c r="G14" i="139"/>
  <c r="G15" i="139"/>
  <c r="G16" i="139"/>
  <c r="G18" i="139"/>
  <c r="G19" i="139"/>
  <c r="G20" i="139"/>
  <c r="G22" i="139"/>
  <c r="G23" i="139"/>
  <c r="G24" i="139"/>
  <c r="G25" i="139"/>
  <c r="G26" i="139"/>
  <c r="G27" i="139"/>
  <c r="G29" i="139"/>
  <c r="G30" i="139"/>
  <c r="K42" i="127"/>
  <c r="B96" i="139"/>
  <c r="D96" i="139" s="1"/>
  <c r="B94" i="139"/>
  <c r="D94" i="139" s="1"/>
  <c r="B92" i="139"/>
  <c r="D92" i="139" s="1"/>
  <c r="I28" i="139" s="1"/>
  <c r="B90" i="139"/>
  <c r="D90" i="139" s="1"/>
  <c r="B88" i="139"/>
  <c r="D88" i="139" s="1"/>
  <c r="B86" i="139"/>
  <c r="D86" i="139" s="1"/>
  <c r="B84" i="139"/>
  <c r="D84" i="139" s="1"/>
  <c r="B82" i="139"/>
  <c r="D82" i="139" s="1"/>
  <c r="B80" i="139"/>
  <c r="D80" i="139" s="1"/>
  <c r="I22" i="139" s="1"/>
  <c r="B76" i="139"/>
  <c r="D76" i="139" s="1"/>
  <c r="B74" i="139"/>
  <c r="D74" i="139" s="1"/>
  <c r="B72" i="139"/>
  <c r="D72" i="139" s="1"/>
  <c r="B70" i="139"/>
  <c r="D70" i="139" s="1"/>
  <c r="I17" i="139" s="1"/>
  <c r="B68" i="139"/>
  <c r="D68" i="139" s="1"/>
  <c r="B66" i="139"/>
  <c r="D66" i="139" s="1"/>
  <c r="B64" i="139"/>
  <c r="D64" i="139" s="1"/>
  <c r="B62" i="139"/>
  <c r="D62" i="139" s="1"/>
  <c r="B60" i="139"/>
  <c r="D60" i="139" s="1"/>
  <c r="B58" i="139"/>
  <c r="D58" i="139" s="1"/>
  <c r="I11" i="139" s="1"/>
  <c r="B56" i="139"/>
  <c r="D56" i="139" s="1"/>
  <c r="I10" i="139" s="1"/>
  <c r="B54" i="139"/>
  <c r="D54" i="139" s="1"/>
  <c r="B52" i="139"/>
  <c r="D52" i="139" s="1"/>
  <c r="B50" i="139"/>
  <c r="D50" i="139" s="1"/>
  <c r="B48" i="139"/>
  <c r="D48" i="139" s="1"/>
  <c r="I6" i="139" s="1"/>
  <c r="B46" i="139"/>
  <c r="D46" i="139" s="1"/>
  <c r="I5" i="139" s="1"/>
  <c r="B44" i="139"/>
  <c r="D44" i="139" s="1"/>
  <c r="J39" i="139"/>
  <c r="J41" i="139" s="1"/>
  <c r="C39" i="139"/>
  <c r="J35" i="139"/>
  <c r="C30" i="139"/>
  <c r="E30" i="139" s="1"/>
  <c r="C29" i="139"/>
  <c r="E29" i="139" s="1"/>
  <c r="C27" i="139"/>
  <c r="E27" i="139" s="1"/>
  <c r="C26" i="139"/>
  <c r="E26" i="139" s="1"/>
  <c r="J26" i="139" s="1"/>
  <c r="C25" i="139"/>
  <c r="E25" i="139" s="1"/>
  <c r="J25" i="139" s="1"/>
  <c r="C24" i="139"/>
  <c r="E24" i="139" s="1"/>
  <c r="J24" i="139" s="1"/>
  <c r="C23" i="139"/>
  <c r="E23" i="139" s="1"/>
  <c r="J23" i="139" s="1"/>
  <c r="C22" i="139"/>
  <c r="E22" i="139" s="1"/>
  <c r="C20" i="139"/>
  <c r="E20" i="139" s="1"/>
  <c r="J20" i="139" s="1"/>
  <c r="F19" i="139"/>
  <c r="C19" i="139"/>
  <c r="E19" i="139" s="1"/>
  <c r="C18" i="139"/>
  <c r="E18" i="139" s="1"/>
  <c r="C16" i="139"/>
  <c r="E16" i="139" s="1"/>
  <c r="C15" i="139"/>
  <c r="E15" i="139" s="1"/>
  <c r="C14" i="139"/>
  <c r="E14" i="139" s="1"/>
  <c r="C13" i="139"/>
  <c r="E13" i="139" s="1"/>
  <c r="J13" i="139" s="1"/>
  <c r="F12" i="139"/>
  <c r="C12" i="139"/>
  <c r="E12" i="139" s="1"/>
  <c r="C11" i="139"/>
  <c r="E11" i="139" s="1"/>
  <c r="C10" i="139"/>
  <c r="E10" i="139" s="1"/>
  <c r="E8" i="139"/>
  <c r="J8" i="139" s="1"/>
  <c r="C7" i="139"/>
  <c r="E7" i="139" s="1"/>
  <c r="J7" i="139" s="1"/>
  <c r="C6" i="139"/>
  <c r="E6" i="139" s="1"/>
  <c r="C5" i="139"/>
  <c r="E5" i="139" s="1"/>
  <c r="C4" i="139"/>
  <c r="E4" i="139" s="1"/>
  <c r="J27" i="139" l="1"/>
  <c r="J18" i="139"/>
  <c r="B69" i="153"/>
  <c r="E69" i="153" s="1"/>
  <c r="B70" i="152"/>
  <c r="E70" i="152" s="1"/>
  <c r="B69" i="151"/>
  <c r="E69" i="151" s="1"/>
  <c r="B69" i="149"/>
  <c r="E69" i="149" s="1"/>
  <c r="B70" i="148"/>
  <c r="D70" i="148" s="1"/>
  <c r="B71" i="153"/>
  <c r="E71" i="153" s="1"/>
  <c r="I19" i="153" s="1"/>
  <c r="L19" i="153" s="1"/>
  <c r="M19" i="153" s="1"/>
  <c r="N19" i="153" s="1"/>
  <c r="B72" i="152"/>
  <c r="E72" i="152" s="1"/>
  <c r="I20" i="152" s="1"/>
  <c r="L20" i="152" s="1"/>
  <c r="M20" i="152" s="1"/>
  <c r="N20" i="152" s="1"/>
  <c r="B71" i="151"/>
  <c r="E71" i="151" s="1"/>
  <c r="I19" i="151" s="1"/>
  <c r="L19" i="151" s="1"/>
  <c r="B71" i="149"/>
  <c r="E71" i="149" s="1"/>
  <c r="I19" i="149" s="1"/>
  <c r="L19" i="149" s="1"/>
  <c r="M19" i="149" s="1"/>
  <c r="N19" i="149" s="1"/>
  <c r="B72" i="148"/>
  <c r="D72" i="148" s="1"/>
  <c r="H20" i="148" s="1"/>
  <c r="K20" i="148" s="1"/>
  <c r="L20" i="148" s="1"/>
  <c r="M20" i="148" s="1"/>
  <c r="J30" i="139"/>
  <c r="K30" i="139" s="1"/>
  <c r="L30" i="139" s="1"/>
  <c r="F31" i="139"/>
  <c r="B75" i="153"/>
  <c r="E75" i="153" s="1"/>
  <c r="I21" i="153" s="1"/>
  <c r="L21" i="153" s="1"/>
  <c r="M21" i="153" s="1"/>
  <c r="N21" i="153" s="1"/>
  <c r="B76" i="152"/>
  <c r="E76" i="152" s="1"/>
  <c r="I22" i="152" s="1"/>
  <c r="L22" i="152" s="1"/>
  <c r="M22" i="152" s="1"/>
  <c r="N22" i="152" s="1"/>
  <c r="B75" i="149"/>
  <c r="E75" i="149" s="1"/>
  <c r="I21" i="149" s="1"/>
  <c r="L21" i="149" s="1"/>
  <c r="B75" i="151"/>
  <c r="E75" i="151" s="1"/>
  <c r="I21" i="151" s="1"/>
  <c r="L21" i="151" s="1"/>
  <c r="B76" i="148"/>
  <c r="D76" i="148" s="1"/>
  <c r="H22" i="148" s="1"/>
  <c r="K22" i="148" s="1"/>
  <c r="L22" i="148" s="1"/>
  <c r="M22" i="148" s="1"/>
  <c r="B53" i="153"/>
  <c r="E53" i="153" s="1"/>
  <c r="I10" i="153" s="1"/>
  <c r="L10" i="153" s="1"/>
  <c r="M10" i="153" s="1"/>
  <c r="N10" i="153" s="1"/>
  <c r="B54" i="152"/>
  <c r="E54" i="152" s="1"/>
  <c r="I11" i="152" s="1"/>
  <c r="L11" i="152" s="1"/>
  <c r="M11" i="152" s="1"/>
  <c r="N11" i="152" s="1"/>
  <c r="B53" i="151"/>
  <c r="E53" i="151" s="1"/>
  <c r="I10" i="151" s="1"/>
  <c r="L10" i="151" s="1"/>
  <c r="B53" i="149"/>
  <c r="E53" i="149" s="1"/>
  <c r="I10" i="149" s="1"/>
  <c r="L10" i="149" s="1"/>
  <c r="M10" i="149" s="1"/>
  <c r="N10" i="149" s="1"/>
  <c r="B54" i="148"/>
  <c r="D54" i="148" s="1"/>
  <c r="H11" i="148" s="1"/>
  <c r="K11" i="148" s="1"/>
  <c r="L22" i="157"/>
  <c r="K36" i="157"/>
  <c r="J6" i="139"/>
  <c r="J19" i="139"/>
  <c r="B67" i="153"/>
  <c r="E67" i="153" s="1"/>
  <c r="I17" i="153" s="1"/>
  <c r="L17" i="153" s="1"/>
  <c r="M17" i="153" s="1"/>
  <c r="N17" i="153" s="1"/>
  <c r="B68" i="152"/>
  <c r="E68" i="152" s="1"/>
  <c r="I18" i="152" s="1"/>
  <c r="L18" i="152" s="1"/>
  <c r="M18" i="152" s="1"/>
  <c r="N18" i="152" s="1"/>
  <c r="B67" i="151"/>
  <c r="E67" i="151" s="1"/>
  <c r="I17" i="151" s="1"/>
  <c r="L17" i="151" s="1"/>
  <c r="B67" i="149"/>
  <c r="E67" i="149" s="1"/>
  <c r="I17" i="149" s="1"/>
  <c r="L17" i="149" s="1"/>
  <c r="B68" i="148"/>
  <c r="D68" i="148" s="1"/>
  <c r="H18" i="148" s="1"/>
  <c r="K18" i="148" s="1"/>
  <c r="L18" i="148" s="1"/>
  <c r="M18" i="148" s="1"/>
  <c r="B91" i="153"/>
  <c r="E91" i="153" s="1"/>
  <c r="I29" i="153" s="1"/>
  <c r="L29" i="153" s="1"/>
  <c r="M29" i="153" s="1"/>
  <c r="N29" i="153" s="1"/>
  <c r="B92" i="152"/>
  <c r="E92" i="152" s="1"/>
  <c r="I30" i="152" s="1"/>
  <c r="L30" i="152" s="1"/>
  <c r="M30" i="152" s="1"/>
  <c r="N30" i="152" s="1"/>
  <c r="B91" i="151"/>
  <c r="E91" i="151" s="1"/>
  <c r="I29" i="151" s="1"/>
  <c r="L29" i="151" s="1"/>
  <c r="B91" i="149"/>
  <c r="E91" i="149" s="1"/>
  <c r="I29" i="149" s="1"/>
  <c r="L29" i="149" s="1"/>
  <c r="B92" i="148"/>
  <c r="D92" i="148" s="1"/>
  <c r="H30" i="148" s="1"/>
  <c r="K30" i="148" s="1"/>
  <c r="L30" i="148" s="1"/>
  <c r="M30" i="148" s="1"/>
  <c r="I14" i="153"/>
  <c r="L14" i="153" s="1"/>
  <c r="M14" i="153" s="1"/>
  <c r="N14" i="153" s="1"/>
  <c r="I15" i="152"/>
  <c r="L15" i="152" s="1"/>
  <c r="M15" i="152" s="1"/>
  <c r="N15" i="152" s="1"/>
  <c r="I14" i="151"/>
  <c r="L14" i="151" s="1"/>
  <c r="I14" i="149"/>
  <c r="L14" i="149" s="1"/>
  <c r="M14" i="149" s="1"/>
  <c r="N14" i="149" s="1"/>
  <c r="H4" i="148"/>
  <c r="H25" i="147"/>
  <c r="K25" i="147" s="1"/>
  <c r="L25" i="147" s="1"/>
  <c r="M25" i="147" s="1"/>
  <c r="L35" i="140"/>
  <c r="I17" i="152"/>
  <c r="L17" i="152" s="1"/>
  <c r="I4" i="153"/>
  <c r="L42" i="140"/>
  <c r="B89" i="153"/>
  <c r="E89" i="153" s="1"/>
  <c r="B90" i="152"/>
  <c r="E90" i="152" s="1"/>
  <c r="B89" i="151"/>
  <c r="E89" i="151" s="1"/>
  <c r="B89" i="149"/>
  <c r="E89" i="149" s="1"/>
  <c r="B90" i="148"/>
  <c r="D90" i="148" s="1"/>
  <c r="B101" i="153"/>
  <c r="E101" i="153" s="1"/>
  <c r="I34" i="153" s="1"/>
  <c r="L34" i="153" s="1"/>
  <c r="M34" i="153" s="1"/>
  <c r="N34" i="153" s="1"/>
  <c r="B102" i="152"/>
  <c r="E102" i="152" s="1"/>
  <c r="I35" i="152" s="1"/>
  <c r="L35" i="152" s="1"/>
  <c r="M35" i="152" s="1"/>
  <c r="N35" i="152" s="1"/>
  <c r="B101" i="149"/>
  <c r="E101" i="149" s="1"/>
  <c r="I34" i="149" s="1"/>
  <c r="L34" i="149" s="1"/>
  <c r="M34" i="149" s="1"/>
  <c r="N34" i="149" s="1"/>
  <c r="B101" i="151"/>
  <c r="E101" i="151" s="1"/>
  <c r="I34" i="151" s="1"/>
  <c r="L34" i="151" s="1"/>
  <c r="B102" i="148"/>
  <c r="D102" i="148" s="1"/>
  <c r="H35" i="148" s="1"/>
  <c r="K35" i="148" s="1"/>
  <c r="B83" i="153"/>
  <c r="E83" i="153" s="1"/>
  <c r="I25" i="153" s="1"/>
  <c r="L25" i="153" s="1"/>
  <c r="M25" i="153" s="1"/>
  <c r="N25" i="153" s="1"/>
  <c r="B84" i="152"/>
  <c r="E84" i="152" s="1"/>
  <c r="I26" i="152" s="1"/>
  <c r="L26" i="152" s="1"/>
  <c r="M26" i="152" s="1"/>
  <c r="N26" i="152" s="1"/>
  <c r="B83" i="149"/>
  <c r="E83" i="149" s="1"/>
  <c r="I25" i="149" s="1"/>
  <c r="L25" i="149" s="1"/>
  <c r="B83" i="151"/>
  <c r="E83" i="151" s="1"/>
  <c r="I25" i="151" s="1"/>
  <c r="L25" i="151" s="1"/>
  <c r="B84" i="148"/>
  <c r="D84" i="148" s="1"/>
  <c r="H26" i="148" s="1"/>
  <c r="K26" i="148" s="1"/>
  <c r="L26" i="148" s="1"/>
  <c r="M26" i="148" s="1"/>
  <c r="B77" i="153"/>
  <c r="E77" i="153" s="1"/>
  <c r="B78" i="152"/>
  <c r="E78" i="152" s="1"/>
  <c r="B77" i="149"/>
  <c r="E77" i="149" s="1"/>
  <c r="B77" i="151"/>
  <c r="E77" i="151" s="1"/>
  <c r="I31" i="151" s="1"/>
  <c r="L31" i="151" s="1"/>
  <c r="B78" i="148"/>
  <c r="D78" i="148" s="1"/>
  <c r="B81" i="153"/>
  <c r="E81" i="153" s="1"/>
  <c r="I24" i="153" s="1"/>
  <c r="L24" i="153" s="1"/>
  <c r="M24" i="153" s="1"/>
  <c r="N24" i="153" s="1"/>
  <c r="B82" i="152"/>
  <c r="E82" i="152" s="1"/>
  <c r="I25" i="152" s="1"/>
  <c r="L25" i="152" s="1"/>
  <c r="M25" i="152" s="1"/>
  <c r="N25" i="152" s="1"/>
  <c r="B81" i="151"/>
  <c r="E81" i="151" s="1"/>
  <c r="I24" i="151" s="1"/>
  <c r="L24" i="151" s="1"/>
  <c r="B81" i="149"/>
  <c r="E81" i="149" s="1"/>
  <c r="I24" i="149" s="1"/>
  <c r="L24" i="149" s="1"/>
  <c r="M24" i="149" s="1"/>
  <c r="N24" i="149" s="1"/>
  <c r="B82" i="148"/>
  <c r="D82" i="148" s="1"/>
  <c r="H25" i="148" s="1"/>
  <c r="K25" i="148" s="1"/>
  <c r="I37" i="140"/>
  <c r="L37" i="140" s="1"/>
  <c r="B79" i="153"/>
  <c r="E79" i="153" s="1"/>
  <c r="I23" i="153" s="1"/>
  <c r="L23" i="153" s="1"/>
  <c r="B80" i="152"/>
  <c r="E80" i="152" s="1"/>
  <c r="I24" i="152" s="1"/>
  <c r="L24" i="152" s="1"/>
  <c r="M24" i="152" s="1"/>
  <c r="N24" i="152" s="1"/>
  <c r="B79" i="151"/>
  <c r="E79" i="151" s="1"/>
  <c r="I23" i="151" s="1"/>
  <c r="L23" i="151" s="1"/>
  <c r="B79" i="149"/>
  <c r="E79" i="149" s="1"/>
  <c r="I23" i="149" s="1"/>
  <c r="L23" i="149" s="1"/>
  <c r="M23" i="149" s="1"/>
  <c r="N23" i="149" s="1"/>
  <c r="B80" i="148"/>
  <c r="D80" i="148" s="1"/>
  <c r="H24" i="148" s="1"/>
  <c r="K24" i="148" s="1"/>
  <c r="L24" i="148" s="1"/>
  <c r="M24" i="148" s="1"/>
  <c r="L22" i="156"/>
  <c r="K36" i="156"/>
  <c r="B63" i="153"/>
  <c r="E63" i="153" s="1"/>
  <c r="I15" i="153" s="1"/>
  <c r="L15" i="153" s="1"/>
  <c r="M15" i="153" s="1"/>
  <c r="N15" i="153" s="1"/>
  <c r="B64" i="152"/>
  <c r="E64" i="152" s="1"/>
  <c r="I16" i="152" s="1"/>
  <c r="L16" i="152" s="1"/>
  <c r="M16" i="152" s="1"/>
  <c r="N16" i="152" s="1"/>
  <c r="B63" i="149"/>
  <c r="E63" i="149" s="1"/>
  <c r="I15" i="149" s="1"/>
  <c r="L15" i="149" s="1"/>
  <c r="M15" i="149" s="1"/>
  <c r="N15" i="149" s="1"/>
  <c r="B63" i="151"/>
  <c r="E63" i="151" s="1"/>
  <c r="I15" i="151" s="1"/>
  <c r="L15" i="151" s="1"/>
  <c r="B64" i="148"/>
  <c r="D64" i="148" s="1"/>
  <c r="H16" i="148" s="1"/>
  <c r="K16" i="148" s="1"/>
  <c r="L16" i="148" s="1"/>
  <c r="M16" i="148" s="1"/>
  <c r="I31" i="153"/>
  <c r="L31" i="153" s="1"/>
  <c r="M31" i="153" s="1"/>
  <c r="N31" i="153" s="1"/>
  <c r="I5" i="152"/>
  <c r="L5" i="152" s="1"/>
  <c r="N5" i="152" s="1"/>
  <c r="L41" i="140"/>
  <c r="B95" i="153"/>
  <c r="E95" i="153" s="1"/>
  <c r="B96" i="152"/>
  <c r="E96" i="152" s="1"/>
  <c r="B95" i="151"/>
  <c r="E95" i="151" s="1"/>
  <c r="B95" i="149"/>
  <c r="E95" i="149" s="1"/>
  <c r="B96" i="148"/>
  <c r="D96" i="148" s="1"/>
  <c r="B93" i="153"/>
  <c r="E93" i="153" s="1"/>
  <c r="I30" i="153" s="1"/>
  <c r="L30" i="153" s="1"/>
  <c r="M30" i="153" s="1"/>
  <c r="N30" i="153" s="1"/>
  <c r="B94" i="152"/>
  <c r="E94" i="152" s="1"/>
  <c r="I31" i="152" s="1"/>
  <c r="L31" i="152" s="1"/>
  <c r="M31" i="152" s="1"/>
  <c r="N31" i="152" s="1"/>
  <c r="B93" i="151"/>
  <c r="E93" i="151" s="1"/>
  <c r="I30" i="151" s="1"/>
  <c r="L30" i="151" s="1"/>
  <c r="B93" i="149"/>
  <c r="E93" i="149" s="1"/>
  <c r="I30" i="149" s="1"/>
  <c r="L30" i="149" s="1"/>
  <c r="B94" i="148"/>
  <c r="D94" i="148" s="1"/>
  <c r="H31" i="148" s="1"/>
  <c r="K31" i="148" s="1"/>
  <c r="L31" i="148" s="1"/>
  <c r="M31" i="148" s="1"/>
  <c r="J14" i="139"/>
  <c r="J29" i="139"/>
  <c r="L21" i="155"/>
  <c r="K36" i="155"/>
  <c r="J16" i="139"/>
  <c r="I26" i="153"/>
  <c r="L26" i="153" s="1"/>
  <c r="M26" i="153" s="1"/>
  <c r="N26" i="153" s="1"/>
  <c r="I27" i="152"/>
  <c r="L27" i="152" s="1"/>
  <c r="M27" i="152" s="1"/>
  <c r="N27" i="152" s="1"/>
  <c r="I26" i="151"/>
  <c r="L26" i="151" s="1"/>
  <c r="I26" i="149"/>
  <c r="L26" i="149" s="1"/>
  <c r="H27" i="148"/>
  <c r="K27" i="148" s="1"/>
  <c r="L27" i="148" s="1"/>
  <c r="M27" i="148" s="1"/>
  <c r="B55" i="153"/>
  <c r="E55" i="153" s="1"/>
  <c r="B56" i="152"/>
  <c r="E56" i="152" s="1"/>
  <c r="B55" i="151"/>
  <c r="E55" i="151" s="1"/>
  <c r="B55" i="149"/>
  <c r="E55" i="149" s="1"/>
  <c r="B56" i="148"/>
  <c r="D56" i="148" s="1"/>
  <c r="H12" i="148" s="1"/>
  <c r="K12" i="148" s="1"/>
  <c r="L12" i="148" s="1"/>
  <c r="M12" i="148" s="1"/>
  <c r="B49" i="153"/>
  <c r="E49" i="153" s="1"/>
  <c r="B50" i="152"/>
  <c r="E50" i="152" s="1"/>
  <c r="B49" i="149"/>
  <c r="E49" i="149" s="1"/>
  <c r="B49" i="151"/>
  <c r="E49" i="151" s="1"/>
  <c r="B50" i="148"/>
  <c r="D50" i="148" s="1"/>
  <c r="J10" i="139"/>
  <c r="I31" i="139"/>
  <c r="G31" i="139"/>
  <c r="B59" i="153"/>
  <c r="E59" i="153" s="1"/>
  <c r="I13" i="153" s="1"/>
  <c r="L13" i="153" s="1"/>
  <c r="M13" i="153" s="1"/>
  <c r="N13" i="153" s="1"/>
  <c r="B60" i="152"/>
  <c r="E60" i="152" s="1"/>
  <c r="I14" i="152" s="1"/>
  <c r="L14" i="152" s="1"/>
  <c r="M14" i="152" s="1"/>
  <c r="N14" i="152" s="1"/>
  <c r="B59" i="151"/>
  <c r="E59" i="151" s="1"/>
  <c r="I13" i="151" s="1"/>
  <c r="L13" i="151" s="1"/>
  <c r="B59" i="149"/>
  <c r="E59" i="149" s="1"/>
  <c r="I13" i="149" s="1"/>
  <c r="L13" i="149" s="1"/>
  <c r="B60" i="148"/>
  <c r="D60" i="148" s="1"/>
  <c r="H14" i="148" s="1"/>
  <c r="K14" i="148" s="1"/>
  <c r="B87" i="153"/>
  <c r="E87" i="153" s="1"/>
  <c r="B88" i="152"/>
  <c r="E88" i="152" s="1"/>
  <c r="B87" i="149"/>
  <c r="E87" i="149" s="1"/>
  <c r="B87" i="151"/>
  <c r="E87" i="151" s="1"/>
  <c r="B88" i="148"/>
  <c r="D88" i="148" s="1"/>
  <c r="I28" i="153"/>
  <c r="L28" i="153" s="1"/>
  <c r="M28" i="153" s="1"/>
  <c r="N28" i="153" s="1"/>
  <c r="I29" i="152"/>
  <c r="L29" i="152" s="1"/>
  <c r="M29" i="152" s="1"/>
  <c r="N29" i="152" s="1"/>
  <c r="I28" i="149"/>
  <c r="L28" i="149" s="1"/>
  <c r="M28" i="149" s="1"/>
  <c r="N28" i="149" s="1"/>
  <c r="I28" i="151"/>
  <c r="L28" i="151" s="1"/>
  <c r="H5" i="148"/>
  <c r="K5" i="148" s="1"/>
  <c r="M5" i="148" s="1"/>
  <c r="B97" i="153"/>
  <c r="E97" i="153" s="1"/>
  <c r="I32" i="153" s="1"/>
  <c r="L32" i="153" s="1"/>
  <c r="M32" i="153" s="1"/>
  <c r="N32" i="153" s="1"/>
  <c r="B98" i="152"/>
  <c r="E98" i="152" s="1"/>
  <c r="I33" i="152" s="1"/>
  <c r="L33" i="152" s="1"/>
  <c r="M33" i="152" s="1"/>
  <c r="N33" i="152" s="1"/>
  <c r="B97" i="151"/>
  <c r="E97" i="151" s="1"/>
  <c r="I32" i="151" s="1"/>
  <c r="L32" i="151" s="1"/>
  <c r="B97" i="149"/>
  <c r="E97" i="149" s="1"/>
  <c r="I32" i="149" s="1"/>
  <c r="L32" i="149" s="1"/>
  <c r="M32" i="149" s="1"/>
  <c r="N32" i="149" s="1"/>
  <c r="B98" i="148"/>
  <c r="D98" i="148" s="1"/>
  <c r="H33" i="148" s="1"/>
  <c r="K33" i="148" s="1"/>
  <c r="L33" i="148" s="1"/>
  <c r="M33" i="148" s="1"/>
  <c r="B61" i="153"/>
  <c r="E61" i="153" s="1"/>
  <c r="B62" i="152"/>
  <c r="E62" i="152" s="1"/>
  <c r="B61" i="151"/>
  <c r="E61" i="151" s="1"/>
  <c r="B61" i="149"/>
  <c r="E61" i="149" s="1"/>
  <c r="B62" i="148"/>
  <c r="D62" i="148" s="1"/>
  <c r="B85" i="153"/>
  <c r="E85" i="153" s="1"/>
  <c r="B86" i="152"/>
  <c r="E86" i="152" s="1"/>
  <c r="B85" i="149"/>
  <c r="E85" i="149" s="1"/>
  <c r="B85" i="151"/>
  <c r="E85" i="151" s="1"/>
  <c r="B86" i="148"/>
  <c r="D86" i="148" s="1"/>
  <c r="B51" i="153"/>
  <c r="E51" i="153" s="1"/>
  <c r="I9" i="153" s="1"/>
  <c r="B52" i="152"/>
  <c r="E52" i="152" s="1"/>
  <c r="I10" i="152" s="1"/>
  <c r="B51" i="151"/>
  <c r="E51" i="151" s="1"/>
  <c r="I9" i="151" s="1"/>
  <c r="B51" i="149"/>
  <c r="E51" i="149" s="1"/>
  <c r="I9" i="149" s="1"/>
  <c r="B52" i="148"/>
  <c r="D52" i="148" s="1"/>
  <c r="H10" i="148" s="1"/>
  <c r="B65" i="153"/>
  <c r="E65" i="153" s="1"/>
  <c r="B66" i="152"/>
  <c r="E66" i="152" s="1"/>
  <c r="B65" i="151"/>
  <c r="E65" i="151" s="1"/>
  <c r="B65" i="149"/>
  <c r="E65" i="149" s="1"/>
  <c r="B66" i="148"/>
  <c r="D66" i="148" s="1"/>
  <c r="H17" i="148" s="1"/>
  <c r="K17" i="148" s="1"/>
  <c r="L17" i="148" s="1"/>
  <c r="M17" i="148" s="1"/>
  <c r="J4" i="139"/>
  <c r="B57" i="153"/>
  <c r="E57" i="153" s="1"/>
  <c r="I12" i="153" s="1"/>
  <c r="L12" i="153" s="1"/>
  <c r="M12" i="153" s="1"/>
  <c r="N12" i="153" s="1"/>
  <c r="B58" i="152"/>
  <c r="E58" i="152" s="1"/>
  <c r="I13" i="152" s="1"/>
  <c r="L13" i="152" s="1"/>
  <c r="M13" i="152" s="1"/>
  <c r="N13" i="152" s="1"/>
  <c r="B57" i="151"/>
  <c r="E57" i="151" s="1"/>
  <c r="I12" i="151" s="1"/>
  <c r="L12" i="151" s="1"/>
  <c r="B57" i="149"/>
  <c r="E57" i="149" s="1"/>
  <c r="I12" i="149" s="1"/>
  <c r="L12" i="149" s="1"/>
  <c r="B58" i="148"/>
  <c r="D58" i="148" s="1"/>
  <c r="H13" i="148" s="1"/>
  <c r="K13" i="148" s="1"/>
  <c r="L13" i="148" s="1"/>
  <c r="M13" i="148" s="1"/>
  <c r="B99" i="153"/>
  <c r="E99" i="153" s="1"/>
  <c r="I33" i="153" s="1"/>
  <c r="L33" i="153" s="1"/>
  <c r="M33" i="153" s="1"/>
  <c r="N33" i="153" s="1"/>
  <c r="B100" i="152"/>
  <c r="E100" i="152" s="1"/>
  <c r="I34" i="152" s="1"/>
  <c r="L34" i="152" s="1"/>
  <c r="M34" i="152" s="1"/>
  <c r="N34" i="152" s="1"/>
  <c r="B99" i="149"/>
  <c r="E99" i="149" s="1"/>
  <c r="I33" i="149" s="1"/>
  <c r="L33" i="149" s="1"/>
  <c r="B99" i="151"/>
  <c r="E99" i="151" s="1"/>
  <c r="I33" i="151" s="1"/>
  <c r="L33" i="151" s="1"/>
  <c r="B100" i="148"/>
  <c r="D100" i="148" s="1"/>
  <c r="H34" i="148" s="1"/>
  <c r="K34" i="148" s="1"/>
  <c r="L34" i="148" s="1"/>
  <c r="M34" i="148" s="1"/>
  <c r="B73" i="153"/>
  <c r="E73" i="153" s="1"/>
  <c r="I20" i="153" s="1"/>
  <c r="L20" i="153" s="1"/>
  <c r="M20" i="153" s="1"/>
  <c r="N20" i="153" s="1"/>
  <c r="B74" i="152"/>
  <c r="E74" i="152" s="1"/>
  <c r="I21" i="152" s="1"/>
  <c r="L21" i="152" s="1"/>
  <c r="M21" i="152" s="1"/>
  <c r="N21" i="152" s="1"/>
  <c r="B73" i="149"/>
  <c r="E73" i="149" s="1"/>
  <c r="I20" i="149" s="1"/>
  <c r="L20" i="149" s="1"/>
  <c r="M20" i="149" s="1"/>
  <c r="N20" i="149" s="1"/>
  <c r="B73" i="151"/>
  <c r="E73" i="151" s="1"/>
  <c r="I20" i="151" s="1"/>
  <c r="L20" i="151" s="1"/>
  <c r="B74" i="148"/>
  <c r="D74" i="148" s="1"/>
  <c r="H21" i="148" s="1"/>
  <c r="K21" i="148" s="1"/>
  <c r="L21" i="148" s="1"/>
  <c r="M21" i="148" s="1"/>
  <c r="I11" i="153"/>
  <c r="L11" i="153" s="1"/>
  <c r="M11" i="153" s="1"/>
  <c r="N11" i="153" s="1"/>
  <c r="I11" i="151"/>
  <c r="L11" i="151" s="1"/>
  <c r="I4" i="152"/>
  <c r="L40" i="140"/>
  <c r="B80" i="143"/>
  <c r="D80" i="143" s="1"/>
  <c r="H23" i="143" s="1"/>
  <c r="J23" i="143" s="1"/>
  <c r="L33" i="140"/>
  <c r="H5" i="147"/>
  <c r="K5" i="147" s="1"/>
  <c r="M5" i="147" s="1"/>
  <c r="B77" i="145"/>
  <c r="D77" i="145" s="1"/>
  <c r="H19" i="145" s="1"/>
  <c r="J19" i="145" s="1"/>
  <c r="K19" i="145" s="1"/>
  <c r="L19" i="145" s="1"/>
  <c r="H10" i="147"/>
  <c r="K10" i="147" s="1"/>
  <c r="L10" i="147" s="1"/>
  <c r="M10" i="147" s="1"/>
  <c r="H13" i="147"/>
  <c r="K13" i="147" s="1"/>
  <c r="L13" i="147" s="1"/>
  <c r="M13" i="147" s="1"/>
  <c r="H9" i="147"/>
  <c r="K9" i="147" s="1"/>
  <c r="H12" i="147"/>
  <c r="K12" i="147" s="1"/>
  <c r="L12" i="147" s="1"/>
  <c r="M12" i="147" s="1"/>
  <c r="H11" i="147"/>
  <c r="K11" i="147" s="1"/>
  <c r="L11" i="147" s="1"/>
  <c r="M11" i="147" s="1"/>
  <c r="L34" i="140"/>
  <c r="H39" i="147"/>
  <c r="L39" i="140"/>
  <c r="B97" i="147"/>
  <c r="D97" i="147" s="1"/>
  <c r="B87" i="146"/>
  <c r="D87" i="146" s="1"/>
  <c r="B87" i="147"/>
  <c r="D87" i="147" s="1"/>
  <c r="H32" i="147" s="1"/>
  <c r="K32" i="147" s="1"/>
  <c r="L32" i="147" s="1"/>
  <c r="M32" i="147" s="1"/>
  <c r="B77" i="146"/>
  <c r="D77" i="146" s="1"/>
  <c r="H21" i="146" s="1"/>
  <c r="J21" i="146" s="1"/>
  <c r="K21" i="146" s="1"/>
  <c r="L21" i="146" s="1"/>
  <c r="B71" i="147"/>
  <c r="D71" i="147" s="1"/>
  <c r="H24" i="147" s="1"/>
  <c r="B61" i="146"/>
  <c r="D61" i="146" s="1"/>
  <c r="H13" i="146" s="1"/>
  <c r="J13" i="146" s="1"/>
  <c r="K13" i="146" s="1"/>
  <c r="L13" i="146" s="1"/>
  <c r="B64" i="147"/>
  <c r="D64" i="147" s="1"/>
  <c r="H21" i="147" s="1"/>
  <c r="K21" i="147" s="1"/>
  <c r="L21" i="147" s="1"/>
  <c r="M21" i="147" s="1"/>
  <c r="B54" i="146"/>
  <c r="D54" i="146" s="1"/>
  <c r="B99" i="147"/>
  <c r="D99" i="147" s="1"/>
  <c r="K38" i="147" s="1"/>
  <c r="L38" i="147" s="1"/>
  <c r="M38" i="147" s="1"/>
  <c r="B89" i="146"/>
  <c r="D89" i="146" s="1"/>
  <c r="H27" i="146" s="1"/>
  <c r="J27" i="146" s="1"/>
  <c r="K27" i="146" s="1"/>
  <c r="L27" i="146" s="1"/>
  <c r="B62" i="147"/>
  <c r="D62" i="147" s="1"/>
  <c r="H20" i="147" s="1"/>
  <c r="K20" i="147" s="1"/>
  <c r="B52" i="146"/>
  <c r="D52" i="146" s="1"/>
  <c r="H9" i="146" s="1"/>
  <c r="J9" i="146" s="1"/>
  <c r="K9" i="146" s="1"/>
  <c r="L9" i="146" s="1"/>
  <c r="B113" i="147"/>
  <c r="D113" i="147" s="1"/>
  <c r="H45" i="147" s="1"/>
  <c r="K45" i="147" s="1"/>
  <c r="L45" i="147" s="1"/>
  <c r="M45" i="147" s="1"/>
  <c r="B103" i="146"/>
  <c r="D103" i="146" s="1"/>
  <c r="H34" i="146" s="1"/>
  <c r="J34" i="146" s="1"/>
  <c r="K34" i="146" s="1"/>
  <c r="L34" i="146" s="1"/>
  <c r="B95" i="147"/>
  <c r="D95" i="147" s="1"/>
  <c r="H36" i="147" s="1"/>
  <c r="K36" i="147" s="1"/>
  <c r="L36" i="147" s="1"/>
  <c r="M36" i="147" s="1"/>
  <c r="B85" i="146"/>
  <c r="D85" i="146" s="1"/>
  <c r="H25" i="146" s="1"/>
  <c r="J25" i="146" s="1"/>
  <c r="B79" i="147"/>
  <c r="D79" i="147" s="1"/>
  <c r="H28" i="147" s="1"/>
  <c r="K28" i="147" s="1"/>
  <c r="L28" i="147" s="1"/>
  <c r="M28" i="147" s="1"/>
  <c r="B69" i="146"/>
  <c r="D69" i="146" s="1"/>
  <c r="H17" i="146" s="1"/>
  <c r="J17" i="146" s="1"/>
  <c r="B111" i="147"/>
  <c r="D111" i="147" s="1"/>
  <c r="H44" i="147" s="1"/>
  <c r="K44" i="147" s="1"/>
  <c r="L44" i="147" s="1"/>
  <c r="M44" i="147" s="1"/>
  <c r="B101" i="146"/>
  <c r="D101" i="146" s="1"/>
  <c r="H33" i="146" s="1"/>
  <c r="J33" i="146" s="1"/>
  <c r="K33" i="146" s="1"/>
  <c r="L33" i="146" s="1"/>
  <c r="B83" i="147"/>
  <c r="D83" i="147" s="1"/>
  <c r="H30" i="147" s="1"/>
  <c r="K30" i="147" s="1"/>
  <c r="B73" i="146"/>
  <c r="D73" i="146" s="1"/>
  <c r="H19" i="146" s="1"/>
  <c r="J19" i="146" s="1"/>
  <c r="K19" i="146" s="1"/>
  <c r="L19" i="146" s="1"/>
  <c r="B103" i="147"/>
  <c r="D103" i="147" s="1"/>
  <c r="H40" i="147" s="1"/>
  <c r="K40" i="147" s="1"/>
  <c r="L40" i="147" s="1"/>
  <c r="M40" i="147" s="1"/>
  <c r="B93" i="146"/>
  <c r="D93" i="146" s="1"/>
  <c r="H29" i="146" s="1"/>
  <c r="J29" i="146" s="1"/>
  <c r="K29" i="146" s="1"/>
  <c r="L29" i="146" s="1"/>
  <c r="B85" i="147"/>
  <c r="D85" i="147" s="1"/>
  <c r="H31" i="147" s="1"/>
  <c r="K31" i="147" s="1"/>
  <c r="L31" i="147" s="1"/>
  <c r="M31" i="147" s="1"/>
  <c r="B75" i="146"/>
  <c r="D75" i="146" s="1"/>
  <c r="H20" i="146" s="1"/>
  <c r="J20" i="146" s="1"/>
  <c r="K20" i="146" s="1"/>
  <c r="L20" i="146" s="1"/>
  <c r="B89" i="147"/>
  <c r="D89" i="147" s="1"/>
  <c r="B79" i="146"/>
  <c r="D79" i="146" s="1"/>
  <c r="B75" i="145"/>
  <c r="I36" i="140"/>
  <c r="B93" i="147"/>
  <c r="D93" i="147" s="1"/>
  <c r="H35" i="147" s="1"/>
  <c r="K35" i="147" s="1"/>
  <c r="L35" i="147" s="1"/>
  <c r="M35" i="147" s="1"/>
  <c r="B83" i="146"/>
  <c r="D83" i="146" s="1"/>
  <c r="H24" i="146" s="1"/>
  <c r="J24" i="146" s="1"/>
  <c r="K24" i="146" s="1"/>
  <c r="L24" i="146" s="1"/>
  <c r="B75" i="147"/>
  <c r="D75" i="147" s="1"/>
  <c r="H26" i="147" s="1"/>
  <c r="K26" i="147" s="1"/>
  <c r="L26" i="147" s="1"/>
  <c r="M26" i="147" s="1"/>
  <c r="B65" i="146"/>
  <c r="D65" i="146" s="1"/>
  <c r="H15" i="146" s="1"/>
  <c r="J15" i="146" s="1"/>
  <c r="K15" i="146" s="1"/>
  <c r="L15" i="146" s="1"/>
  <c r="B105" i="147"/>
  <c r="D105" i="147" s="1"/>
  <c r="H41" i="147" s="1"/>
  <c r="K41" i="147" s="1"/>
  <c r="L41" i="147" s="1"/>
  <c r="M41" i="147" s="1"/>
  <c r="B95" i="146"/>
  <c r="D95" i="146" s="1"/>
  <c r="H30" i="146" s="1"/>
  <c r="J30" i="146" s="1"/>
  <c r="K30" i="146" s="1"/>
  <c r="L30" i="146" s="1"/>
  <c r="B77" i="147"/>
  <c r="D77" i="147" s="1"/>
  <c r="H27" i="147" s="1"/>
  <c r="K27" i="147" s="1"/>
  <c r="L27" i="147" s="1"/>
  <c r="M27" i="147" s="1"/>
  <c r="B67" i="146"/>
  <c r="D67" i="146" s="1"/>
  <c r="H16" i="146" s="1"/>
  <c r="J16" i="146" s="1"/>
  <c r="K16" i="146" s="1"/>
  <c r="L16" i="146" s="1"/>
  <c r="B66" i="147"/>
  <c r="D66" i="147" s="1"/>
  <c r="H22" i="147" s="1"/>
  <c r="K22" i="147" s="1"/>
  <c r="L22" i="147" s="1"/>
  <c r="M22" i="147" s="1"/>
  <c r="B56" i="146"/>
  <c r="D56" i="146" s="1"/>
  <c r="H11" i="146" s="1"/>
  <c r="J11" i="146" s="1"/>
  <c r="K11" i="146" s="1"/>
  <c r="L11" i="146" s="1"/>
  <c r="B81" i="147"/>
  <c r="D81" i="147" s="1"/>
  <c r="H29" i="147" s="1"/>
  <c r="K29" i="147" s="1"/>
  <c r="L29" i="147" s="1"/>
  <c r="M29" i="147" s="1"/>
  <c r="B71" i="146"/>
  <c r="D71" i="146" s="1"/>
  <c r="H18" i="146" s="1"/>
  <c r="J18" i="146" s="1"/>
  <c r="B91" i="147"/>
  <c r="D91" i="147" s="1"/>
  <c r="H34" i="147" s="1"/>
  <c r="K34" i="147" s="1"/>
  <c r="B81" i="146"/>
  <c r="D81" i="146" s="1"/>
  <c r="H23" i="146" s="1"/>
  <c r="J23" i="146" s="1"/>
  <c r="K23" i="146" s="1"/>
  <c r="L23" i="146" s="1"/>
  <c r="B109" i="147"/>
  <c r="D109" i="147" s="1"/>
  <c r="H43" i="147" s="1"/>
  <c r="K43" i="147" s="1"/>
  <c r="L43" i="147" s="1"/>
  <c r="M43" i="147" s="1"/>
  <c r="B99" i="146"/>
  <c r="D99" i="146" s="1"/>
  <c r="H32" i="146" s="1"/>
  <c r="J32" i="146" s="1"/>
  <c r="K32" i="146" s="1"/>
  <c r="L32" i="146" s="1"/>
  <c r="B60" i="147"/>
  <c r="D60" i="147" s="1"/>
  <c r="B50" i="146"/>
  <c r="D50" i="146" s="1"/>
  <c r="B101" i="147"/>
  <c r="D101" i="147" s="1"/>
  <c r="B91" i="146"/>
  <c r="D91" i="146" s="1"/>
  <c r="H28" i="146" s="1"/>
  <c r="J28" i="146" s="1"/>
  <c r="K28" i="146" s="1"/>
  <c r="L28" i="146" s="1"/>
  <c r="B68" i="147"/>
  <c r="D68" i="147" s="1"/>
  <c r="H23" i="147" s="1"/>
  <c r="K23" i="147" s="1"/>
  <c r="L23" i="147" s="1"/>
  <c r="M23" i="147" s="1"/>
  <c r="B58" i="146"/>
  <c r="D58" i="146" s="1"/>
  <c r="H12" i="146" s="1"/>
  <c r="J12" i="146" s="1"/>
  <c r="K12" i="146" s="1"/>
  <c r="L12" i="146" s="1"/>
  <c r="B107" i="147"/>
  <c r="D107" i="147" s="1"/>
  <c r="B97" i="146"/>
  <c r="D97" i="146" s="1"/>
  <c r="B73" i="147"/>
  <c r="D73" i="147" s="1"/>
  <c r="B63" i="146"/>
  <c r="D63" i="146" s="1"/>
  <c r="B80" i="144"/>
  <c r="D80" i="144" s="1"/>
  <c r="I4" i="144" s="1"/>
  <c r="I5" i="144" s="1"/>
  <c r="H4" i="147"/>
  <c r="H26" i="146"/>
  <c r="J26" i="146" s="1"/>
  <c r="K26" i="146" s="1"/>
  <c r="L26" i="146" s="1"/>
  <c r="L38" i="140"/>
  <c r="B79" i="145"/>
  <c r="D79" i="145" s="1"/>
  <c r="H20" i="145" s="1"/>
  <c r="J20" i="145" s="1"/>
  <c r="B82" i="144"/>
  <c r="D82" i="144" s="1"/>
  <c r="I24" i="144" s="1"/>
  <c r="K24" i="144" s="1"/>
  <c r="B82" i="143"/>
  <c r="D82" i="143" s="1"/>
  <c r="H24" i="143" s="1"/>
  <c r="J24" i="143" s="1"/>
  <c r="B91" i="145"/>
  <c r="D91" i="145" s="1"/>
  <c r="H26" i="145" s="1"/>
  <c r="J26" i="145" s="1"/>
  <c r="K26" i="145" s="1"/>
  <c r="L26" i="145" s="1"/>
  <c r="B94" i="144"/>
  <c r="D94" i="144" s="1"/>
  <c r="I30" i="144" s="1"/>
  <c r="K30" i="144" s="1"/>
  <c r="L30" i="144" s="1"/>
  <c r="M30" i="144" s="1"/>
  <c r="B94" i="143"/>
  <c r="D94" i="143" s="1"/>
  <c r="H30" i="143" s="1"/>
  <c r="J30" i="143" s="1"/>
  <c r="B52" i="145"/>
  <c r="D52" i="145" s="1"/>
  <c r="H7" i="145" s="1"/>
  <c r="J7" i="145" s="1"/>
  <c r="K7" i="145" s="1"/>
  <c r="L7" i="145" s="1"/>
  <c r="B56" i="144"/>
  <c r="D56" i="144" s="1"/>
  <c r="I11" i="144" s="1"/>
  <c r="K11" i="144" s="1"/>
  <c r="B56" i="143"/>
  <c r="D56" i="143" s="1"/>
  <c r="H11" i="143" s="1"/>
  <c r="J11" i="143" s="1"/>
  <c r="B67" i="145"/>
  <c r="D67" i="145" s="1"/>
  <c r="H14" i="145" s="1"/>
  <c r="J14" i="145" s="1"/>
  <c r="K14" i="145" s="1"/>
  <c r="L14" i="145" s="1"/>
  <c r="B70" i="144"/>
  <c r="D70" i="144" s="1"/>
  <c r="I18" i="144" s="1"/>
  <c r="K18" i="144" s="1"/>
  <c r="L18" i="144" s="1"/>
  <c r="M18" i="144" s="1"/>
  <c r="B70" i="143"/>
  <c r="D70" i="143" s="1"/>
  <c r="H18" i="143" s="1"/>
  <c r="J18" i="143" s="1"/>
  <c r="B95" i="145"/>
  <c r="D95" i="145" s="1"/>
  <c r="H28" i="145" s="1"/>
  <c r="J28" i="145" s="1"/>
  <c r="K28" i="145" s="1"/>
  <c r="L28" i="145" s="1"/>
  <c r="B98" i="144"/>
  <c r="D98" i="144" s="1"/>
  <c r="I32" i="144" s="1"/>
  <c r="K32" i="144" s="1"/>
  <c r="L32" i="144" s="1"/>
  <c r="M32" i="144" s="1"/>
  <c r="B98" i="143"/>
  <c r="D98" i="143" s="1"/>
  <c r="H32" i="143" s="1"/>
  <c r="J32" i="143" s="1"/>
  <c r="B46" i="145"/>
  <c r="B50" i="144"/>
  <c r="B50" i="143"/>
  <c r="K23" i="143"/>
  <c r="L23" i="143"/>
  <c r="B83" i="145"/>
  <c r="D83" i="145" s="1"/>
  <c r="B86" i="144"/>
  <c r="D86" i="144" s="1"/>
  <c r="I26" i="144" s="1"/>
  <c r="K26" i="144" s="1"/>
  <c r="L26" i="144" s="1"/>
  <c r="M26" i="144" s="1"/>
  <c r="B86" i="143"/>
  <c r="D86" i="143" s="1"/>
  <c r="H26" i="143" s="1"/>
  <c r="J26" i="143" s="1"/>
  <c r="K26" i="143" s="1"/>
  <c r="L26" i="143" s="1"/>
  <c r="B73" i="145"/>
  <c r="D73" i="145" s="1"/>
  <c r="H17" i="145" s="1"/>
  <c r="J17" i="145" s="1"/>
  <c r="K17" i="145" s="1"/>
  <c r="L17" i="145" s="1"/>
  <c r="B76" i="144"/>
  <c r="D76" i="144" s="1"/>
  <c r="I21" i="144" s="1"/>
  <c r="K21" i="144" s="1"/>
  <c r="L21" i="144" s="1"/>
  <c r="M21" i="144" s="1"/>
  <c r="B76" i="143"/>
  <c r="D76" i="143" s="1"/>
  <c r="H21" i="143" s="1"/>
  <c r="J21" i="143" s="1"/>
  <c r="B57" i="145"/>
  <c r="D57" i="145" s="1"/>
  <c r="H9" i="145" s="1"/>
  <c r="J9" i="145" s="1"/>
  <c r="K9" i="145" s="1"/>
  <c r="L9" i="145" s="1"/>
  <c r="B60" i="144"/>
  <c r="D60" i="144" s="1"/>
  <c r="I13" i="144" s="1"/>
  <c r="K13" i="144" s="1"/>
  <c r="L13" i="144" s="1"/>
  <c r="M13" i="144" s="1"/>
  <c r="B60" i="143"/>
  <c r="D60" i="143" s="1"/>
  <c r="H13" i="143" s="1"/>
  <c r="J13" i="143" s="1"/>
  <c r="B50" i="145"/>
  <c r="D50" i="145" s="1"/>
  <c r="B54" i="144"/>
  <c r="D54" i="144" s="1"/>
  <c r="B54" i="143"/>
  <c r="D54" i="143" s="1"/>
  <c r="H10" i="143" s="1"/>
  <c r="J10" i="143" s="1"/>
  <c r="K10" i="143" s="1"/>
  <c r="L10" i="143" s="1"/>
  <c r="B85" i="145"/>
  <c r="D85" i="145" s="1"/>
  <c r="H23" i="145" s="1"/>
  <c r="J23" i="145" s="1"/>
  <c r="K23" i="145" s="1"/>
  <c r="L23" i="145" s="1"/>
  <c r="B88" i="144"/>
  <c r="D88" i="144" s="1"/>
  <c r="I27" i="144" s="1"/>
  <c r="K27" i="144" s="1"/>
  <c r="B88" i="143"/>
  <c r="D88" i="143" s="1"/>
  <c r="H27" i="143" s="1"/>
  <c r="J27" i="143" s="1"/>
  <c r="B48" i="145"/>
  <c r="D48" i="145" s="1"/>
  <c r="H5" i="145" s="1"/>
  <c r="J5" i="145" s="1"/>
  <c r="K5" i="145" s="1"/>
  <c r="L5" i="145" s="1"/>
  <c r="B52" i="144"/>
  <c r="D52" i="144" s="1"/>
  <c r="I9" i="144" s="1"/>
  <c r="K9" i="144" s="1"/>
  <c r="B52" i="143"/>
  <c r="D52" i="143" s="1"/>
  <c r="H9" i="143" s="1"/>
  <c r="B61" i="145"/>
  <c r="D61" i="145" s="1"/>
  <c r="H11" i="145" s="1"/>
  <c r="J11" i="145" s="1"/>
  <c r="K11" i="145" s="1"/>
  <c r="L11" i="145" s="1"/>
  <c r="B64" i="144"/>
  <c r="D64" i="144" s="1"/>
  <c r="I15" i="144" s="1"/>
  <c r="K15" i="144" s="1"/>
  <c r="L15" i="144" s="1"/>
  <c r="M15" i="144" s="1"/>
  <c r="B64" i="143"/>
  <c r="D64" i="143" s="1"/>
  <c r="H15" i="143" s="1"/>
  <c r="J15" i="143" s="1"/>
  <c r="B63" i="145"/>
  <c r="D63" i="145" s="1"/>
  <c r="H12" i="145" s="1"/>
  <c r="J12" i="145" s="1"/>
  <c r="K12" i="145" s="1"/>
  <c r="L12" i="145" s="1"/>
  <c r="B66" i="144"/>
  <c r="D66" i="144" s="1"/>
  <c r="I16" i="144" s="1"/>
  <c r="K16" i="144" s="1"/>
  <c r="L16" i="144" s="1"/>
  <c r="M16" i="144" s="1"/>
  <c r="B66" i="143"/>
  <c r="D66" i="143" s="1"/>
  <c r="H16" i="143" s="1"/>
  <c r="J16" i="143" s="1"/>
  <c r="D75" i="145"/>
  <c r="B78" i="144"/>
  <c r="D78" i="144" s="1"/>
  <c r="B78" i="143"/>
  <c r="D78" i="143" s="1"/>
  <c r="B87" i="145"/>
  <c r="D87" i="145" s="1"/>
  <c r="H24" i="145" s="1"/>
  <c r="J24" i="145" s="1"/>
  <c r="K24" i="145" s="1"/>
  <c r="L24" i="145" s="1"/>
  <c r="B90" i="144"/>
  <c r="D90" i="144" s="1"/>
  <c r="I28" i="144" s="1"/>
  <c r="K28" i="144" s="1"/>
  <c r="L28" i="144" s="1"/>
  <c r="M28" i="144" s="1"/>
  <c r="B90" i="143"/>
  <c r="D90" i="143" s="1"/>
  <c r="H28" i="143" s="1"/>
  <c r="J28" i="143" s="1"/>
  <c r="K28" i="143" s="1"/>
  <c r="L28" i="143" s="1"/>
  <c r="B54" i="145"/>
  <c r="D54" i="145" s="1"/>
  <c r="H8" i="145" s="1"/>
  <c r="J8" i="145" s="1"/>
  <c r="K8" i="145" s="1"/>
  <c r="L8" i="145" s="1"/>
  <c r="B58" i="144"/>
  <c r="D58" i="144" s="1"/>
  <c r="I12" i="144" s="1"/>
  <c r="K12" i="144" s="1"/>
  <c r="L12" i="144" s="1"/>
  <c r="M12" i="144" s="1"/>
  <c r="B58" i="143"/>
  <c r="D58" i="143" s="1"/>
  <c r="H12" i="143" s="1"/>
  <c r="J12" i="143" s="1"/>
  <c r="K12" i="143" s="1"/>
  <c r="L12" i="143" s="1"/>
  <c r="B93" i="145"/>
  <c r="D93" i="145" s="1"/>
  <c r="B96" i="144"/>
  <c r="D96" i="144" s="1"/>
  <c r="B96" i="143"/>
  <c r="D96" i="143" s="1"/>
  <c r="H31" i="143" s="1"/>
  <c r="J31" i="143" s="1"/>
  <c r="B59" i="145"/>
  <c r="D59" i="145" s="1"/>
  <c r="B62" i="144"/>
  <c r="D62" i="144" s="1"/>
  <c r="I14" i="144" s="1"/>
  <c r="K14" i="144" s="1"/>
  <c r="B62" i="143"/>
  <c r="D62" i="143" s="1"/>
  <c r="H14" i="143" s="1"/>
  <c r="J14" i="143" s="1"/>
  <c r="B81" i="145"/>
  <c r="D81" i="145" s="1"/>
  <c r="H21" i="145" s="1"/>
  <c r="J21" i="145" s="1"/>
  <c r="K21" i="145" s="1"/>
  <c r="L21" i="145" s="1"/>
  <c r="B84" i="144"/>
  <c r="D84" i="144" s="1"/>
  <c r="I25" i="144" s="1"/>
  <c r="K25" i="144" s="1"/>
  <c r="L25" i="144" s="1"/>
  <c r="M25" i="144" s="1"/>
  <c r="B84" i="143"/>
  <c r="D84" i="143" s="1"/>
  <c r="H25" i="143" s="1"/>
  <c r="J25" i="143" s="1"/>
  <c r="B65" i="145"/>
  <c r="D65" i="145" s="1"/>
  <c r="H13" i="145" s="1"/>
  <c r="J13" i="145" s="1"/>
  <c r="K13" i="145" s="1"/>
  <c r="L13" i="145" s="1"/>
  <c r="B68" i="144"/>
  <c r="D68" i="144" s="1"/>
  <c r="I17" i="144" s="1"/>
  <c r="K17" i="144" s="1"/>
  <c r="L17" i="144" s="1"/>
  <c r="M17" i="144" s="1"/>
  <c r="B68" i="143"/>
  <c r="D68" i="143" s="1"/>
  <c r="H17" i="143" s="1"/>
  <c r="J17" i="143" s="1"/>
  <c r="B97" i="145"/>
  <c r="D97" i="145" s="1"/>
  <c r="H29" i="145" s="1"/>
  <c r="J29" i="145" s="1"/>
  <c r="K29" i="145" s="1"/>
  <c r="L29" i="145" s="1"/>
  <c r="B100" i="144"/>
  <c r="D100" i="144" s="1"/>
  <c r="I33" i="144" s="1"/>
  <c r="K33" i="144" s="1"/>
  <c r="L33" i="144" s="1"/>
  <c r="M33" i="144" s="1"/>
  <c r="B100" i="143"/>
  <c r="D100" i="143" s="1"/>
  <c r="H33" i="143" s="1"/>
  <c r="J33" i="143" s="1"/>
  <c r="B69" i="145"/>
  <c r="D69" i="145" s="1"/>
  <c r="H15" i="145" s="1"/>
  <c r="J15" i="145" s="1"/>
  <c r="K15" i="145" s="1"/>
  <c r="L15" i="145" s="1"/>
  <c r="B72" i="144"/>
  <c r="D72" i="144" s="1"/>
  <c r="I19" i="144" s="1"/>
  <c r="K19" i="144" s="1"/>
  <c r="L19" i="144" s="1"/>
  <c r="M19" i="144" s="1"/>
  <c r="B72" i="143"/>
  <c r="D72" i="143" s="1"/>
  <c r="H19" i="143" s="1"/>
  <c r="J19" i="143" s="1"/>
  <c r="B89" i="145"/>
  <c r="D89" i="145" s="1"/>
  <c r="H25" i="145" s="1"/>
  <c r="J25" i="145" s="1"/>
  <c r="K25" i="145" s="1"/>
  <c r="L25" i="145" s="1"/>
  <c r="B92" i="144"/>
  <c r="D92" i="144" s="1"/>
  <c r="I29" i="144" s="1"/>
  <c r="K29" i="144" s="1"/>
  <c r="L29" i="144" s="1"/>
  <c r="M29" i="144" s="1"/>
  <c r="B92" i="143"/>
  <c r="D92" i="143" s="1"/>
  <c r="H29" i="143" s="1"/>
  <c r="J29" i="143" s="1"/>
  <c r="K29" i="143" s="1"/>
  <c r="L29" i="143" s="1"/>
  <c r="B71" i="145"/>
  <c r="D71" i="145" s="1"/>
  <c r="H16" i="145" s="1"/>
  <c r="J16" i="145" s="1"/>
  <c r="K16" i="145" s="1"/>
  <c r="L16" i="145" s="1"/>
  <c r="B74" i="144"/>
  <c r="D74" i="144" s="1"/>
  <c r="I20" i="144" s="1"/>
  <c r="K20" i="144" s="1"/>
  <c r="B74" i="143"/>
  <c r="D74" i="143" s="1"/>
  <c r="H20" i="143" s="1"/>
  <c r="J20" i="143" s="1"/>
  <c r="K20" i="143" s="1"/>
  <c r="L20" i="143" s="1"/>
  <c r="B99" i="145"/>
  <c r="D99" i="145" s="1"/>
  <c r="H30" i="145" s="1"/>
  <c r="J30" i="145" s="1"/>
  <c r="K30" i="145" s="1"/>
  <c r="L30" i="145" s="1"/>
  <c r="B102" i="144"/>
  <c r="D102" i="144" s="1"/>
  <c r="I34" i="144" s="1"/>
  <c r="K34" i="144" s="1"/>
  <c r="B102" i="143"/>
  <c r="D102" i="143" s="1"/>
  <c r="H34" i="143" s="1"/>
  <c r="J34" i="143" s="1"/>
  <c r="K34" i="143" s="1"/>
  <c r="L34" i="143" s="1"/>
  <c r="B101" i="142"/>
  <c r="D101" i="142" s="1"/>
  <c r="H34" i="142" s="1"/>
  <c r="J34" i="142" s="1"/>
  <c r="B97" i="141"/>
  <c r="D97" i="141" s="1"/>
  <c r="H32" i="141" s="1"/>
  <c r="J32" i="141" s="1"/>
  <c r="K32" i="141" s="1"/>
  <c r="L32" i="141" s="1"/>
  <c r="I3" i="140"/>
  <c r="L3" i="140" s="1"/>
  <c r="B53" i="142"/>
  <c r="B49" i="141"/>
  <c r="B97" i="142"/>
  <c r="D97" i="142" s="1"/>
  <c r="H32" i="142" s="1"/>
  <c r="J32" i="142" s="1"/>
  <c r="K32" i="142" s="1"/>
  <c r="L32" i="142" s="1"/>
  <c r="B93" i="141"/>
  <c r="D93" i="141" s="1"/>
  <c r="H30" i="141" s="1"/>
  <c r="J30" i="141" s="1"/>
  <c r="K30" i="141" s="1"/>
  <c r="L30" i="141" s="1"/>
  <c r="B69" i="142"/>
  <c r="D69" i="142" s="1"/>
  <c r="H18" i="142" s="1"/>
  <c r="J18" i="142" s="1"/>
  <c r="K18" i="142" s="1"/>
  <c r="L18" i="142" s="1"/>
  <c r="B65" i="141"/>
  <c r="D65" i="141" s="1"/>
  <c r="H16" i="141" s="1"/>
  <c r="J16" i="141" s="1"/>
  <c r="K16" i="141" s="1"/>
  <c r="L16" i="141" s="1"/>
  <c r="I6" i="140"/>
  <c r="L6" i="140" s="1"/>
  <c r="B59" i="142"/>
  <c r="D59" i="142" s="1"/>
  <c r="H13" i="142" s="1"/>
  <c r="J13" i="142" s="1"/>
  <c r="K13" i="142" s="1"/>
  <c r="L13" i="142" s="1"/>
  <c r="B55" i="141"/>
  <c r="D55" i="141" s="1"/>
  <c r="H11" i="141" s="1"/>
  <c r="J11" i="141" s="1"/>
  <c r="K11" i="141" s="1"/>
  <c r="L11" i="141" s="1"/>
  <c r="B73" i="142"/>
  <c r="D73" i="142" s="1"/>
  <c r="H20" i="142" s="1"/>
  <c r="J20" i="142" s="1"/>
  <c r="B69" i="141"/>
  <c r="D69" i="141" s="1"/>
  <c r="H18" i="141" s="1"/>
  <c r="J18" i="141" s="1"/>
  <c r="K18" i="141" s="1"/>
  <c r="L18" i="141" s="1"/>
  <c r="B89" i="142"/>
  <c r="D89" i="142" s="1"/>
  <c r="H28" i="142" s="1"/>
  <c r="J28" i="142" s="1"/>
  <c r="K28" i="142" s="1"/>
  <c r="L28" i="142" s="1"/>
  <c r="B85" i="141"/>
  <c r="D85" i="141" s="1"/>
  <c r="H26" i="141" s="1"/>
  <c r="J26" i="141" s="1"/>
  <c r="K26" i="141" s="1"/>
  <c r="L26" i="141" s="1"/>
  <c r="B79" i="142"/>
  <c r="D79" i="142" s="1"/>
  <c r="H23" i="142" s="1"/>
  <c r="J23" i="142" s="1"/>
  <c r="K23" i="142" s="1"/>
  <c r="L23" i="142" s="1"/>
  <c r="B75" i="141"/>
  <c r="D75" i="141" s="1"/>
  <c r="H21" i="141" s="1"/>
  <c r="J21" i="141" s="1"/>
  <c r="K21" i="141" s="1"/>
  <c r="L21" i="141" s="1"/>
  <c r="I23" i="140"/>
  <c r="L23" i="140" s="1"/>
  <c r="B93" i="142"/>
  <c r="D93" i="142" s="1"/>
  <c r="H30" i="142" s="1"/>
  <c r="J30" i="142" s="1"/>
  <c r="K30" i="142" s="1"/>
  <c r="L30" i="142" s="1"/>
  <c r="B89" i="141"/>
  <c r="D89" i="141" s="1"/>
  <c r="H28" i="141" s="1"/>
  <c r="J28" i="141" s="1"/>
  <c r="K28" i="141" s="1"/>
  <c r="L28" i="141" s="1"/>
  <c r="I7" i="140"/>
  <c r="L7" i="140" s="1"/>
  <c r="B61" i="142"/>
  <c r="D61" i="142" s="1"/>
  <c r="B57" i="141"/>
  <c r="D57" i="141" s="1"/>
  <c r="H12" i="141" s="1"/>
  <c r="J12" i="141" s="1"/>
  <c r="K12" i="141" s="1"/>
  <c r="L12" i="141" s="1"/>
  <c r="B99" i="142"/>
  <c r="D99" i="142" s="1"/>
  <c r="H33" i="142" s="1"/>
  <c r="J33" i="142" s="1"/>
  <c r="K33" i="142" s="1"/>
  <c r="L33" i="142" s="1"/>
  <c r="B95" i="141"/>
  <c r="D95" i="141" s="1"/>
  <c r="H31" i="141" s="1"/>
  <c r="J31" i="141" s="1"/>
  <c r="K31" i="141" s="1"/>
  <c r="L31" i="141" s="1"/>
  <c r="I9" i="140"/>
  <c r="L9" i="140" s="1"/>
  <c r="B65" i="142"/>
  <c r="D65" i="142" s="1"/>
  <c r="H16" i="142" s="1"/>
  <c r="J16" i="142" s="1"/>
  <c r="K16" i="142" s="1"/>
  <c r="L16" i="142" s="1"/>
  <c r="B61" i="141"/>
  <c r="D61" i="141" s="1"/>
  <c r="H14" i="141" s="1"/>
  <c r="J14" i="141" s="1"/>
  <c r="K14" i="141" s="1"/>
  <c r="L14" i="141" s="1"/>
  <c r="B87" i="142"/>
  <c r="D87" i="142" s="1"/>
  <c r="H27" i="142" s="1"/>
  <c r="J27" i="142" s="1"/>
  <c r="B83" i="141"/>
  <c r="D83" i="141" s="1"/>
  <c r="H4" i="141" s="1"/>
  <c r="J4" i="141" s="1"/>
  <c r="B71" i="142"/>
  <c r="D71" i="142" s="1"/>
  <c r="H19" i="142" s="1"/>
  <c r="J19" i="142" s="1"/>
  <c r="K19" i="142" s="1"/>
  <c r="L19" i="142" s="1"/>
  <c r="B67" i="141"/>
  <c r="D67" i="141" s="1"/>
  <c r="H17" i="141" s="1"/>
  <c r="J17" i="141" s="1"/>
  <c r="K17" i="141" s="1"/>
  <c r="L17" i="141" s="1"/>
  <c r="I8" i="140"/>
  <c r="B63" i="142"/>
  <c r="D63" i="142" s="1"/>
  <c r="H5" i="142" s="1"/>
  <c r="J5" i="142" s="1"/>
  <c r="L5" i="142" s="1"/>
  <c r="B59" i="141"/>
  <c r="D59" i="141" s="1"/>
  <c r="H13" i="141" s="1"/>
  <c r="J13" i="141" s="1"/>
  <c r="K13" i="141" s="1"/>
  <c r="L13" i="141" s="1"/>
  <c r="B83" i="142"/>
  <c r="D83" i="142" s="1"/>
  <c r="B79" i="141"/>
  <c r="D79" i="141" s="1"/>
  <c r="H23" i="141" s="1"/>
  <c r="J23" i="141" s="1"/>
  <c r="K23" i="141" s="1"/>
  <c r="L23" i="141" s="1"/>
  <c r="B57" i="142"/>
  <c r="D57" i="142" s="1"/>
  <c r="H12" i="142" s="1"/>
  <c r="J12" i="142" s="1"/>
  <c r="K12" i="142" s="1"/>
  <c r="L12" i="142" s="1"/>
  <c r="B53" i="141"/>
  <c r="D53" i="141" s="1"/>
  <c r="H10" i="141" s="1"/>
  <c r="J10" i="141" s="1"/>
  <c r="K10" i="141" s="1"/>
  <c r="L10" i="141" s="1"/>
  <c r="B91" i="142"/>
  <c r="D91" i="142" s="1"/>
  <c r="H29" i="142" s="1"/>
  <c r="J29" i="142" s="1"/>
  <c r="K29" i="142" s="1"/>
  <c r="L29" i="142" s="1"/>
  <c r="B87" i="141"/>
  <c r="D87" i="141" s="1"/>
  <c r="H27" i="141" s="1"/>
  <c r="J27" i="141" s="1"/>
  <c r="K27" i="141" s="1"/>
  <c r="L27" i="141" s="1"/>
  <c r="I4" i="140"/>
  <c r="L4" i="140" s="1"/>
  <c r="B55" i="142"/>
  <c r="D55" i="142" s="1"/>
  <c r="B51" i="141"/>
  <c r="D51" i="141" s="1"/>
  <c r="H9" i="141" s="1"/>
  <c r="J9" i="141" s="1"/>
  <c r="K9" i="141" s="1"/>
  <c r="L9" i="141" s="1"/>
  <c r="I17" i="140"/>
  <c r="L17" i="140" s="1"/>
  <c r="B81" i="142"/>
  <c r="D81" i="142" s="1"/>
  <c r="B77" i="141"/>
  <c r="D77" i="141" s="1"/>
  <c r="H22" i="141" s="1"/>
  <c r="J22" i="141" s="1"/>
  <c r="K22" i="141" s="1"/>
  <c r="L22" i="141" s="1"/>
  <c r="B85" i="142"/>
  <c r="D85" i="142" s="1"/>
  <c r="H26" i="142" s="1"/>
  <c r="J26" i="142" s="1"/>
  <c r="K26" i="142" s="1"/>
  <c r="L26" i="142" s="1"/>
  <c r="B81" i="141"/>
  <c r="D81" i="141" s="1"/>
  <c r="H24" i="141" s="1"/>
  <c r="J24" i="141" s="1"/>
  <c r="K24" i="141" s="1"/>
  <c r="L24" i="141" s="1"/>
  <c r="B67" i="142"/>
  <c r="D67" i="142" s="1"/>
  <c r="H17" i="142" s="1"/>
  <c r="J17" i="142" s="1"/>
  <c r="K17" i="142" s="1"/>
  <c r="L17" i="142" s="1"/>
  <c r="B63" i="141"/>
  <c r="D63" i="141" s="1"/>
  <c r="H15" i="141" s="1"/>
  <c r="J15" i="141" s="1"/>
  <c r="K15" i="141" s="1"/>
  <c r="L15" i="141" s="1"/>
  <c r="B103" i="142"/>
  <c r="D103" i="142" s="1"/>
  <c r="H35" i="142" s="1"/>
  <c r="J35" i="142" s="1"/>
  <c r="B99" i="141"/>
  <c r="D99" i="141" s="1"/>
  <c r="H33" i="141" s="1"/>
  <c r="J33" i="141" s="1"/>
  <c r="K33" i="141" s="1"/>
  <c r="L33" i="141" s="1"/>
  <c r="B75" i="142"/>
  <c r="D75" i="142" s="1"/>
  <c r="H21" i="142" s="1"/>
  <c r="J21" i="142" s="1"/>
  <c r="K21" i="142" s="1"/>
  <c r="L21" i="142" s="1"/>
  <c r="B71" i="141"/>
  <c r="D71" i="141" s="1"/>
  <c r="H19" i="141" s="1"/>
  <c r="J19" i="141" s="1"/>
  <c r="K19" i="141" s="1"/>
  <c r="L19" i="141" s="1"/>
  <c r="B95" i="142"/>
  <c r="D95" i="142" s="1"/>
  <c r="H31" i="142" s="1"/>
  <c r="J31" i="142" s="1"/>
  <c r="B91" i="141"/>
  <c r="D91" i="141" s="1"/>
  <c r="H29" i="141" s="1"/>
  <c r="J29" i="141" s="1"/>
  <c r="K29" i="141" s="1"/>
  <c r="B77" i="142"/>
  <c r="D77" i="142" s="1"/>
  <c r="H22" i="142" s="1"/>
  <c r="J22" i="142" s="1"/>
  <c r="B73" i="141"/>
  <c r="D73" i="141" s="1"/>
  <c r="H20" i="141" s="1"/>
  <c r="J20" i="141" s="1"/>
  <c r="K20" i="141" s="1"/>
  <c r="L20" i="141" s="1"/>
  <c r="I29" i="140"/>
  <c r="L29" i="140" s="1"/>
  <c r="B105" i="142"/>
  <c r="D105" i="142" s="1"/>
  <c r="H36" i="142" s="1"/>
  <c r="J36" i="142" s="1"/>
  <c r="B101" i="141"/>
  <c r="D101" i="141" s="1"/>
  <c r="H34" i="141" s="1"/>
  <c r="J34" i="141" s="1"/>
  <c r="K34" i="141" s="1"/>
  <c r="L34" i="141" s="1"/>
  <c r="E35" i="141"/>
  <c r="L4" i="141"/>
  <c r="E5" i="141"/>
  <c r="K25" i="141"/>
  <c r="L25" i="141" s="1"/>
  <c r="I15" i="140"/>
  <c r="L15" i="140" s="1"/>
  <c r="I27" i="140"/>
  <c r="L27" i="140" s="1"/>
  <c r="I25" i="140"/>
  <c r="L25" i="140" s="1"/>
  <c r="I11" i="140"/>
  <c r="L11" i="140" s="1"/>
  <c r="I13" i="140"/>
  <c r="L13" i="140" s="1"/>
  <c r="I10" i="140"/>
  <c r="L10" i="140" s="1"/>
  <c r="I28" i="140"/>
  <c r="L28" i="140" s="1"/>
  <c r="I24" i="140"/>
  <c r="L24" i="140" s="1"/>
  <c r="I21" i="140"/>
  <c r="L21" i="140" s="1"/>
  <c r="I16" i="140"/>
  <c r="L16" i="140" s="1"/>
  <c r="I26" i="140"/>
  <c r="L26" i="140" s="1"/>
  <c r="I19" i="140"/>
  <c r="L19" i="140" s="1"/>
  <c r="I14" i="140"/>
  <c r="L14" i="140" s="1"/>
  <c r="I20" i="140"/>
  <c r="L20" i="140" s="1"/>
  <c r="I12" i="140"/>
  <c r="L12" i="140" s="1"/>
  <c r="I18" i="140"/>
  <c r="L18" i="140" s="1"/>
  <c r="I5" i="140"/>
  <c r="L5" i="140" s="1"/>
  <c r="I22" i="140"/>
  <c r="L22" i="140" s="1"/>
  <c r="H30" i="140"/>
  <c r="J5" i="139"/>
  <c r="J12" i="139"/>
  <c r="K12" i="139" s="1"/>
  <c r="L12" i="139" s="1"/>
  <c r="J15" i="139"/>
  <c r="K15" i="139" s="1"/>
  <c r="L15" i="139" s="1"/>
  <c r="C31" i="139"/>
  <c r="K23" i="139"/>
  <c r="L23" i="139" s="1"/>
  <c r="K27" i="139"/>
  <c r="L27" i="139" s="1"/>
  <c r="K7" i="139"/>
  <c r="L7" i="139" s="1"/>
  <c r="E28" i="139"/>
  <c r="E31" i="139" s="1"/>
  <c r="K35" i="139"/>
  <c r="K16" i="139"/>
  <c r="L16" i="139" s="1"/>
  <c r="K20" i="139"/>
  <c r="L20" i="139" s="1"/>
  <c r="K14" i="139"/>
  <c r="L14" i="139" s="1"/>
  <c r="K18" i="139"/>
  <c r="L18" i="139" s="1"/>
  <c r="K26" i="139"/>
  <c r="L26" i="139" s="1"/>
  <c r="K19" i="139"/>
  <c r="L19" i="139" s="1"/>
  <c r="K25" i="139"/>
  <c r="L25" i="139" s="1"/>
  <c r="K24" i="139"/>
  <c r="L24" i="139" s="1"/>
  <c r="K29" i="139"/>
  <c r="L29" i="139" s="1"/>
  <c r="L35" i="139"/>
  <c r="D37" i="138"/>
  <c r="D7" i="138"/>
  <c r="I6" i="152" l="1"/>
  <c r="L4" i="152"/>
  <c r="L25" i="148"/>
  <c r="M25" i="148"/>
  <c r="M12" i="151"/>
  <c r="N12" i="151" s="1"/>
  <c r="M24" i="151"/>
  <c r="N24" i="151" s="1"/>
  <c r="M19" i="151"/>
  <c r="N19" i="151" s="1"/>
  <c r="I22" i="153"/>
  <c r="L22" i="153" s="1"/>
  <c r="M22" i="153" s="1"/>
  <c r="N22" i="153" s="1"/>
  <c r="I23" i="152"/>
  <c r="L23" i="152" s="1"/>
  <c r="M23" i="152" s="1"/>
  <c r="N23" i="152" s="1"/>
  <c r="I22" i="149"/>
  <c r="L22" i="149" s="1"/>
  <c r="I22" i="151"/>
  <c r="L22" i="151" s="1"/>
  <c r="H23" i="148"/>
  <c r="K23" i="148" s="1"/>
  <c r="K24" i="147"/>
  <c r="L24" i="147" s="1"/>
  <c r="M24" i="147" s="1"/>
  <c r="M32" i="151"/>
  <c r="N32" i="151" s="1"/>
  <c r="M22" i="156"/>
  <c r="L36" i="156"/>
  <c r="M17" i="149"/>
  <c r="N17" i="149" s="1"/>
  <c r="M30" i="149"/>
  <c r="N30" i="149" s="1"/>
  <c r="M30" i="151"/>
  <c r="N30" i="151"/>
  <c r="M22" i="157"/>
  <c r="L36" i="157"/>
  <c r="Q77" i="157" s="1"/>
  <c r="M26" i="149"/>
  <c r="N26" i="149"/>
  <c r="L11" i="148"/>
  <c r="M11" i="148"/>
  <c r="M20" i="151"/>
  <c r="N20" i="151"/>
  <c r="L10" i="152"/>
  <c r="L35" i="148"/>
  <c r="M35" i="148"/>
  <c r="M17" i="152"/>
  <c r="N17" i="152" s="1"/>
  <c r="M10" i="151"/>
  <c r="N10" i="151" s="1"/>
  <c r="L9" i="153"/>
  <c r="M34" i="151"/>
  <c r="N34" i="151"/>
  <c r="L29" i="141"/>
  <c r="K4" i="144"/>
  <c r="K5" i="144" s="1"/>
  <c r="L14" i="148"/>
  <c r="M14" i="148"/>
  <c r="N31" i="151"/>
  <c r="M31" i="151"/>
  <c r="H6" i="148"/>
  <c r="K4" i="148"/>
  <c r="M17" i="151"/>
  <c r="N17" i="151" s="1"/>
  <c r="M25" i="151"/>
  <c r="N25" i="151" s="1"/>
  <c r="M11" i="151"/>
  <c r="N11" i="151"/>
  <c r="M15" i="151"/>
  <c r="N15" i="151" s="1"/>
  <c r="M25" i="149"/>
  <c r="N25" i="149" s="1"/>
  <c r="L9" i="149"/>
  <c r="M29" i="151"/>
  <c r="N29" i="151"/>
  <c r="I5" i="153"/>
  <c r="L4" i="153"/>
  <c r="M21" i="151"/>
  <c r="N21" i="151"/>
  <c r="M14" i="151"/>
  <c r="N14" i="151" s="1"/>
  <c r="M33" i="149"/>
  <c r="N33" i="149" s="1"/>
  <c r="M28" i="151"/>
  <c r="N28" i="151" s="1"/>
  <c r="K10" i="148"/>
  <c r="M29" i="149"/>
  <c r="N29" i="149" s="1"/>
  <c r="M12" i="149"/>
  <c r="N12" i="149"/>
  <c r="I35" i="151"/>
  <c r="L9" i="151"/>
  <c r="M26" i="151"/>
  <c r="N26" i="151" s="1"/>
  <c r="M13" i="149"/>
  <c r="N13" i="149"/>
  <c r="M21" i="155"/>
  <c r="M36" i="155" s="1"/>
  <c r="Q49" i="155" s="1"/>
  <c r="Q69" i="155" s="1"/>
  <c r="N21" i="155"/>
  <c r="N36" i="155" s="1"/>
  <c r="L36" i="155"/>
  <c r="Q71" i="155" s="1"/>
  <c r="M33" i="151"/>
  <c r="N33" i="151" s="1"/>
  <c r="M13" i="151"/>
  <c r="N13" i="151" s="1"/>
  <c r="M23" i="151"/>
  <c r="N23" i="151"/>
  <c r="M21" i="149"/>
  <c r="N21" i="149" s="1"/>
  <c r="M23" i="153"/>
  <c r="N23" i="153"/>
  <c r="L9" i="147"/>
  <c r="M9" i="147" s="1"/>
  <c r="H6" i="147"/>
  <c r="K39" i="147"/>
  <c r="L39" i="147" s="1"/>
  <c r="M39" i="147" s="1"/>
  <c r="K25" i="146"/>
  <c r="L25" i="146"/>
  <c r="H8" i="146"/>
  <c r="H10" i="146"/>
  <c r="J10" i="146" s="1"/>
  <c r="K10" i="146" s="1"/>
  <c r="L10" i="146" s="1"/>
  <c r="L34" i="147"/>
  <c r="M34" i="147" s="1"/>
  <c r="K4" i="147"/>
  <c r="K6" i="147" s="1"/>
  <c r="K18" i="146"/>
  <c r="L18" i="146"/>
  <c r="L36" i="140"/>
  <c r="H33" i="147"/>
  <c r="K33" i="147" s="1"/>
  <c r="H5" i="146"/>
  <c r="K17" i="146"/>
  <c r="L17" i="146" s="1"/>
  <c r="L30" i="147"/>
  <c r="M30" i="147" s="1"/>
  <c r="H10" i="145"/>
  <c r="J10" i="145" s="1"/>
  <c r="K10" i="145" s="1"/>
  <c r="L10" i="145" s="1"/>
  <c r="H18" i="145"/>
  <c r="J18" i="145" s="1"/>
  <c r="K18" i="145" s="1"/>
  <c r="L18" i="145" s="1"/>
  <c r="K25" i="143"/>
  <c r="L25" i="143"/>
  <c r="M4" i="144"/>
  <c r="M5" i="144" s="1"/>
  <c r="K18" i="143"/>
  <c r="L18" i="143"/>
  <c r="K15" i="143"/>
  <c r="L15" i="143" s="1"/>
  <c r="I10" i="144"/>
  <c r="K10" i="144" s="1"/>
  <c r="L10" i="144" s="1"/>
  <c r="M10" i="144" s="1"/>
  <c r="I8" i="144"/>
  <c r="K32" i="143"/>
  <c r="L32" i="143" s="1"/>
  <c r="L20" i="144"/>
  <c r="M20" i="144"/>
  <c r="K33" i="143"/>
  <c r="L33" i="143" s="1"/>
  <c r="K31" i="143"/>
  <c r="L31" i="143" s="1"/>
  <c r="K16" i="143"/>
  <c r="L16" i="143" s="1"/>
  <c r="H35" i="143"/>
  <c r="J9" i="143"/>
  <c r="L27" i="144"/>
  <c r="M27" i="144" s="1"/>
  <c r="H6" i="145"/>
  <c r="J6" i="145" s="1"/>
  <c r="K6" i="145" s="1"/>
  <c r="L6" i="145" s="1"/>
  <c r="H4" i="145"/>
  <c r="K21" i="143"/>
  <c r="L21" i="143" s="1"/>
  <c r="D50" i="143"/>
  <c r="B103" i="143"/>
  <c r="K30" i="143"/>
  <c r="L30" i="143" s="1"/>
  <c r="L24" i="144"/>
  <c r="M24" i="144" s="1"/>
  <c r="L14" i="144"/>
  <c r="M14" i="144" s="1"/>
  <c r="D46" i="145"/>
  <c r="D100" i="145" s="1"/>
  <c r="B100" i="145"/>
  <c r="L11" i="144"/>
  <c r="M11" i="144" s="1"/>
  <c r="K17" i="143"/>
  <c r="L17" i="143"/>
  <c r="K27" i="143"/>
  <c r="L27" i="143" s="1"/>
  <c r="K24" i="143"/>
  <c r="L24" i="143"/>
  <c r="L34" i="144"/>
  <c r="M34" i="144" s="1"/>
  <c r="K19" i="143"/>
  <c r="L19" i="143" s="1"/>
  <c r="K14" i="143"/>
  <c r="L14" i="143" s="1"/>
  <c r="L9" i="144"/>
  <c r="M9" i="144"/>
  <c r="K13" i="143"/>
  <c r="L13" i="143" s="1"/>
  <c r="D50" i="144"/>
  <c r="D103" i="144" s="1"/>
  <c r="B103" i="144"/>
  <c r="K11" i="143"/>
  <c r="L11" i="143" s="1"/>
  <c r="K20" i="145"/>
  <c r="L20" i="145" s="1"/>
  <c r="H24" i="142"/>
  <c r="J24" i="142" s="1"/>
  <c r="K27" i="142"/>
  <c r="L27" i="142" s="1"/>
  <c r="H25" i="142"/>
  <c r="J25" i="142" s="1"/>
  <c r="K25" i="142" s="1"/>
  <c r="L25" i="142" s="1"/>
  <c r="H11" i="142"/>
  <c r="J11" i="142" s="1"/>
  <c r="K11" i="142" s="1"/>
  <c r="L11" i="142" s="1"/>
  <c r="H5" i="141"/>
  <c r="K36" i="142"/>
  <c r="L36" i="142" s="1"/>
  <c r="D53" i="142"/>
  <c r="B106" i="142"/>
  <c r="K22" i="142"/>
  <c r="L22" i="142" s="1"/>
  <c r="K31" i="142"/>
  <c r="L31" i="142" s="1"/>
  <c r="K35" i="142"/>
  <c r="L35" i="142" s="1"/>
  <c r="K20" i="142"/>
  <c r="L20" i="142" s="1"/>
  <c r="D49" i="141"/>
  <c r="B102" i="141"/>
  <c r="K34" i="142"/>
  <c r="L34" i="142" s="1"/>
  <c r="L5" i="141"/>
  <c r="J5" i="141"/>
  <c r="I30" i="140"/>
  <c r="K13" i="139"/>
  <c r="L13" i="139" s="1"/>
  <c r="K8" i="139"/>
  <c r="L8" i="139" s="1"/>
  <c r="K4" i="139"/>
  <c r="G27" i="138"/>
  <c r="G14" i="138"/>
  <c r="O70" i="138"/>
  <c r="G13" i="138"/>
  <c r="G16" i="138"/>
  <c r="G17" i="138"/>
  <c r="G18" i="138"/>
  <c r="G19" i="138"/>
  <c r="G20" i="138"/>
  <c r="G21" i="138"/>
  <c r="G22" i="138"/>
  <c r="G24" i="138"/>
  <c r="G25" i="138"/>
  <c r="G26" i="138"/>
  <c r="G28" i="138"/>
  <c r="G29" i="138"/>
  <c r="G30" i="138"/>
  <c r="G31" i="138"/>
  <c r="G32" i="138"/>
  <c r="G33" i="138"/>
  <c r="G35" i="138"/>
  <c r="G36" i="138"/>
  <c r="G12" i="138"/>
  <c r="G11" i="138"/>
  <c r="G10" i="138"/>
  <c r="G5" i="138"/>
  <c r="G6" i="138"/>
  <c r="G4" i="138"/>
  <c r="G7" i="138" s="1"/>
  <c r="H36" i="148" l="1"/>
  <c r="I35" i="149"/>
  <c r="I36" i="152"/>
  <c r="G37" i="138"/>
  <c r="Q71" i="156"/>
  <c r="Q73" i="156" s="1"/>
  <c r="L35" i="149"/>
  <c r="Q77" i="149" s="1"/>
  <c r="M9" i="149"/>
  <c r="N9" i="149"/>
  <c r="M4" i="148"/>
  <c r="M6" i="148" s="1"/>
  <c r="K6" i="148"/>
  <c r="P79" i="148" s="1"/>
  <c r="M9" i="153"/>
  <c r="L35" i="153"/>
  <c r="N22" i="156"/>
  <c r="N36" i="156" s="1"/>
  <c r="M36" i="156"/>
  <c r="Q49" i="156" s="1"/>
  <c r="Q69" i="156" s="1"/>
  <c r="N4" i="153"/>
  <c r="N5" i="153" s="1"/>
  <c r="L5" i="153"/>
  <c r="L4" i="139"/>
  <c r="L10" i="148"/>
  <c r="K36" i="148"/>
  <c r="N22" i="157"/>
  <c r="N36" i="157" s="1"/>
  <c r="M36" i="157"/>
  <c r="Q49" i="157" s="1"/>
  <c r="Q75" i="157" s="1"/>
  <c r="Q79" i="157" s="1"/>
  <c r="M22" i="151"/>
  <c r="N22" i="151" s="1"/>
  <c r="L6" i="152"/>
  <c r="N4" i="152"/>
  <c r="N6" i="152" s="1"/>
  <c r="Q73" i="155"/>
  <c r="I35" i="153"/>
  <c r="M9" i="151"/>
  <c r="N9" i="151"/>
  <c r="L35" i="151"/>
  <c r="Q81" i="151" s="1"/>
  <c r="L23" i="148"/>
  <c r="M23" i="148"/>
  <c r="L36" i="152"/>
  <c r="M10" i="152"/>
  <c r="M22" i="149"/>
  <c r="N22" i="149"/>
  <c r="H46" i="147"/>
  <c r="K46" i="147"/>
  <c r="P97" i="147" s="1"/>
  <c r="H6" i="146"/>
  <c r="J5" i="146"/>
  <c r="L20" i="147"/>
  <c r="J8" i="146"/>
  <c r="H35" i="146"/>
  <c r="L33" i="147"/>
  <c r="M33" i="147" s="1"/>
  <c r="M4" i="147"/>
  <c r="M6" i="147" s="1"/>
  <c r="J4" i="145"/>
  <c r="J31" i="145" s="1"/>
  <c r="O76" i="145" s="1"/>
  <c r="H31" i="145"/>
  <c r="K9" i="143"/>
  <c r="J35" i="143"/>
  <c r="I35" i="144"/>
  <c r="K8" i="144"/>
  <c r="H4" i="143"/>
  <c r="D103" i="143"/>
  <c r="K24" i="142"/>
  <c r="H9" i="142"/>
  <c r="H10" i="142"/>
  <c r="J10" i="142" s="1"/>
  <c r="H8" i="141"/>
  <c r="D102" i="141"/>
  <c r="H4" i="142"/>
  <c r="J4" i="142" s="1"/>
  <c r="D106" i="142"/>
  <c r="K42" i="138"/>
  <c r="L42" i="138" s="1"/>
  <c r="F27" i="138"/>
  <c r="C27" i="138"/>
  <c r="M35" i="151" l="1"/>
  <c r="Q48" i="151" s="1"/>
  <c r="Q79" i="151" s="1"/>
  <c r="Q83" i="151" s="1"/>
  <c r="N35" i="151"/>
  <c r="N9" i="153"/>
  <c r="N35" i="153" s="1"/>
  <c r="M35" i="153"/>
  <c r="Q48" i="153" s="1"/>
  <c r="Q71" i="153" s="1"/>
  <c r="M10" i="148"/>
  <c r="M36" i="148" s="1"/>
  <c r="L36" i="148"/>
  <c r="N35" i="149"/>
  <c r="M35" i="149"/>
  <c r="Q48" i="149" s="1"/>
  <c r="Q75" i="149" s="1"/>
  <c r="Q79" i="149" s="1"/>
  <c r="Q73" i="153"/>
  <c r="Q75" i="153" s="1"/>
  <c r="N10" i="152"/>
  <c r="N36" i="152" s="1"/>
  <c r="M36" i="152"/>
  <c r="Q77" i="152"/>
  <c r="M20" i="147"/>
  <c r="M46" i="147" s="1"/>
  <c r="L46" i="147"/>
  <c r="P59" i="147" s="1"/>
  <c r="P95" i="147" s="1"/>
  <c r="L5" i="146"/>
  <c r="L6" i="146" s="1"/>
  <c r="J6" i="146"/>
  <c r="K8" i="146"/>
  <c r="K35" i="146" s="1"/>
  <c r="O49" i="146" s="1"/>
  <c r="O81" i="146" s="1"/>
  <c r="J35" i="146"/>
  <c r="L8" i="146"/>
  <c r="L35" i="146" s="1"/>
  <c r="L9" i="143"/>
  <c r="L35" i="143" s="1"/>
  <c r="K35" i="143"/>
  <c r="K4" i="145"/>
  <c r="K31" i="145" s="1"/>
  <c r="O45" i="145" s="1"/>
  <c r="O74" i="145" s="1"/>
  <c r="O78" i="145" s="1"/>
  <c r="H5" i="143"/>
  <c r="J4" i="143"/>
  <c r="L8" i="144"/>
  <c r="L35" i="144" s="1"/>
  <c r="P49" i="144" s="1"/>
  <c r="P70" i="144" s="1"/>
  <c r="K35" i="144"/>
  <c r="P72" i="144" s="1"/>
  <c r="M8" i="144"/>
  <c r="M35" i="144" s="1"/>
  <c r="H6" i="142"/>
  <c r="J6" i="142"/>
  <c r="H37" i="142"/>
  <c r="L24" i="142"/>
  <c r="K10" i="142"/>
  <c r="L10" i="142" s="1"/>
  <c r="J9" i="142"/>
  <c r="J37" i="142" s="1"/>
  <c r="H35" i="141"/>
  <c r="J8" i="141"/>
  <c r="F14" i="138"/>
  <c r="C14" i="138"/>
  <c r="P49" i="148" l="1"/>
  <c r="P77" i="148" s="1"/>
  <c r="P81" i="148" s="1"/>
  <c r="Q49" i="152"/>
  <c r="Q75" i="152" s="1"/>
  <c r="Q79" i="152" s="1"/>
  <c r="P99" i="147"/>
  <c r="O83" i="146"/>
  <c r="O85" i="146" s="1"/>
  <c r="L4" i="145"/>
  <c r="L31" i="145" s="1"/>
  <c r="L4" i="143"/>
  <c r="L5" i="143" s="1"/>
  <c r="J5" i="143"/>
  <c r="O73" i="143" s="1"/>
  <c r="O49" i="143"/>
  <c r="O71" i="143" s="1"/>
  <c r="O76" i="142"/>
  <c r="P74" i="144"/>
  <c r="L4" i="142"/>
  <c r="L6" i="142" s="1"/>
  <c r="K8" i="141"/>
  <c r="K35" i="141" s="1"/>
  <c r="O48" i="141" s="1"/>
  <c r="O69" i="141" s="1"/>
  <c r="J35" i="141"/>
  <c r="O71" i="141" s="1"/>
  <c r="K9" i="142"/>
  <c r="K37" i="142" s="1"/>
  <c r="O52" i="142" s="1"/>
  <c r="K41" i="138"/>
  <c r="L41" i="138" s="1"/>
  <c r="O73" i="141" l="1"/>
  <c r="O75" i="143"/>
  <c r="L9" i="142"/>
  <c r="L37" i="142" s="1"/>
  <c r="O74" i="142"/>
  <c r="O78" i="142" s="1"/>
  <c r="L8" i="141"/>
  <c r="L35" i="141" s="1"/>
  <c r="C6" i="138"/>
  <c r="E6" i="138" s="1"/>
  <c r="C5" i="138"/>
  <c r="F5" i="138"/>
  <c r="C4" i="138"/>
  <c r="F4" i="138"/>
  <c r="F7" i="138" s="1"/>
  <c r="B106" i="138"/>
  <c r="D106" i="138" s="1"/>
  <c r="B104" i="138"/>
  <c r="D104" i="138" s="1"/>
  <c r="B102" i="138"/>
  <c r="D102" i="138" s="1"/>
  <c r="I6" i="138" s="1"/>
  <c r="B100" i="138"/>
  <c r="D100" i="138" s="1"/>
  <c r="B98" i="138"/>
  <c r="D98" i="138" s="1"/>
  <c r="B96" i="138"/>
  <c r="D96" i="138" s="1"/>
  <c r="B94" i="138"/>
  <c r="D94" i="138" s="1"/>
  <c r="B92" i="138"/>
  <c r="D92" i="138" s="1"/>
  <c r="B90" i="138"/>
  <c r="D90" i="138" s="1"/>
  <c r="I28" i="138" s="1"/>
  <c r="B88" i="138"/>
  <c r="D88" i="138" s="1"/>
  <c r="I27" i="138" s="1"/>
  <c r="B86" i="138"/>
  <c r="D86" i="138" s="1"/>
  <c r="I26" i="138" s="1"/>
  <c r="B84" i="138"/>
  <c r="D84" i="138" s="1"/>
  <c r="B82" i="138"/>
  <c r="D82" i="138" s="1"/>
  <c r="B80" i="138"/>
  <c r="D80" i="138" s="1"/>
  <c r="I5" i="138" s="1"/>
  <c r="B78" i="138"/>
  <c r="D78" i="138" s="1"/>
  <c r="B76" i="138"/>
  <c r="D76" i="138" s="1"/>
  <c r="B74" i="138"/>
  <c r="D74" i="138" s="1"/>
  <c r="B72" i="138"/>
  <c r="D72" i="138" s="1"/>
  <c r="B70" i="138"/>
  <c r="D70" i="138" s="1"/>
  <c r="I19" i="138" s="1"/>
  <c r="B68" i="138"/>
  <c r="D68" i="138" s="1"/>
  <c r="B66" i="138"/>
  <c r="D66" i="138" s="1"/>
  <c r="I17" i="138" s="1"/>
  <c r="B64" i="138"/>
  <c r="D64" i="138" s="1"/>
  <c r="I16" i="138" s="1"/>
  <c r="B62" i="138"/>
  <c r="D62" i="138" s="1"/>
  <c r="I4" i="138" s="1"/>
  <c r="B60" i="138"/>
  <c r="D60" i="138" s="1"/>
  <c r="I14" i="138" s="1"/>
  <c r="B58" i="138"/>
  <c r="D58" i="138" s="1"/>
  <c r="B56" i="138"/>
  <c r="D56" i="138" s="1"/>
  <c r="I12" i="138" s="1"/>
  <c r="B54" i="138"/>
  <c r="D54" i="138" s="1"/>
  <c r="I11" i="138" s="1"/>
  <c r="B52" i="138"/>
  <c r="D52" i="138" s="1"/>
  <c r="I10" i="138" s="1"/>
  <c r="J47" i="138"/>
  <c r="J49" i="138" s="1"/>
  <c r="C47" i="138"/>
  <c r="J43" i="138"/>
  <c r="C36" i="138"/>
  <c r="E36" i="138" s="1"/>
  <c r="J36" i="138" s="1"/>
  <c r="C35" i="138"/>
  <c r="E35" i="138" s="1"/>
  <c r="J35" i="138" s="1"/>
  <c r="E34" i="138"/>
  <c r="J34" i="138" s="1"/>
  <c r="C33" i="138"/>
  <c r="E33" i="138" s="1"/>
  <c r="J33" i="138" s="1"/>
  <c r="C32" i="138"/>
  <c r="E32" i="138" s="1"/>
  <c r="J32" i="138" s="1"/>
  <c r="C31" i="138"/>
  <c r="E31" i="138" s="1"/>
  <c r="J31" i="138" s="1"/>
  <c r="C30" i="138"/>
  <c r="E30" i="138" s="1"/>
  <c r="J30" i="138" s="1"/>
  <c r="C29" i="138"/>
  <c r="E29" i="138" s="1"/>
  <c r="J29" i="138" s="1"/>
  <c r="C28" i="138"/>
  <c r="E28" i="138" s="1"/>
  <c r="E27" i="138"/>
  <c r="C26" i="138"/>
  <c r="E26" i="138" s="1"/>
  <c r="F25" i="138"/>
  <c r="C25" i="138"/>
  <c r="E25" i="138" s="1"/>
  <c r="J25" i="138" s="1"/>
  <c r="C24" i="138"/>
  <c r="E24" i="138" s="1"/>
  <c r="E23" i="138"/>
  <c r="J23" i="138" s="1"/>
  <c r="C22" i="138"/>
  <c r="E22" i="138" s="1"/>
  <c r="J22" i="138" s="1"/>
  <c r="C21" i="138"/>
  <c r="E21" i="138" s="1"/>
  <c r="J21" i="138" s="1"/>
  <c r="C20" i="138"/>
  <c r="E20" i="138" s="1"/>
  <c r="J20" i="138" s="1"/>
  <c r="C19" i="138"/>
  <c r="E19" i="138" s="1"/>
  <c r="J19" i="138" s="1"/>
  <c r="F18" i="138"/>
  <c r="C18" i="138"/>
  <c r="E18" i="138" s="1"/>
  <c r="J18" i="138" s="1"/>
  <c r="C17" i="138"/>
  <c r="E17" i="138" s="1"/>
  <c r="C16" i="138"/>
  <c r="E16" i="138" s="1"/>
  <c r="E15" i="138"/>
  <c r="J15" i="138" s="1"/>
  <c r="E14" i="138"/>
  <c r="C13" i="138"/>
  <c r="E13" i="138" s="1"/>
  <c r="C12" i="138"/>
  <c r="E12" i="138" s="1"/>
  <c r="C11" i="138"/>
  <c r="E11" i="138" s="1"/>
  <c r="C10" i="138"/>
  <c r="I37" i="137"/>
  <c r="J37" i="137" s="1"/>
  <c r="J27" i="138" l="1"/>
  <c r="J26" i="138"/>
  <c r="K26" i="138" s="1"/>
  <c r="L26" i="138" s="1"/>
  <c r="F37" i="138"/>
  <c r="I7" i="138"/>
  <c r="J13" i="138"/>
  <c r="J24" i="138"/>
  <c r="K24" i="138" s="1"/>
  <c r="L27" i="138"/>
  <c r="L22" i="138"/>
  <c r="K4" i="138"/>
  <c r="C7" i="138"/>
  <c r="C37" i="138"/>
  <c r="I37" i="138"/>
  <c r="K30" i="138"/>
  <c r="L30" i="138" s="1"/>
  <c r="K5" i="138"/>
  <c r="K27" i="138"/>
  <c r="K31" i="138"/>
  <c r="L31" i="138" s="1"/>
  <c r="E4" i="138"/>
  <c r="K6" i="138"/>
  <c r="E5" i="138"/>
  <c r="K18" i="138"/>
  <c r="L18" i="138" s="1"/>
  <c r="K32" i="138"/>
  <c r="L32" i="138" s="1"/>
  <c r="K29" i="138"/>
  <c r="L29" i="138" s="1"/>
  <c r="K23" i="138"/>
  <c r="L23" i="138" s="1"/>
  <c r="K43" i="138"/>
  <c r="K36" i="138"/>
  <c r="L36" i="138" s="1"/>
  <c r="K19" i="138"/>
  <c r="L19" i="138" s="1"/>
  <c r="K22" i="138"/>
  <c r="K34" i="138"/>
  <c r="L34" i="138" s="1"/>
  <c r="K20" i="138"/>
  <c r="L20" i="138" s="1"/>
  <c r="E10" i="138"/>
  <c r="K33" i="138"/>
  <c r="L33" i="138" s="1"/>
  <c r="L43" i="138"/>
  <c r="B75" i="137"/>
  <c r="K39" i="127"/>
  <c r="N74" i="137"/>
  <c r="J10" i="138" l="1"/>
  <c r="E37" i="138"/>
  <c r="K13" i="138"/>
  <c r="L13" i="138" s="1"/>
  <c r="E7" i="138"/>
  <c r="K7" i="138"/>
  <c r="O53" i="138" s="1"/>
  <c r="L24" i="138"/>
  <c r="K21" i="138"/>
  <c r="L21" i="138" s="1"/>
  <c r="K25" i="138"/>
  <c r="L25" i="138" s="1"/>
  <c r="K15" i="138"/>
  <c r="L15" i="138" s="1"/>
  <c r="K35" i="138"/>
  <c r="L35" i="138" s="1"/>
  <c r="K37" i="137"/>
  <c r="I38" i="137"/>
  <c r="C9" i="137"/>
  <c r="C18" i="137"/>
  <c r="E18" i="137" s="1"/>
  <c r="C29" i="137"/>
  <c r="E29" i="137" s="1"/>
  <c r="B97" i="137"/>
  <c r="K44" i="127"/>
  <c r="F18" i="137"/>
  <c r="D75" i="137"/>
  <c r="H18" i="137" s="1"/>
  <c r="J36" i="137"/>
  <c r="K36" i="137" s="1"/>
  <c r="C17" i="137"/>
  <c r="K10" i="138" l="1"/>
  <c r="L10" i="138" s="1"/>
  <c r="K38" i="137"/>
  <c r="J38" i="137"/>
  <c r="F9" i="137"/>
  <c r="E9" i="137"/>
  <c r="B57" i="137"/>
  <c r="D57" i="137" s="1"/>
  <c r="K36" i="127"/>
  <c r="C8" i="137"/>
  <c r="E8" i="137" s="1"/>
  <c r="C23" i="137"/>
  <c r="E23" i="137" s="1"/>
  <c r="B101" i="137"/>
  <c r="D101" i="137" s="1"/>
  <c r="H31" i="137" s="1"/>
  <c r="B99" i="137"/>
  <c r="D99" i="137" s="1"/>
  <c r="H30" i="137" s="1"/>
  <c r="D97" i="137"/>
  <c r="B95" i="137"/>
  <c r="D95" i="137" s="1"/>
  <c r="B93" i="137"/>
  <c r="D93" i="137" s="1"/>
  <c r="H27" i="137" s="1"/>
  <c r="B91" i="137"/>
  <c r="D91" i="137" s="1"/>
  <c r="H26" i="137" s="1"/>
  <c r="B89" i="137"/>
  <c r="D89" i="137" s="1"/>
  <c r="H25" i="137" s="1"/>
  <c r="B87" i="137"/>
  <c r="D87" i="137" s="1"/>
  <c r="H24" i="137" s="1"/>
  <c r="B85" i="137"/>
  <c r="D85" i="137" s="1"/>
  <c r="H23" i="137" s="1"/>
  <c r="B83" i="137"/>
  <c r="D83" i="137" s="1"/>
  <c r="H22" i="137" s="1"/>
  <c r="B81" i="137"/>
  <c r="D81" i="137" s="1"/>
  <c r="H21" i="137" s="1"/>
  <c r="B79" i="137"/>
  <c r="D79" i="137" s="1"/>
  <c r="B77" i="137"/>
  <c r="D77" i="137" s="1"/>
  <c r="B73" i="137"/>
  <c r="D73" i="137" s="1"/>
  <c r="B71" i="137"/>
  <c r="D71" i="137" s="1"/>
  <c r="H16" i="137" s="1"/>
  <c r="B69" i="137"/>
  <c r="D69" i="137" s="1"/>
  <c r="B67" i="137"/>
  <c r="D67" i="137" s="1"/>
  <c r="B65" i="137"/>
  <c r="D65" i="137" s="1"/>
  <c r="H13" i="137" s="1"/>
  <c r="B63" i="137"/>
  <c r="D63" i="137" s="1"/>
  <c r="B61" i="137"/>
  <c r="D61" i="137" s="1"/>
  <c r="H11" i="137" s="1"/>
  <c r="B59" i="137"/>
  <c r="D59" i="137" s="1"/>
  <c r="H10" i="137" s="1"/>
  <c r="B55" i="137"/>
  <c r="D55" i="137" s="1"/>
  <c r="H8" i="137" s="1"/>
  <c r="B53" i="137"/>
  <c r="D53" i="137" s="1"/>
  <c r="B51" i="137"/>
  <c r="D51" i="137" s="1"/>
  <c r="H6" i="137" s="1"/>
  <c r="B49" i="137"/>
  <c r="D49" i="137" s="1"/>
  <c r="H5" i="137" s="1"/>
  <c r="B47" i="137"/>
  <c r="D47" i="137" s="1"/>
  <c r="H4" i="137" s="1"/>
  <c r="I42" i="137"/>
  <c r="C42" i="137"/>
  <c r="D32" i="137"/>
  <c r="C31" i="137"/>
  <c r="E31" i="137" s="1"/>
  <c r="C30" i="137"/>
  <c r="E30" i="137" s="1"/>
  <c r="C28" i="137"/>
  <c r="E28" i="137" s="1"/>
  <c r="I28" i="137" s="1"/>
  <c r="C27" i="137"/>
  <c r="E27" i="137" s="1"/>
  <c r="C26" i="137"/>
  <c r="E26" i="137" s="1"/>
  <c r="C25" i="137"/>
  <c r="E25" i="137" s="1"/>
  <c r="C24" i="137"/>
  <c r="E24" i="137" s="1"/>
  <c r="F22" i="137"/>
  <c r="C22" i="137"/>
  <c r="E22" i="137" s="1"/>
  <c r="C21" i="137"/>
  <c r="E21" i="137" s="1"/>
  <c r="F20" i="137"/>
  <c r="C20" i="137"/>
  <c r="E20" i="137" s="1"/>
  <c r="C19" i="137"/>
  <c r="E19" i="137" s="1"/>
  <c r="I19" i="137" s="1"/>
  <c r="E17" i="137"/>
  <c r="I17" i="137" s="1"/>
  <c r="C16" i="137"/>
  <c r="E16" i="137" s="1"/>
  <c r="C15" i="137"/>
  <c r="E15" i="137" s="1"/>
  <c r="C14" i="137"/>
  <c r="E14" i="137" s="1"/>
  <c r="I14" i="137" s="1"/>
  <c r="C13" i="137"/>
  <c r="E13" i="137" s="1"/>
  <c r="F12" i="137"/>
  <c r="C12" i="137"/>
  <c r="E12" i="137" s="1"/>
  <c r="C10" i="137"/>
  <c r="E10" i="137" s="1"/>
  <c r="C7" i="137"/>
  <c r="E7" i="137" s="1"/>
  <c r="I7" i="137" s="1"/>
  <c r="C6" i="137"/>
  <c r="E6" i="137" s="1"/>
  <c r="C5" i="137"/>
  <c r="E5" i="137" s="1"/>
  <c r="C4" i="137"/>
  <c r="E4" i="137" s="1"/>
  <c r="C11" i="137"/>
  <c r="E11" i="137" s="1"/>
  <c r="I26" i="137" l="1"/>
  <c r="B58" i="137"/>
  <c r="B55" i="139"/>
  <c r="D55" i="139" s="1"/>
  <c r="H9" i="139" s="1"/>
  <c r="B63" i="138"/>
  <c r="D63" i="138" s="1"/>
  <c r="H4" i="138" s="1"/>
  <c r="I22" i="137"/>
  <c r="J22" i="137" s="1"/>
  <c r="K22" i="137" s="1"/>
  <c r="I16" i="137"/>
  <c r="I24" i="137"/>
  <c r="I25" i="137"/>
  <c r="I12" i="137"/>
  <c r="J12" i="137" s="1"/>
  <c r="K12" i="137" s="1"/>
  <c r="I20" i="137"/>
  <c r="J20" i="137" s="1"/>
  <c r="K20" i="137" s="1"/>
  <c r="I27" i="137"/>
  <c r="F32" i="137"/>
  <c r="J28" i="137"/>
  <c r="K28" i="137" s="1"/>
  <c r="I44" i="137"/>
  <c r="J17" i="137"/>
  <c r="K17" i="137" s="1"/>
  <c r="J7" i="137"/>
  <c r="K7" i="137" s="1"/>
  <c r="C32" i="137"/>
  <c r="H32" i="137"/>
  <c r="E32" i="137"/>
  <c r="J14" i="137"/>
  <c r="K14" i="137" s="1"/>
  <c r="J19" i="137"/>
  <c r="K19" i="137" s="1"/>
  <c r="J9" i="139" l="1"/>
  <c r="J4" i="138"/>
  <c r="C48" i="136"/>
  <c r="I48" i="136"/>
  <c r="J41" i="136"/>
  <c r="K41" i="136" s="1"/>
  <c r="K9" i="139" l="1"/>
  <c r="L9" i="139" s="1"/>
  <c r="L4" i="138"/>
  <c r="C5" i="136"/>
  <c r="C4" i="136"/>
  <c r="C16" i="136"/>
  <c r="E16" i="136" s="1"/>
  <c r="C12" i="136"/>
  <c r="E12" i="136" s="1"/>
  <c r="C11" i="136"/>
  <c r="E11" i="136" s="1"/>
  <c r="B104" i="136"/>
  <c r="D104" i="136" s="1"/>
  <c r="H36" i="136" s="1"/>
  <c r="B102" i="136"/>
  <c r="D102" i="136" s="1"/>
  <c r="H35" i="136" s="1"/>
  <c r="B100" i="136"/>
  <c r="D100" i="136" s="1"/>
  <c r="B98" i="136"/>
  <c r="D98" i="136" s="1"/>
  <c r="B96" i="136"/>
  <c r="D96" i="136" s="1"/>
  <c r="H32" i="136" s="1"/>
  <c r="B94" i="136"/>
  <c r="D94" i="136" s="1"/>
  <c r="H31" i="136" s="1"/>
  <c r="B92" i="136"/>
  <c r="D92" i="136" s="1"/>
  <c r="H30" i="136" s="1"/>
  <c r="B90" i="136"/>
  <c r="D90" i="136" s="1"/>
  <c r="H29" i="136" s="1"/>
  <c r="B88" i="136"/>
  <c r="D88" i="136" s="1"/>
  <c r="H5" i="136" s="1"/>
  <c r="B86" i="136"/>
  <c r="D86" i="136" s="1"/>
  <c r="H27" i="136" s="1"/>
  <c r="B84" i="136"/>
  <c r="D84" i="136" s="1"/>
  <c r="H26" i="136" s="1"/>
  <c r="B82" i="136"/>
  <c r="D82" i="136" s="1"/>
  <c r="B80" i="136"/>
  <c r="D80" i="136" s="1"/>
  <c r="N78" i="136"/>
  <c r="B78" i="136"/>
  <c r="D78" i="136" s="1"/>
  <c r="H21" i="136" s="1"/>
  <c r="B76" i="136"/>
  <c r="D76" i="136" s="1"/>
  <c r="H22" i="136" s="1"/>
  <c r="B74" i="136"/>
  <c r="D74" i="136" s="1"/>
  <c r="B72" i="136"/>
  <c r="D72" i="136" s="1"/>
  <c r="H20" i="136" s="1"/>
  <c r="B70" i="136"/>
  <c r="D70" i="136" s="1"/>
  <c r="H19" i="136" s="1"/>
  <c r="B68" i="136"/>
  <c r="D68" i="136" s="1"/>
  <c r="B66" i="136"/>
  <c r="D66" i="136" s="1"/>
  <c r="B64" i="136"/>
  <c r="D64" i="136" s="1"/>
  <c r="H16" i="136" s="1"/>
  <c r="B62" i="136"/>
  <c r="D62" i="136" s="1"/>
  <c r="B60" i="136"/>
  <c r="D60" i="136" s="1"/>
  <c r="B58" i="136"/>
  <c r="D58" i="136" s="1"/>
  <c r="B56" i="136"/>
  <c r="D56" i="136" s="1"/>
  <c r="H12" i="136" s="1"/>
  <c r="B54" i="136"/>
  <c r="D54" i="136" s="1"/>
  <c r="B52" i="136"/>
  <c r="D52" i="136" s="1"/>
  <c r="H10" i="136" s="1"/>
  <c r="I46" i="136"/>
  <c r="I49" i="136" s="1"/>
  <c r="C46" i="136"/>
  <c r="I42" i="136"/>
  <c r="D37" i="136"/>
  <c r="C36" i="136"/>
  <c r="E36" i="136" s="1"/>
  <c r="C35" i="136"/>
  <c r="E35" i="136" s="1"/>
  <c r="I34" i="136"/>
  <c r="C33" i="136"/>
  <c r="E33" i="136" s="1"/>
  <c r="I33" i="136" s="1"/>
  <c r="C32" i="136"/>
  <c r="E32" i="136" s="1"/>
  <c r="C31" i="136"/>
  <c r="E31" i="136" s="1"/>
  <c r="C30" i="136"/>
  <c r="E30" i="136" s="1"/>
  <c r="C29" i="136"/>
  <c r="E29" i="136" s="1"/>
  <c r="E28" i="136"/>
  <c r="F27" i="136"/>
  <c r="C27" i="136"/>
  <c r="E27" i="136" s="1"/>
  <c r="C26" i="136"/>
  <c r="E26" i="136" s="1"/>
  <c r="F25" i="136"/>
  <c r="C25" i="136"/>
  <c r="E25" i="136" s="1"/>
  <c r="C24" i="136"/>
  <c r="E24" i="136" s="1"/>
  <c r="I24" i="136" s="1"/>
  <c r="C23" i="136"/>
  <c r="E23" i="136" s="1"/>
  <c r="I23" i="136" s="1"/>
  <c r="C22" i="136"/>
  <c r="E22" i="136" s="1"/>
  <c r="C21" i="136"/>
  <c r="E21" i="136" s="1"/>
  <c r="C20" i="136"/>
  <c r="E20" i="136" s="1"/>
  <c r="C19" i="136"/>
  <c r="E19" i="136" s="1"/>
  <c r="F18" i="136"/>
  <c r="C18" i="136"/>
  <c r="E18" i="136" s="1"/>
  <c r="E17" i="136"/>
  <c r="C15" i="136"/>
  <c r="E15" i="136" s="1"/>
  <c r="E14" i="136"/>
  <c r="C13" i="136"/>
  <c r="E13" i="136" s="1"/>
  <c r="I13" i="136" s="1"/>
  <c r="C10" i="136"/>
  <c r="D6" i="136"/>
  <c r="F6" i="136"/>
  <c r="E4" i="136" l="1"/>
  <c r="J4" i="136"/>
  <c r="E5" i="136"/>
  <c r="J5" i="136"/>
  <c r="C6" i="136"/>
  <c r="I14" i="136"/>
  <c r="J14" i="136" s="1"/>
  <c r="K14" i="136" s="1"/>
  <c r="I18" i="136"/>
  <c r="J18" i="136" s="1"/>
  <c r="I25" i="136"/>
  <c r="J25" i="136" s="1"/>
  <c r="K25" i="136" s="1"/>
  <c r="H4" i="136"/>
  <c r="J42" i="136"/>
  <c r="F37" i="136"/>
  <c r="H6" i="136"/>
  <c r="I28" i="136"/>
  <c r="J28" i="136" s="1"/>
  <c r="K28" i="136" s="1"/>
  <c r="C37" i="136"/>
  <c r="H11" i="136"/>
  <c r="J23" i="136"/>
  <c r="K23" i="136" s="1"/>
  <c r="J13" i="136"/>
  <c r="K13" i="136" s="1"/>
  <c r="J33" i="136"/>
  <c r="K33" i="136" s="1"/>
  <c r="J24" i="136"/>
  <c r="K24" i="136" s="1"/>
  <c r="I15" i="136"/>
  <c r="I17" i="136"/>
  <c r="I20" i="136"/>
  <c r="I27" i="136"/>
  <c r="E10" i="136"/>
  <c r="K42" i="136"/>
  <c r="I38" i="135"/>
  <c r="D41" i="135"/>
  <c r="D8" i="135"/>
  <c r="J6" i="136" l="1"/>
  <c r="N53" i="136" s="1"/>
  <c r="K18" i="136"/>
  <c r="H37" i="136"/>
  <c r="J17" i="136"/>
  <c r="K17" i="136" s="1"/>
  <c r="J15" i="136"/>
  <c r="K15" i="136" s="1"/>
  <c r="E37" i="136"/>
  <c r="J27" i="136"/>
  <c r="K27" i="136" s="1"/>
  <c r="J20" i="136"/>
  <c r="K20" i="136" s="1"/>
  <c r="E6" i="136"/>
  <c r="N85" i="135"/>
  <c r="B96" i="135"/>
  <c r="D96" i="135" s="1"/>
  <c r="K43" i="127"/>
  <c r="F32" i="135"/>
  <c r="C32" i="135"/>
  <c r="E32" i="135" s="1"/>
  <c r="C39" i="133" l="1"/>
  <c r="F20" i="135"/>
  <c r="C20" i="135"/>
  <c r="E20" i="135" s="1"/>
  <c r="B72" i="135"/>
  <c r="D72" i="135" s="1"/>
  <c r="H20" i="135" s="1"/>
  <c r="K37" i="127"/>
  <c r="I47" i="135"/>
  <c r="J45" i="135"/>
  <c r="K45" i="135" s="1"/>
  <c r="C19" i="135"/>
  <c r="N84" i="135" l="1"/>
  <c r="J46" i="135" l="1"/>
  <c r="J47" i="135" s="1"/>
  <c r="F31" i="135"/>
  <c r="C31" i="135"/>
  <c r="K46" i="135" l="1"/>
  <c r="K47" i="135" s="1"/>
  <c r="F21" i="135" l="1"/>
  <c r="F7" i="135"/>
  <c r="C7" i="135"/>
  <c r="J7" i="135" s="1"/>
  <c r="C6" i="135"/>
  <c r="J6" i="135" s="1"/>
  <c r="C5" i="135"/>
  <c r="J5" i="135" s="1"/>
  <c r="F4" i="135"/>
  <c r="C4" i="135"/>
  <c r="J4" i="135" s="1"/>
  <c r="C29" i="135"/>
  <c r="E29" i="135" s="1"/>
  <c r="C24" i="135"/>
  <c r="E24" i="135" s="1"/>
  <c r="C22" i="135"/>
  <c r="E22" i="135" s="1"/>
  <c r="C12" i="135"/>
  <c r="E12" i="135" s="1"/>
  <c r="B112" i="135"/>
  <c r="D112" i="135" s="1"/>
  <c r="H40" i="135" s="1"/>
  <c r="B110" i="135"/>
  <c r="D110" i="135" s="1"/>
  <c r="H39" i="135" s="1"/>
  <c r="B108" i="135"/>
  <c r="D108" i="135" s="1"/>
  <c r="B106" i="135"/>
  <c r="D106" i="135" s="1"/>
  <c r="B104" i="135"/>
  <c r="D104" i="135" s="1"/>
  <c r="H36" i="135" s="1"/>
  <c r="B102" i="135"/>
  <c r="D102" i="135" s="1"/>
  <c r="H35" i="135" s="1"/>
  <c r="B100" i="135"/>
  <c r="D100" i="135" s="1"/>
  <c r="H34" i="135" s="1"/>
  <c r="B98" i="135"/>
  <c r="D98" i="135" s="1"/>
  <c r="H33" i="135" s="1"/>
  <c r="B94" i="135"/>
  <c r="D94" i="135" s="1"/>
  <c r="B92" i="135"/>
  <c r="D92" i="135" s="1"/>
  <c r="H30" i="135" s="1"/>
  <c r="B90" i="135"/>
  <c r="D90" i="135" s="1"/>
  <c r="H29" i="135" s="1"/>
  <c r="B88" i="135"/>
  <c r="D88" i="135" s="1"/>
  <c r="B86" i="135"/>
  <c r="D86" i="135" s="1"/>
  <c r="B84" i="135"/>
  <c r="D84" i="135" s="1"/>
  <c r="H26" i="135" s="1"/>
  <c r="B82" i="135"/>
  <c r="D82" i="135" s="1"/>
  <c r="H25" i="135" s="1"/>
  <c r="B80" i="135"/>
  <c r="D80" i="135" s="1"/>
  <c r="H24" i="135" s="1"/>
  <c r="B78" i="135"/>
  <c r="D78" i="135" s="1"/>
  <c r="H23" i="135" s="1"/>
  <c r="B76" i="135"/>
  <c r="D76" i="135" s="1"/>
  <c r="H22" i="135" s="1"/>
  <c r="B74" i="135"/>
  <c r="D74" i="135" s="1"/>
  <c r="B70" i="135"/>
  <c r="D70" i="135" s="1"/>
  <c r="B68" i="135"/>
  <c r="D68" i="135" s="1"/>
  <c r="H7" i="135" s="1"/>
  <c r="B66" i="135"/>
  <c r="D66" i="135" s="1"/>
  <c r="H17" i="135" s="1"/>
  <c r="B64" i="135"/>
  <c r="D64" i="135" s="1"/>
  <c r="H6" i="135" s="1"/>
  <c r="B62" i="135"/>
  <c r="D62" i="135" s="1"/>
  <c r="B60" i="135"/>
  <c r="D60" i="135" s="1"/>
  <c r="H5" i="135" s="1"/>
  <c r="B58" i="135"/>
  <c r="D58" i="135" s="1"/>
  <c r="H4" i="135" s="1"/>
  <c r="B56" i="135"/>
  <c r="D56" i="135" s="1"/>
  <c r="H12" i="135" s="1"/>
  <c r="I51" i="135"/>
  <c r="C51" i="135"/>
  <c r="C40" i="135"/>
  <c r="E40" i="135" s="1"/>
  <c r="C39" i="135"/>
  <c r="E39" i="135" s="1"/>
  <c r="C37" i="135"/>
  <c r="E37" i="135" s="1"/>
  <c r="C36" i="135"/>
  <c r="E36" i="135" s="1"/>
  <c r="C35" i="135"/>
  <c r="E35" i="135" s="1"/>
  <c r="C34" i="135"/>
  <c r="E34" i="135" s="1"/>
  <c r="C33" i="135"/>
  <c r="E33" i="135" s="1"/>
  <c r="F30" i="135"/>
  <c r="C30" i="135"/>
  <c r="E30" i="135" s="1"/>
  <c r="F28" i="135"/>
  <c r="C28" i="135"/>
  <c r="E28" i="135" s="1"/>
  <c r="C27" i="135"/>
  <c r="E27" i="135" s="1"/>
  <c r="I27" i="135" s="1"/>
  <c r="J27" i="135" s="1"/>
  <c r="C26" i="135"/>
  <c r="E26" i="135" s="1"/>
  <c r="C25" i="135"/>
  <c r="E25" i="135" s="1"/>
  <c r="C23" i="135"/>
  <c r="E23" i="135" s="1"/>
  <c r="C21" i="135"/>
  <c r="E21" i="135" s="1"/>
  <c r="E19" i="135"/>
  <c r="E18" i="135"/>
  <c r="I18" i="135" s="1"/>
  <c r="J18" i="135" s="1"/>
  <c r="C17" i="135"/>
  <c r="E17" i="135" s="1"/>
  <c r="E16" i="135"/>
  <c r="C15" i="135"/>
  <c r="E15" i="135" s="1"/>
  <c r="E14" i="135"/>
  <c r="I14" i="135" s="1"/>
  <c r="J14" i="135" s="1"/>
  <c r="I43" i="134"/>
  <c r="C43" i="134"/>
  <c r="F8" i="135" l="1"/>
  <c r="F41" i="135"/>
  <c r="J8" i="135"/>
  <c r="N57" i="135" s="1"/>
  <c r="H41" i="135"/>
  <c r="H8" i="135"/>
  <c r="E4" i="135"/>
  <c r="E7" i="135"/>
  <c r="E6" i="135"/>
  <c r="E5" i="135"/>
  <c r="I28" i="135"/>
  <c r="J28" i="135" s="1"/>
  <c r="I53" i="135"/>
  <c r="I21" i="135"/>
  <c r="I17" i="135"/>
  <c r="J17" i="135" s="1"/>
  <c r="I16" i="135"/>
  <c r="C8" i="135"/>
  <c r="K14" i="135"/>
  <c r="E31" i="135"/>
  <c r="I31" i="135" s="1"/>
  <c r="J31" i="135" s="1"/>
  <c r="C41" i="135"/>
  <c r="E13" i="135"/>
  <c r="I13" i="135" s="1"/>
  <c r="J13" i="135" s="1"/>
  <c r="I19" i="135"/>
  <c r="J19" i="135" s="1"/>
  <c r="I30" i="135"/>
  <c r="J30" i="135" s="1"/>
  <c r="I15" i="135"/>
  <c r="J15" i="135" s="1"/>
  <c r="I26" i="135"/>
  <c r="J26" i="135" s="1"/>
  <c r="K27" i="135"/>
  <c r="I37" i="135"/>
  <c r="K18" i="135"/>
  <c r="D8" i="134"/>
  <c r="J16" i="135" l="1"/>
  <c r="K16" i="135" s="1"/>
  <c r="K28" i="135"/>
  <c r="J21" i="135"/>
  <c r="K21" i="135" s="1"/>
  <c r="E8" i="135"/>
  <c r="E41" i="135"/>
  <c r="K17" i="135"/>
  <c r="K30" i="135"/>
  <c r="K26" i="135"/>
  <c r="K19" i="135"/>
  <c r="K15" i="135"/>
  <c r="K13" i="135"/>
  <c r="J37" i="135"/>
  <c r="K37" i="135" s="1"/>
  <c r="K31" i="135"/>
  <c r="F20" i="134"/>
  <c r="C14" i="134"/>
  <c r="K5" i="127"/>
  <c r="N77" i="134" l="1"/>
  <c r="F19" i="134"/>
  <c r="F18" i="134" l="1"/>
  <c r="C18" i="134"/>
  <c r="E18" i="134" s="1"/>
  <c r="B59" i="134"/>
  <c r="D59" i="134" s="1"/>
  <c r="H18" i="134" s="1"/>
  <c r="K9" i="127"/>
  <c r="B55" i="134"/>
  <c r="D55" i="134" s="1"/>
  <c r="H16" i="134" s="1"/>
  <c r="C16" i="134"/>
  <c r="E16" i="134" s="1"/>
  <c r="K7" i="127"/>
  <c r="B51" i="134"/>
  <c r="D51" i="134" s="1"/>
  <c r="E14" i="134"/>
  <c r="F13" i="134"/>
  <c r="C13" i="134"/>
  <c r="B49" i="134"/>
  <c r="D49" i="134" s="1"/>
  <c r="H13" i="134" s="1"/>
  <c r="K4" i="127"/>
  <c r="C7" i="134"/>
  <c r="J7" i="134" s="1"/>
  <c r="F6" i="134"/>
  <c r="C6" i="134"/>
  <c r="F5" i="134"/>
  <c r="C5" i="134"/>
  <c r="F4" i="134"/>
  <c r="C4" i="134"/>
  <c r="C37" i="134"/>
  <c r="E37" i="134" s="1"/>
  <c r="C36" i="134"/>
  <c r="E36" i="134" s="1"/>
  <c r="C34" i="134"/>
  <c r="E34" i="134" s="1"/>
  <c r="C33" i="134"/>
  <c r="E33" i="134" s="1"/>
  <c r="C32" i="134"/>
  <c r="E32" i="134" s="1"/>
  <c r="C31" i="134"/>
  <c r="E31" i="134" s="1"/>
  <c r="C24" i="134"/>
  <c r="B99" i="134"/>
  <c r="D99" i="134" s="1"/>
  <c r="H37" i="134" s="1"/>
  <c r="B97" i="134"/>
  <c r="D97" i="134" s="1"/>
  <c r="H36" i="134" s="1"/>
  <c r="B95" i="134"/>
  <c r="D95" i="134" s="1"/>
  <c r="B93" i="134"/>
  <c r="D93" i="134" s="1"/>
  <c r="H35" i="134" s="1"/>
  <c r="B91" i="134"/>
  <c r="D91" i="134" s="1"/>
  <c r="H34" i="134" s="1"/>
  <c r="B89" i="134"/>
  <c r="D89" i="134" s="1"/>
  <c r="H33" i="134" s="1"/>
  <c r="B87" i="134"/>
  <c r="D87" i="134" s="1"/>
  <c r="H32" i="134" s="1"/>
  <c r="B85" i="134"/>
  <c r="D85" i="134" s="1"/>
  <c r="H31" i="134" s="1"/>
  <c r="B83" i="134"/>
  <c r="D83" i="134" s="1"/>
  <c r="B81" i="134"/>
  <c r="D81" i="134" s="1"/>
  <c r="H29" i="134" s="1"/>
  <c r="B79" i="134"/>
  <c r="D79" i="134" s="1"/>
  <c r="H7" i="134" s="1"/>
  <c r="B77" i="134"/>
  <c r="D77" i="134" s="1"/>
  <c r="N78" i="134"/>
  <c r="B75" i="134"/>
  <c r="D75" i="134" s="1"/>
  <c r="H26" i="134" s="1"/>
  <c r="B73" i="134"/>
  <c r="D73" i="134" s="1"/>
  <c r="H25" i="134" s="1"/>
  <c r="B71" i="134"/>
  <c r="D71" i="134" s="1"/>
  <c r="H24" i="134" s="1"/>
  <c r="B69" i="134"/>
  <c r="D69" i="134" s="1"/>
  <c r="H6" i="134" s="1"/>
  <c r="B67" i="134"/>
  <c r="D67" i="134" s="1"/>
  <c r="H22" i="134" s="1"/>
  <c r="B65" i="134"/>
  <c r="D65" i="134" s="1"/>
  <c r="H5" i="134" s="1"/>
  <c r="B63" i="134"/>
  <c r="D63" i="134" s="1"/>
  <c r="B61" i="134"/>
  <c r="D61" i="134" s="1"/>
  <c r="H19" i="134" s="1"/>
  <c r="B57" i="134"/>
  <c r="D57" i="134" s="1"/>
  <c r="H17" i="134" s="1"/>
  <c r="B53" i="134"/>
  <c r="D53" i="134" s="1"/>
  <c r="H15" i="134" s="1"/>
  <c r="B47" i="134"/>
  <c r="D47" i="134" s="1"/>
  <c r="H4" i="134" s="1"/>
  <c r="I42" i="134"/>
  <c r="I44" i="134" s="1"/>
  <c r="C42" i="134"/>
  <c r="C35" i="134"/>
  <c r="E35" i="134" s="1"/>
  <c r="F30" i="134"/>
  <c r="C30" i="134"/>
  <c r="D30" i="134" s="1"/>
  <c r="D38" i="134" s="1"/>
  <c r="F29" i="134"/>
  <c r="C29" i="134"/>
  <c r="E29" i="134" s="1"/>
  <c r="E28" i="134"/>
  <c r="I28" i="134" s="1"/>
  <c r="F27" i="134"/>
  <c r="C27" i="134"/>
  <c r="E27" i="134" s="1"/>
  <c r="C26" i="134"/>
  <c r="E26" i="134" s="1"/>
  <c r="C25" i="134"/>
  <c r="E25" i="134" s="1"/>
  <c r="E23" i="134"/>
  <c r="I23" i="134" s="1"/>
  <c r="J23" i="134" s="1"/>
  <c r="C22" i="134"/>
  <c r="E22" i="134" s="1"/>
  <c r="E21" i="134"/>
  <c r="I21" i="134" s="1"/>
  <c r="C20" i="134"/>
  <c r="E20" i="134" s="1"/>
  <c r="C19" i="134"/>
  <c r="E19" i="134" s="1"/>
  <c r="C17" i="134"/>
  <c r="E17" i="134" s="1"/>
  <c r="C15" i="134"/>
  <c r="E15" i="134" s="1"/>
  <c r="F38" i="134" l="1"/>
  <c r="H38" i="134"/>
  <c r="C38" i="134"/>
  <c r="J4" i="134"/>
  <c r="C8" i="134"/>
  <c r="E6" i="134"/>
  <c r="J6" i="134"/>
  <c r="F8" i="134"/>
  <c r="E13" i="134"/>
  <c r="H8" i="134"/>
  <c r="E5" i="134"/>
  <c r="J5" i="134"/>
  <c r="I27" i="134"/>
  <c r="J27" i="134" s="1"/>
  <c r="K27" i="134" s="1"/>
  <c r="E7" i="134"/>
  <c r="E4" i="134"/>
  <c r="I19" i="134"/>
  <c r="J19" i="134" s="1"/>
  <c r="K19" i="134" s="1"/>
  <c r="I15" i="134"/>
  <c r="J15" i="134" s="1"/>
  <c r="I26" i="134"/>
  <c r="J26" i="134" s="1"/>
  <c r="K26" i="134" s="1"/>
  <c r="E30" i="134"/>
  <c r="I30" i="134" s="1"/>
  <c r="J30" i="134" s="1"/>
  <c r="K30" i="134" s="1"/>
  <c r="I29" i="134"/>
  <c r="J29" i="134" s="1"/>
  <c r="K29" i="134" s="1"/>
  <c r="I20" i="134"/>
  <c r="I35" i="134"/>
  <c r="J35" i="134" s="1"/>
  <c r="K35" i="134" s="1"/>
  <c r="E24" i="134"/>
  <c r="J21" i="134"/>
  <c r="K21" i="134" s="1"/>
  <c r="K23" i="134"/>
  <c r="J28" i="134"/>
  <c r="K28" i="134" s="1"/>
  <c r="E12" i="134"/>
  <c r="D11" i="133"/>
  <c r="F11" i="133"/>
  <c r="F30" i="133"/>
  <c r="F22" i="133"/>
  <c r="F26" i="133"/>
  <c r="E38" i="134" l="1"/>
  <c r="E8" i="134"/>
  <c r="J8" i="134"/>
  <c r="N48" i="134" s="1"/>
  <c r="K15" i="134"/>
  <c r="J20" i="134"/>
  <c r="K20" i="134" s="1"/>
  <c r="I12" i="134"/>
  <c r="N79" i="133"/>
  <c r="C26" i="133"/>
  <c r="E26" i="133" s="1"/>
  <c r="F24" i="133"/>
  <c r="B73" i="133"/>
  <c r="D73" i="133" s="1"/>
  <c r="K14" i="127"/>
  <c r="C24" i="133"/>
  <c r="E24" i="133" s="1"/>
  <c r="B69" i="133"/>
  <c r="K38" i="127"/>
  <c r="F15" i="133"/>
  <c r="C15" i="133"/>
  <c r="J16" i="133"/>
  <c r="J17" i="133"/>
  <c r="B51" i="133"/>
  <c r="K35" i="127"/>
  <c r="C32" i="133"/>
  <c r="C31" i="133"/>
  <c r="E31" i="133" s="1"/>
  <c r="B83" i="133"/>
  <c r="K41" i="127"/>
  <c r="C30" i="133"/>
  <c r="E15" i="133" l="1"/>
  <c r="J12" i="134"/>
  <c r="C10" i="133"/>
  <c r="C9" i="133"/>
  <c r="J9" i="133" s="1"/>
  <c r="C8" i="133"/>
  <c r="J8" i="133" s="1"/>
  <c r="C7" i="133"/>
  <c r="J7" i="133" s="1"/>
  <c r="C6" i="133"/>
  <c r="J6" i="133" s="1"/>
  <c r="C5" i="133"/>
  <c r="J5" i="133" s="1"/>
  <c r="C4" i="133"/>
  <c r="E10" i="133" l="1"/>
  <c r="J10" i="133"/>
  <c r="J4" i="133"/>
  <c r="J11" i="133" s="1"/>
  <c r="N52" i="133" s="1"/>
  <c r="C11" i="133"/>
  <c r="K12" i="134"/>
  <c r="E9" i="133"/>
  <c r="E7" i="133"/>
  <c r="E8" i="133"/>
  <c r="E6" i="133"/>
  <c r="E4" i="133"/>
  <c r="E5" i="133"/>
  <c r="B103" i="133"/>
  <c r="D103" i="133" s="1"/>
  <c r="H10" i="133" s="1"/>
  <c r="B101" i="133"/>
  <c r="D101" i="133" s="1"/>
  <c r="H9" i="133" s="1"/>
  <c r="B99" i="133"/>
  <c r="D99" i="133" s="1"/>
  <c r="H39" i="133" s="1"/>
  <c r="B97" i="133"/>
  <c r="D97" i="133" s="1"/>
  <c r="H38" i="133" s="1"/>
  <c r="B95" i="133"/>
  <c r="D95" i="133" s="1"/>
  <c r="H8" i="133" s="1"/>
  <c r="B93" i="133"/>
  <c r="D93" i="133" s="1"/>
  <c r="H7" i="133" s="1"/>
  <c r="B91" i="133"/>
  <c r="D91" i="133" s="1"/>
  <c r="H6" i="133" s="1"/>
  <c r="B89" i="133"/>
  <c r="D89" i="133" s="1"/>
  <c r="H5" i="133" s="1"/>
  <c r="B87" i="133"/>
  <c r="D87" i="133" s="1"/>
  <c r="B85" i="133"/>
  <c r="D85" i="133" s="1"/>
  <c r="H32" i="133" s="1"/>
  <c r="D83" i="133"/>
  <c r="H31" i="133" s="1"/>
  <c r="B81" i="133"/>
  <c r="D81" i="133" s="1"/>
  <c r="B79" i="133"/>
  <c r="D79" i="133" s="1"/>
  <c r="H29" i="133" s="1"/>
  <c r="B77" i="133"/>
  <c r="D77" i="133" s="1"/>
  <c r="H28" i="133" s="1"/>
  <c r="B75" i="133"/>
  <c r="D75" i="133" s="1"/>
  <c r="H4" i="133" s="1"/>
  <c r="N78" i="133"/>
  <c r="B71" i="133"/>
  <c r="D71" i="133" s="1"/>
  <c r="H25" i="133" s="1"/>
  <c r="D69" i="133"/>
  <c r="B67" i="133"/>
  <c r="D67" i="133" s="1"/>
  <c r="H23" i="133" s="1"/>
  <c r="B65" i="133"/>
  <c r="D65" i="133" s="1"/>
  <c r="H22" i="133" s="1"/>
  <c r="B61" i="133"/>
  <c r="D61" i="133" s="1"/>
  <c r="H20" i="133" s="1"/>
  <c r="B57" i="133"/>
  <c r="D57" i="133" s="1"/>
  <c r="H18" i="133" s="1"/>
  <c r="D51" i="133"/>
  <c r="H15" i="133" s="1"/>
  <c r="I47" i="133"/>
  <c r="I48" i="133" s="1"/>
  <c r="C47" i="133"/>
  <c r="E41" i="133"/>
  <c r="E40" i="133"/>
  <c r="F39" i="133"/>
  <c r="E39" i="133"/>
  <c r="C38" i="133"/>
  <c r="E38" i="133" s="1"/>
  <c r="E37" i="133"/>
  <c r="E36" i="133"/>
  <c r="E35" i="133"/>
  <c r="E34" i="133"/>
  <c r="I34" i="133" s="1"/>
  <c r="F33" i="133"/>
  <c r="C33" i="133"/>
  <c r="D33" i="133" s="1"/>
  <c r="D42" i="133" s="1"/>
  <c r="F32" i="133"/>
  <c r="C29" i="133"/>
  <c r="E29" i="133" s="1"/>
  <c r="C28" i="133"/>
  <c r="E28" i="133" s="1"/>
  <c r="E27" i="133"/>
  <c r="C25" i="133"/>
  <c r="E25" i="133" s="1"/>
  <c r="F23" i="133"/>
  <c r="C23" i="133"/>
  <c r="E23" i="133" s="1"/>
  <c r="C22" i="133"/>
  <c r="E22" i="133" s="1"/>
  <c r="J21" i="133"/>
  <c r="C20" i="133"/>
  <c r="E20" i="133" s="1"/>
  <c r="J19" i="133"/>
  <c r="C18" i="133"/>
  <c r="F42" i="133" l="1"/>
  <c r="C42" i="133"/>
  <c r="H42" i="133"/>
  <c r="H11" i="133"/>
  <c r="E11" i="133"/>
  <c r="E18" i="133"/>
  <c r="I41" i="133"/>
  <c r="J41" i="133" s="1"/>
  <c r="K41" i="133" s="1"/>
  <c r="I35" i="133"/>
  <c r="J35" i="133" s="1"/>
  <c r="K35" i="133" s="1"/>
  <c r="I36" i="133"/>
  <c r="J36" i="133" s="1"/>
  <c r="K36" i="133" s="1"/>
  <c r="I23" i="133"/>
  <c r="J23" i="133" s="1"/>
  <c r="K23" i="133" s="1"/>
  <c r="I29" i="133"/>
  <c r="J29" i="133" s="1"/>
  <c r="I37" i="133"/>
  <c r="J37" i="133" s="1"/>
  <c r="K37" i="133" s="1"/>
  <c r="I22" i="133"/>
  <c r="I40" i="133"/>
  <c r="J34" i="133"/>
  <c r="K34" i="133" s="1"/>
  <c r="I27" i="133"/>
  <c r="E32" i="133"/>
  <c r="I32" i="133" s="1"/>
  <c r="B68" i="132"/>
  <c r="D68" i="132" s="1"/>
  <c r="H16" i="132" s="1"/>
  <c r="C16" i="132"/>
  <c r="C23" i="132"/>
  <c r="C24" i="132"/>
  <c r="N66" i="132"/>
  <c r="N65" i="132"/>
  <c r="E33" i="133" l="1"/>
  <c r="E30" i="133"/>
  <c r="I30" i="133" s="1"/>
  <c r="J30" i="133" s="1"/>
  <c r="K30" i="133" s="1"/>
  <c r="K29" i="133"/>
  <c r="J27" i="133"/>
  <c r="K27" i="133" s="1"/>
  <c r="J40" i="133"/>
  <c r="K40" i="133" s="1"/>
  <c r="J22" i="133"/>
  <c r="K22" i="133" s="1"/>
  <c r="K15" i="127"/>
  <c r="E16" i="132"/>
  <c r="C30" i="132"/>
  <c r="E30" i="132" s="1"/>
  <c r="B98" i="132"/>
  <c r="K45" i="127"/>
  <c r="F30" i="127"/>
  <c r="C29" i="132"/>
  <c r="E29" i="132" s="1"/>
  <c r="B96" i="132"/>
  <c r="D96" i="132" s="1"/>
  <c r="H29" i="132" s="1"/>
  <c r="K28" i="127"/>
  <c r="C26" i="132"/>
  <c r="E26" i="132" s="1"/>
  <c r="B90" i="132"/>
  <c r="D90" i="132" s="1"/>
  <c r="K25" i="127"/>
  <c r="C25" i="132"/>
  <c r="E25" i="132" s="1"/>
  <c r="F25" i="132"/>
  <c r="B88" i="132"/>
  <c r="D88" i="132" s="1"/>
  <c r="K24" i="127"/>
  <c r="F24" i="132"/>
  <c r="E24" i="132"/>
  <c r="B86" i="132"/>
  <c r="D86" i="132" s="1"/>
  <c r="K23" i="127"/>
  <c r="F23" i="132"/>
  <c r="E23" i="132"/>
  <c r="B84" i="132"/>
  <c r="D84" i="132" s="1"/>
  <c r="K22" i="127"/>
  <c r="C28" i="132"/>
  <c r="I36" i="132"/>
  <c r="J35" i="132"/>
  <c r="J36" i="132" s="1"/>
  <c r="C20" i="132"/>
  <c r="E42" i="133" l="1"/>
  <c r="K35" i="132"/>
  <c r="K36" i="132" s="1"/>
  <c r="C17" i="132" l="1"/>
  <c r="C9" i="132"/>
  <c r="E9" i="132" s="1"/>
  <c r="D98" i="132"/>
  <c r="H30" i="132" s="1"/>
  <c r="B94" i="132"/>
  <c r="D94" i="132" s="1"/>
  <c r="H28" i="132" s="1"/>
  <c r="B92" i="132"/>
  <c r="D92" i="132" s="1"/>
  <c r="H27" i="132" s="1"/>
  <c r="B82" i="132"/>
  <c r="D82" i="132" s="1"/>
  <c r="B80" i="132"/>
  <c r="D80" i="132" s="1"/>
  <c r="B78" i="132"/>
  <c r="D78" i="132" s="1"/>
  <c r="B76" i="132"/>
  <c r="D76" i="132" s="1"/>
  <c r="B74" i="132"/>
  <c r="D74" i="132" s="1"/>
  <c r="B72" i="132"/>
  <c r="D72" i="132" s="1"/>
  <c r="H18" i="132" s="1"/>
  <c r="B70" i="132"/>
  <c r="D70" i="132" s="1"/>
  <c r="H17" i="132" s="1"/>
  <c r="B64" i="132"/>
  <c r="D64" i="132" s="1"/>
  <c r="B62" i="132"/>
  <c r="D62" i="132" s="1"/>
  <c r="B60" i="132"/>
  <c r="D60" i="132" s="1"/>
  <c r="H12" i="132" s="1"/>
  <c r="B58" i="132"/>
  <c r="D58" i="132" s="1"/>
  <c r="H11" i="132" s="1"/>
  <c r="B54" i="132"/>
  <c r="D54" i="132" s="1"/>
  <c r="H9" i="132" s="1"/>
  <c r="B50" i="132"/>
  <c r="D50" i="132" s="1"/>
  <c r="H7" i="132" s="1"/>
  <c r="B44" i="132"/>
  <c r="D44" i="132" s="1"/>
  <c r="I40" i="132"/>
  <c r="I41" i="132" s="1"/>
  <c r="C40" i="132"/>
  <c r="F28" i="132"/>
  <c r="C27" i="132"/>
  <c r="E27" i="132" s="1"/>
  <c r="F22" i="132"/>
  <c r="C22" i="132"/>
  <c r="D22" i="132" s="1"/>
  <c r="F21" i="132"/>
  <c r="C21" i="132"/>
  <c r="D20" i="132"/>
  <c r="E20" i="132" s="1"/>
  <c r="F19" i="132"/>
  <c r="C19" i="132"/>
  <c r="D19" i="132" s="1"/>
  <c r="C18" i="132"/>
  <c r="E18" i="132" s="1"/>
  <c r="E17" i="132"/>
  <c r="J15" i="132"/>
  <c r="C14" i="132"/>
  <c r="E14" i="132" s="1"/>
  <c r="F12" i="132"/>
  <c r="C12" i="132"/>
  <c r="E12" i="132" s="1"/>
  <c r="C11" i="132"/>
  <c r="E11" i="132" s="1"/>
  <c r="J10" i="132"/>
  <c r="J8" i="132"/>
  <c r="C7" i="132"/>
  <c r="J6" i="132"/>
  <c r="J5" i="132"/>
  <c r="D6" i="131"/>
  <c r="N58" i="131"/>
  <c r="B72" i="131"/>
  <c r="C5" i="131"/>
  <c r="E5" i="131" s="1"/>
  <c r="N57" i="131"/>
  <c r="F31" i="132" l="1"/>
  <c r="H31" i="132"/>
  <c r="C31" i="132"/>
  <c r="E7" i="132"/>
  <c r="J5" i="131"/>
  <c r="E22" i="132"/>
  <c r="D21" i="132"/>
  <c r="E21" i="132" s="1"/>
  <c r="E19" i="132"/>
  <c r="E28" i="132"/>
  <c r="B64" i="131"/>
  <c r="D64" i="131" s="1"/>
  <c r="H19" i="131" s="1"/>
  <c r="C19" i="131"/>
  <c r="E19" i="131" s="1"/>
  <c r="K13" i="127"/>
  <c r="J4" i="120"/>
  <c r="F17" i="131"/>
  <c r="F4" i="131"/>
  <c r="F6" i="131" s="1"/>
  <c r="C4" i="131"/>
  <c r="J4" i="131" s="1"/>
  <c r="C16" i="131"/>
  <c r="E16" i="131" s="1"/>
  <c r="C12" i="131"/>
  <c r="B98" i="131"/>
  <c r="D98" i="131" s="1"/>
  <c r="B94" i="131"/>
  <c r="D94" i="131" s="1"/>
  <c r="B92" i="131"/>
  <c r="D92" i="131" s="1"/>
  <c r="H32" i="131" s="1"/>
  <c r="B82" i="131"/>
  <c r="D82" i="131" s="1"/>
  <c r="B80" i="131"/>
  <c r="D80" i="131" s="1"/>
  <c r="B78" i="131"/>
  <c r="D78" i="131" s="1"/>
  <c r="B76" i="131"/>
  <c r="D76" i="131" s="1"/>
  <c r="B74" i="131"/>
  <c r="D74" i="131" s="1"/>
  <c r="D72" i="131"/>
  <c r="H23" i="131" s="1"/>
  <c r="B70" i="131"/>
  <c r="D70" i="131" s="1"/>
  <c r="H5" i="131" s="1"/>
  <c r="B62" i="131"/>
  <c r="D62" i="131" s="1"/>
  <c r="B60" i="131"/>
  <c r="D60" i="131" s="1"/>
  <c r="H17" i="131" s="1"/>
  <c r="B58" i="131"/>
  <c r="D58" i="131" s="1"/>
  <c r="H16" i="131" s="1"/>
  <c r="B54" i="131"/>
  <c r="D54" i="131" s="1"/>
  <c r="H4" i="131" s="1"/>
  <c r="B50" i="131"/>
  <c r="D50" i="131" s="1"/>
  <c r="H12" i="131" s="1"/>
  <c r="B44" i="131"/>
  <c r="D44" i="131" s="1"/>
  <c r="I40" i="131"/>
  <c r="I41" i="131" s="1"/>
  <c r="C40" i="131"/>
  <c r="J34" i="131"/>
  <c r="F33" i="131"/>
  <c r="C33" i="131"/>
  <c r="D33" i="131" s="1"/>
  <c r="J31" i="131"/>
  <c r="J30" i="131"/>
  <c r="J29" i="131"/>
  <c r="J28" i="131"/>
  <c r="F27" i="131"/>
  <c r="C27" i="131"/>
  <c r="D27" i="131" s="1"/>
  <c r="F26" i="131"/>
  <c r="C26" i="131"/>
  <c r="D26" i="131" s="1"/>
  <c r="C25" i="131"/>
  <c r="F24" i="131"/>
  <c r="C24" i="131"/>
  <c r="E22" i="131"/>
  <c r="J21" i="131"/>
  <c r="J20" i="131"/>
  <c r="C17" i="131"/>
  <c r="E17" i="131" s="1"/>
  <c r="J15" i="131"/>
  <c r="J13" i="131"/>
  <c r="J11" i="131"/>
  <c r="J10" i="131"/>
  <c r="C32" i="131"/>
  <c r="E32" i="131" s="1"/>
  <c r="C23" i="131"/>
  <c r="C24" i="130"/>
  <c r="C16" i="130"/>
  <c r="N64" i="130"/>
  <c r="H6" i="131" l="1"/>
  <c r="J6" i="131"/>
  <c r="E31" i="132"/>
  <c r="D31" i="132"/>
  <c r="F36" i="131"/>
  <c r="H36" i="131"/>
  <c r="C36" i="131"/>
  <c r="E12" i="131"/>
  <c r="E4" i="131"/>
  <c r="E6" i="131" s="1"/>
  <c r="C6" i="131"/>
  <c r="E23" i="131"/>
  <c r="I22" i="131"/>
  <c r="J22" i="131" s="1"/>
  <c r="K22" i="131" s="1"/>
  <c r="E14" i="131"/>
  <c r="I14" i="131" s="1"/>
  <c r="J14" i="131" s="1"/>
  <c r="D24" i="131"/>
  <c r="D25" i="131"/>
  <c r="E25" i="131" s="1"/>
  <c r="E26" i="131"/>
  <c r="E27" i="131"/>
  <c r="E33" i="131"/>
  <c r="B77" i="130"/>
  <c r="D77" i="130" s="1"/>
  <c r="H24" i="130" s="1"/>
  <c r="K16" i="127"/>
  <c r="J42" i="130"/>
  <c r="J43" i="130" s="1"/>
  <c r="I43" i="130"/>
  <c r="F37" i="130"/>
  <c r="C37" i="130"/>
  <c r="E24" i="131" l="1"/>
  <c r="E36" i="131" s="1"/>
  <c r="D36" i="131"/>
  <c r="K42" i="130"/>
  <c r="K43" i="130" s="1"/>
  <c r="F19" i="130"/>
  <c r="C23" i="129"/>
  <c r="F23" i="129"/>
  <c r="C15" i="129"/>
  <c r="B61" i="130"/>
  <c r="D61" i="130" s="1"/>
  <c r="H16" i="130" s="1"/>
  <c r="K8" i="127"/>
  <c r="D8" i="130"/>
  <c r="F8" i="130"/>
  <c r="H8" i="130"/>
  <c r="C11" i="129"/>
  <c r="F11" i="129"/>
  <c r="F16" i="130"/>
  <c r="E24" i="130"/>
  <c r="K14" i="131" l="1"/>
  <c r="E16" i="130"/>
  <c r="C7" i="130"/>
  <c r="E34" i="130"/>
  <c r="C6" i="130"/>
  <c r="C5" i="130"/>
  <c r="J5" i="130" s="1"/>
  <c r="C4" i="130"/>
  <c r="J4" i="130" s="1"/>
  <c r="E14" i="130"/>
  <c r="C19" i="130"/>
  <c r="E19" i="130" s="1"/>
  <c r="I19" i="130" s="1"/>
  <c r="C16" i="129"/>
  <c r="E16" i="129" s="1"/>
  <c r="I16" i="129" s="1"/>
  <c r="C4" i="129"/>
  <c r="E25" i="130"/>
  <c r="E18" i="130"/>
  <c r="B105" i="130"/>
  <c r="D105" i="130" s="1"/>
  <c r="B101" i="130"/>
  <c r="D101" i="130" s="1"/>
  <c r="B99" i="130"/>
  <c r="D99" i="130" s="1"/>
  <c r="B89" i="130"/>
  <c r="D89" i="130" s="1"/>
  <c r="B87" i="130"/>
  <c r="D87" i="130" s="1"/>
  <c r="B85" i="130"/>
  <c r="D85" i="130" s="1"/>
  <c r="B83" i="130"/>
  <c r="D83" i="130" s="1"/>
  <c r="B81" i="130"/>
  <c r="D81" i="130" s="1"/>
  <c r="B79" i="130"/>
  <c r="D79" i="130" s="1"/>
  <c r="B69" i="130"/>
  <c r="D69" i="130" s="1"/>
  <c r="B67" i="130"/>
  <c r="D67" i="130" s="1"/>
  <c r="B65" i="130"/>
  <c r="D65" i="130" s="1"/>
  <c r="H38" i="130" s="1"/>
  <c r="N63" i="130"/>
  <c r="B57" i="130"/>
  <c r="D57" i="130" s="1"/>
  <c r="B51" i="130"/>
  <c r="D51" i="130" s="1"/>
  <c r="I47" i="130"/>
  <c r="I48" i="130" s="1"/>
  <c r="C47" i="130"/>
  <c r="D37" i="130"/>
  <c r="J36" i="130"/>
  <c r="F35" i="130"/>
  <c r="C35" i="130"/>
  <c r="D35" i="130" s="1"/>
  <c r="E35" i="130" s="1"/>
  <c r="J33" i="130"/>
  <c r="J32" i="130"/>
  <c r="J31" i="130"/>
  <c r="J30" i="130"/>
  <c r="F29" i="130"/>
  <c r="C29" i="130"/>
  <c r="D29" i="130" s="1"/>
  <c r="F28" i="130"/>
  <c r="C28" i="130"/>
  <c r="D28" i="130" s="1"/>
  <c r="C27" i="130"/>
  <c r="F26" i="130"/>
  <c r="C26" i="130"/>
  <c r="J23" i="130"/>
  <c r="J22" i="130"/>
  <c r="J21" i="130"/>
  <c r="C20" i="130"/>
  <c r="D20" i="130" s="1"/>
  <c r="J17" i="130"/>
  <c r="J15" i="130"/>
  <c r="J13" i="130"/>
  <c r="J12" i="130"/>
  <c r="E23" i="129"/>
  <c r="I42" i="129"/>
  <c r="I46" i="129"/>
  <c r="I47" i="129" s="1"/>
  <c r="C46" i="129"/>
  <c r="E6" i="130" l="1"/>
  <c r="I6" i="130" s="1"/>
  <c r="J6" i="130"/>
  <c r="E7" i="130"/>
  <c r="I7" i="130" s="1"/>
  <c r="J7" i="130"/>
  <c r="J8" i="130" s="1"/>
  <c r="N52" i="130" s="1"/>
  <c r="F38" i="130"/>
  <c r="C38" i="130"/>
  <c r="C8" i="130"/>
  <c r="E5" i="130"/>
  <c r="I5" i="130" s="1"/>
  <c r="K5" i="130" s="1"/>
  <c r="I25" i="130"/>
  <c r="I18" i="130"/>
  <c r="J18" i="130" s="1"/>
  <c r="K18" i="130" s="1"/>
  <c r="I34" i="130"/>
  <c r="J34" i="130" s="1"/>
  <c r="K34" i="130" s="1"/>
  <c r="I14" i="130"/>
  <c r="J19" i="130"/>
  <c r="K19" i="130" s="1"/>
  <c r="E20" i="130"/>
  <c r="D26" i="130"/>
  <c r="D27" i="130"/>
  <c r="E27" i="130" s="1"/>
  <c r="E28" i="130"/>
  <c r="E29" i="130"/>
  <c r="E37" i="130"/>
  <c r="E4" i="130"/>
  <c r="J41" i="129"/>
  <c r="K41" i="129" s="1"/>
  <c r="J40" i="129"/>
  <c r="J42" i="129" l="1"/>
  <c r="K6" i="130"/>
  <c r="E8" i="130"/>
  <c r="D38" i="130"/>
  <c r="J14" i="130"/>
  <c r="J25" i="130"/>
  <c r="K25" i="130" s="1"/>
  <c r="K7" i="130"/>
  <c r="E26" i="130"/>
  <c r="N63" i="129"/>
  <c r="D8" i="129"/>
  <c r="B80" i="129"/>
  <c r="D80" i="129" s="1"/>
  <c r="H23" i="129" s="1"/>
  <c r="K40" i="127"/>
  <c r="K14" i="130" l="1"/>
  <c r="E38" i="130"/>
  <c r="N60" i="129"/>
  <c r="B98" i="129"/>
  <c r="D98" i="129" s="1"/>
  <c r="H32" i="129" s="1"/>
  <c r="C32" i="129"/>
  <c r="E32" i="129" s="1"/>
  <c r="C27" i="128"/>
  <c r="K26" i="127"/>
  <c r="E15" i="129"/>
  <c r="B64" i="129"/>
  <c r="D64" i="129" s="1"/>
  <c r="H15" i="129" s="1"/>
  <c r="K10" i="127"/>
  <c r="B56" i="129"/>
  <c r="D56" i="129" s="1"/>
  <c r="H11" i="129" s="1"/>
  <c r="K6" i="127"/>
  <c r="H36" i="129" l="1"/>
  <c r="E11" i="129"/>
  <c r="K40" i="129"/>
  <c r="K42" i="129" s="1"/>
  <c r="F22" i="129"/>
  <c r="E22" i="129"/>
  <c r="F5" i="129" l="1"/>
  <c r="C5" i="129" l="1"/>
  <c r="E4" i="129"/>
  <c r="J4" i="129"/>
  <c r="J5" i="129" s="1"/>
  <c r="N51" i="129" s="1"/>
  <c r="D5" i="129"/>
  <c r="E5" i="129" l="1"/>
  <c r="B104" i="129" l="1"/>
  <c r="D104" i="129" s="1"/>
  <c r="B100" i="129"/>
  <c r="D100" i="129" s="1"/>
  <c r="B88" i="129"/>
  <c r="D88" i="129" s="1"/>
  <c r="B86" i="129"/>
  <c r="D86" i="129" s="1"/>
  <c r="B84" i="129"/>
  <c r="D84" i="129" s="1"/>
  <c r="B82" i="129"/>
  <c r="D82" i="129" s="1"/>
  <c r="B78" i="129"/>
  <c r="D78" i="129" s="1"/>
  <c r="B68" i="129"/>
  <c r="D68" i="129" s="1"/>
  <c r="B66" i="129"/>
  <c r="D66" i="129" s="1"/>
  <c r="H4" i="129" s="1"/>
  <c r="H5" i="129" s="1"/>
  <c r="B50" i="129"/>
  <c r="D50" i="129" s="1"/>
  <c r="F35" i="129"/>
  <c r="C35" i="129"/>
  <c r="J34" i="129"/>
  <c r="F33" i="129"/>
  <c r="C33" i="129"/>
  <c r="D33" i="129" s="1"/>
  <c r="J31" i="129"/>
  <c r="J30" i="129"/>
  <c r="J29" i="129"/>
  <c r="J28" i="129"/>
  <c r="F27" i="129"/>
  <c r="C27" i="129"/>
  <c r="D27" i="129" s="1"/>
  <c r="E27" i="129" s="1"/>
  <c r="F26" i="129"/>
  <c r="C26" i="129"/>
  <c r="D26" i="129" s="1"/>
  <c r="E26" i="129" s="1"/>
  <c r="C25" i="129"/>
  <c r="D25" i="129" s="1"/>
  <c r="E25" i="129" s="1"/>
  <c r="F24" i="129"/>
  <c r="C24" i="129"/>
  <c r="J21" i="129"/>
  <c r="J20" i="129"/>
  <c r="J19" i="129"/>
  <c r="J18" i="129"/>
  <c r="C17" i="129"/>
  <c r="J14" i="129"/>
  <c r="J13" i="129"/>
  <c r="J12" i="129"/>
  <c r="J10" i="129"/>
  <c r="J9" i="129"/>
  <c r="C36" i="129" l="1"/>
  <c r="F36" i="129"/>
  <c r="D24" i="129"/>
  <c r="E24" i="129" s="1"/>
  <c r="E8" i="129"/>
  <c r="D17" i="129"/>
  <c r="E33" i="129"/>
  <c r="D35" i="129"/>
  <c r="E35" i="129" s="1"/>
  <c r="C12" i="128"/>
  <c r="D36" i="129" l="1"/>
  <c r="E17" i="129"/>
  <c r="E36" i="129" s="1"/>
  <c r="J16" i="129"/>
  <c r="K16" i="129" s="1"/>
  <c r="N50" i="128"/>
  <c r="I37" i="128" l="1"/>
  <c r="C37" i="128"/>
  <c r="B93" i="128"/>
  <c r="D93" i="128" s="1"/>
  <c r="B89" i="128"/>
  <c r="B77" i="128"/>
  <c r="B75" i="128"/>
  <c r="B73" i="128"/>
  <c r="B71" i="128"/>
  <c r="B69" i="128"/>
  <c r="B59" i="128"/>
  <c r="B41" i="128"/>
  <c r="D41" i="128" s="1"/>
  <c r="C30" i="128" l="1"/>
  <c r="D30" i="128" s="1"/>
  <c r="C28" i="128"/>
  <c r="D28" i="128" s="1"/>
  <c r="C22" i="128"/>
  <c r="D22" i="128" s="1"/>
  <c r="C21" i="128"/>
  <c r="D21" i="128" s="1"/>
  <c r="C20" i="128"/>
  <c r="D20" i="128" s="1"/>
  <c r="C19" i="128"/>
  <c r="D19" i="128" s="1"/>
  <c r="C13" i="128"/>
  <c r="F12" i="128"/>
  <c r="E12" i="128"/>
  <c r="B57" i="128"/>
  <c r="D57" i="128" s="1"/>
  <c r="H12" i="128" s="1"/>
  <c r="K11" i="127"/>
  <c r="C31" i="128" l="1"/>
  <c r="D4" i="128"/>
  <c r="D89" i="128"/>
  <c r="D77" i="128"/>
  <c r="H22" i="128" s="1"/>
  <c r="D75" i="128"/>
  <c r="D73" i="128"/>
  <c r="D71" i="128"/>
  <c r="D69" i="128"/>
  <c r="H18" i="128" s="1"/>
  <c r="H31" i="128" s="1"/>
  <c r="D59" i="128"/>
  <c r="I36" i="128"/>
  <c r="C36" i="128"/>
  <c r="I35" i="128"/>
  <c r="C35" i="128"/>
  <c r="I34" i="128"/>
  <c r="C34" i="128"/>
  <c r="F30" i="128"/>
  <c r="J29" i="128"/>
  <c r="F28" i="128"/>
  <c r="J27" i="128"/>
  <c r="J26" i="128"/>
  <c r="J25" i="128"/>
  <c r="J24" i="128"/>
  <c r="J23" i="128"/>
  <c r="F22" i="128"/>
  <c r="E22" i="128"/>
  <c r="F21" i="128"/>
  <c r="E21" i="128"/>
  <c r="E20" i="128"/>
  <c r="F19" i="128"/>
  <c r="F18" i="128"/>
  <c r="E18" i="128"/>
  <c r="J17" i="128"/>
  <c r="J16" i="128"/>
  <c r="J15" i="128"/>
  <c r="J14" i="128"/>
  <c r="D13" i="128"/>
  <c r="E13" i="128" s="1"/>
  <c r="J11" i="128"/>
  <c r="J10" i="128"/>
  <c r="J9" i="128"/>
  <c r="J8" i="128"/>
  <c r="J7" i="128"/>
  <c r="J6" i="128"/>
  <c r="J5" i="128"/>
  <c r="F31" i="128" l="1"/>
  <c r="D31" i="128"/>
  <c r="I38" i="128"/>
  <c r="E4" i="128"/>
  <c r="E19" i="128"/>
  <c r="E28" i="128"/>
  <c r="E30" i="128"/>
  <c r="K29" i="127"/>
  <c r="K27" i="127"/>
  <c r="K21" i="127"/>
  <c r="K20" i="127"/>
  <c r="K19" i="127"/>
  <c r="K18" i="127"/>
  <c r="K17" i="127"/>
  <c r="K12" i="127"/>
  <c r="K3" i="127"/>
  <c r="B2" i="127"/>
  <c r="G31" i="126"/>
  <c r="I36" i="126"/>
  <c r="C36" i="126"/>
  <c r="H44" i="127" l="1"/>
  <c r="H42" i="127"/>
  <c r="B93" i="139"/>
  <c r="D93" i="139" s="1"/>
  <c r="B103" i="138"/>
  <c r="D103" i="138" s="1"/>
  <c r="H6" i="138" s="1"/>
  <c r="J6" i="138" s="1"/>
  <c r="L6" i="138" s="1"/>
  <c r="B98" i="137"/>
  <c r="I44" i="127"/>
  <c r="L44" i="127" s="1"/>
  <c r="H36" i="127"/>
  <c r="I36" i="127" s="1"/>
  <c r="L36" i="127" s="1"/>
  <c r="H39" i="127"/>
  <c r="H35" i="127"/>
  <c r="B52" i="133" s="1"/>
  <c r="D52" i="133" s="1"/>
  <c r="G15" i="133" s="1"/>
  <c r="H43" i="127"/>
  <c r="H37" i="127"/>
  <c r="H38" i="127"/>
  <c r="H45" i="127"/>
  <c r="H41" i="127"/>
  <c r="E31" i="128"/>
  <c r="H24" i="127"/>
  <c r="H40" i="127"/>
  <c r="H22" i="127"/>
  <c r="H4" i="127"/>
  <c r="H16" i="127"/>
  <c r="H11" i="127"/>
  <c r="H17" i="127"/>
  <c r="H28" i="127"/>
  <c r="H12" i="127"/>
  <c r="H7" i="127"/>
  <c r="H20" i="127"/>
  <c r="H25" i="127"/>
  <c r="H8" i="127"/>
  <c r="H14" i="127"/>
  <c r="H18" i="127"/>
  <c r="H26" i="127"/>
  <c r="H5" i="127"/>
  <c r="H9" i="127"/>
  <c r="H15" i="127"/>
  <c r="H19" i="127"/>
  <c r="H21" i="127"/>
  <c r="H23" i="127"/>
  <c r="H27" i="127"/>
  <c r="H29" i="127"/>
  <c r="H3" i="127"/>
  <c r="H6" i="127"/>
  <c r="H10" i="127"/>
  <c r="H13" i="127"/>
  <c r="B1" i="119"/>
  <c r="C34" i="126"/>
  <c r="E4" i="126"/>
  <c r="B92" i="126"/>
  <c r="B88" i="126"/>
  <c r="D88" i="126" s="1"/>
  <c r="B76" i="126"/>
  <c r="D76" i="126" s="1"/>
  <c r="H22" i="126" s="1"/>
  <c r="B74" i="126"/>
  <c r="D74" i="126" s="1"/>
  <c r="B72" i="126"/>
  <c r="D72" i="126" s="1"/>
  <c r="H20" i="126" s="1"/>
  <c r="B70" i="126"/>
  <c r="D70" i="126" s="1"/>
  <c r="B68" i="126"/>
  <c r="D68" i="126" s="1"/>
  <c r="H18" i="126" s="1"/>
  <c r="B58" i="126"/>
  <c r="D58" i="126" s="1"/>
  <c r="N49" i="126"/>
  <c r="B40" i="126"/>
  <c r="D40" i="126" s="1"/>
  <c r="I35" i="126"/>
  <c r="C35" i="126"/>
  <c r="I34" i="126"/>
  <c r="F30" i="126"/>
  <c r="C30" i="126"/>
  <c r="D30" i="126" s="1"/>
  <c r="E30" i="126" s="1"/>
  <c r="J29" i="126"/>
  <c r="F28" i="126"/>
  <c r="C28" i="126"/>
  <c r="D28" i="126" s="1"/>
  <c r="E28" i="126" s="1"/>
  <c r="J27" i="126"/>
  <c r="J26" i="126"/>
  <c r="J25" i="126"/>
  <c r="J24" i="126"/>
  <c r="J23" i="126"/>
  <c r="F22" i="126"/>
  <c r="D22" i="126"/>
  <c r="E22" i="126" s="1"/>
  <c r="F21" i="126"/>
  <c r="C21" i="126"/>
  <c r="D21" i="126" s="1"/>
  <c r="E21" i="126" s="1"/>
  <c r="C20" i="126"/>
  <c r="D20" i="126" s="1"/>
  <c r="F19" i="126"/>
  <c r="C19" i="126"/>
  <c r="F18" i="126"/>
  <c r="E18" i="126"/>
  <c r="J17" i="126"/>
  <c r="J16" i="126"/>
  <c r="J15" i="126"/>
  <c r="J14" i="126"/>
  <c r="D13" i="126"/>
  <c r="J12" i="126"/>
  <c r="J11" i="126"/>
  <c r="J10" i="126"/>
  <c r="J9" i="126"/>
  <c r="J8" i="126"/>
  <c r="J7" i="126"/>
  <c r="J6" i="126"/>
  <c r="J5" i="126"/>
  <c r="B91" i="125"/>
  <c r="I35" i="125"/>
  <c r="C35" i="125"/>
  <c r="G31" i="125"/>
  <c r="N52" i="125"/>
  <c r="I42" i="127" l="1"/>
  <c r="L42" i="127" s="1"/>
  <c r="B79" i="139"/>
  <c r="D79" i="139" s="1"/>
  <c r="H21" i="139" s="1"/>
  <c r="J21" i="139" s="1"/>
  <c r="H28" i="139"/>
  <c r="J28" i="139" s="1"/>
  <c r="B85" i="139"/>
  <c r="D85" i="139" s="1"/>
  <c r="B95" i="138"/>
  <c r="D95" i="138" s="1"/>
  <c r="B53" i="139"/>
  <c r="D53" i="139" s="1"/>
  <c r="B61" i="138"/>
  <c r="D61" i="138" s="1"/>
  <c r="H14" i="138" s="1"/>
  <c r="J14" i="138" s="1"/>
  <c r="B61" i="139"/>
  <c r="D61" i="139" s="1"/>
  <c r="B69" i="138"/>
  <c r="D69" i="138" s="1"/>
  <c r="B99" i="132"/>
  <c r="D99" i="132" s="1"/>
  <c r="G30" i="132" s="1"/>
  <c r="I30" i="132" s="1"/>
  <c r="J30" i="132" s="1"/>
  <c r="K30" i="132" s="1"/>
  <c r="B97" i="139"/>
  <c r="D97" i="139" s="1"/>
  <c r="B107" i="138"/>
  <c r="D107" i="138" s="1"/>
  <c r="B49" i="139"/>
  <c r="D49" i="139" s="1"/>
  <c r="K6" i="139" s="1"/>
  <c r="L6" i="139" s="1"/>
  <c r="B57" i="138"/>
  <c r="D57" i="138" s="1"/>
  <c r="H12" i="138" s="1"/>
  <c r="J12" i="138" s="1"/>
  <c r="B79" i="138"/>
  <c r="D79" i="138" s="1"/>
  <c r="B87" i="139"/>
  <c r="D87" i="139" s="1"/>
  <c r="B97" i="138"/>
  <c r="D97" i="138" s="1"/>
  <c r="I35" i="127"/>
  <c r="L35" i="127" s="1"/>
  <c r="B45" i="139"/>
  <c r="D45" i="139" s="1"/>
  <c r="B53" i="138"/>
  <c r="D53" i="138" s="1"/>
  <c r="B51" i="139"/>
  <c r="D51" i="139" s="1"/>
  <c r="B59" i="138"/>
  <c r="D59" i="138" s="1"/>
  <c r="B57" i="139"/>
  <c r="D57" i="139" s="1"/>
  <c r="K10" i="139" s="1"/>
  <c r="B65" i="138"/>
  <c r="D65" i="138" s="1"/>
  <c r="H16" i="138" s="1"/>
  <c r="J16" i="138" s="1"/>
  <c r="B73" i="139"/>
  <c r="D73" i="139" s="1"/>
  <c r="B83" i="138"/>
  <c r="D83" i="138" s="1"/>
  <c r="B65" i="139"/>
  <c r="D65" i="139" s="1"/>
  <c r="B73" i="138"/>
  <c r="D73" i="138" s="1"/>
  <c r="B91" i="139"/>
  <c r="D91" i="139" s="1"/>
  <c r="B101" i="138"/>
  <c r="D101" i="138" s="1"/>
  <c r="B89" i="139"/>
  <c r="D89" i="139" s="1"/>
  <c r="B99" i="138"/>
  <c r="D99" i="138" s="1"/>
  <c r="B95" i="139"/>
  <c r="D95" i="139" s="1"/>
  <c r="B105" i="138"/>
  <c r="D105" i="138" s="1"/>
  <c r="B47" i="139"/>
  <c r="D47" i="139" s="1"/>
  <c r="B55" i="138"/>
  <c r="D55" i="138" s="1"/>
  <c r="H11" i="138" s="1"/>
  <c r="B63" i="139"/>
  <c r="D63" i="139" s="1"/>
  <c r="B71" i="138"/>
  <c r="D71" i="138" s="1"/>
  <c r="B71" i="139"/>
  <c r="D71" i="139" s="1"/>
  <c r="H17" i="139" s="1"/>
  <c r="J17" i="139" s="1"/>
  <c r="B81" i="138"/>
  <c r="D81" i="138" s="1"/>
  <c r="H5" i="138" s="1"/>
  <c r="B67" i="139"/>
  <c r="D67" i="139" s="1"/>
  <c r="B75" i="138"/>
  <c r="D75" i="138" s="1"/>
  <c r="B81" i="139"/>
  <c r="D81" i="139" s="1"/>
  <c r="H22" i="139" s="1"/>
  <c r="B91" i="138"/>
  <c r="D91" i="138" s="1"/>
  <c r="H28" i="138" s="1"/>
  <c r="J28" i="138" s="1"/>
  <c r="B69" i="139"/>
  <c r="D69" i="139" s="1"/>
  <c r="B77" i="138"/>
  <c r="D77" i="138" s="1"/>
  <c r="B75" i="139"/>
  <c r="D75" i="139" s="1"/>
  <c r="B85" i="138"/>
  <c r="D85" i="138" s="1"/>
  <c r="B89" i="138"/>
  <c r="D89" i="138" s="1"/>
  <c r="B83" i="139"/>
  <c r="D83" i="139" s="1"/>
  <c r="B93" i="138"/>
  <c r="D93" i="138" s="1"/>
  <c r="B77" i="139"/>
  <c r="D77" i="139" s="1"/>
  <c r="B87" i="138"/>
  <c r="D87" i="138" s="1"/>
  <c r="B59" i="139"/>
  <c r="D59" i="139" s="1"/>
  <c r="H11" i="139" s="1"/>
  <c r="B67" i="138"/>
  <c r="D67" i="138" s="1"/>
  <c r="H17" i="138" s="1"/>
  <c r="J17" i="138" s="1"/>
  <c r="I39" i="127"/>
  <c r="L39" i="127" s="1"/>
  <c r="B76" i="137"/>
  <c r="D76" i="137" s="1"/>
  <c r="G18" i="137" s="1"/>
  <c r="D58" i="137"/>
  <c r="G9" i="137" s="1"/>
  <c r="B63" i="136"/>
  <c r="D63" i="136" s="1"/>
  <c r="B92" i="137"/>
  <c r="D92" i="137" s="1"/>
  <c r="B95" i="136"/>
  <c r="D95" i="136" s="1"/>
  <c r="G31" i="136" s="1"/>
  <c r="I31" i="136" s="1"/>
  <c r="J31" i="136" s="1"/>
  <c r="K31" i="136" s="1"/>
  <c r="B66" i="137"/>
  <c r="D66" i="137" s="1"/>
  <c r="G13" i="137" s="1"/>
  <c r="B71" i="136"/>
  <c r="D71" i="136" s="1"/>
  <c r="G19" i="136" s="1"/>
  <c r="I19" i="136" s="1"/>
  <c r="J19" i="136" s="1"/>
  <c r="K19" i="136" s="1"/>
  <c r="B68" i="137"/>
  <c r="D68" i="137" s="1"/>
  <c r="B73" i="136"/>
  <c r="D73" i="136" s="1"/>
  <c r="B96" i="137"/>
  <c r="D96" i="137" s="1"/>
  <c r="B99" i="136"/>
  <c r="D99" i="136" s="1"/>
  <c r="B94" i="137"/>
  <c r="D94" i="137" s="1"/>
  <c r="J27" i="137" s="1"/>
  <c r="K27" i="137" s="1"/>
  <c r="B97" i="136"/>
  <c r="D97" i="136" s="1"/>
  <c r="G32" i="136" s="1"/>
  <c r="I32" i="136" s="1"/>
  <c r="J32" i="136" s="1"/>
  <c r="K32" i="136" s="1"/>
  <c r="B100" i="137"/>
  <c r="D100" i="137" s="1"/>
  <c r="B103" i="136"/>
  <c r="D103" i="136" s="1"/>
  <c r="G35" i="136" s="1"/>
  <c r="I35" i="136" s="1"/>
  <c r="J35" i="136" s="1"/>
  <c r="K35" i="136" s="1"/>
  <c r="B50" i="137"/>
  <c r="D50" i="137" s="1"/>
  <c r="G5" i="137" s="1"/>
  <c r="B55" i="136"/>
  <c r="D55" i="136" s="1"/>
  <c r="G11" i="136" s="1"/>
  <c r="I11" i="136" s="1"/>
  <c r="J11" i="136" s="1"/>
  <c r="K11" i="136" s="1"/>
  <c r="B102" i="137"/>
  <c r="D102" i="137" s="1"/>
  <c r="B105" i="136"/>
  <c r="D105" i="136" s="1"/>
  <c r="G36" i="136" s="1"/>
  <c r="I36" i="136" s="1"/>
  <c r="J36" i="136" s="1"/>
  <c r="K36" i="136" s="1"/>
  <c r="B62" i="137"/>
  <c r="D62" i="137" s="1"/>
  <c r="G11" i="137" s="1"/>
  <c r="I11" i="137" s="1"/>
  <c r="B67" i="136"/>
  <c r="D67" i="136" s="1"/>
  <c r="G4" i="136" s="1"/>
  <c r="B52" i="137"/>
  <c r="D52" i="137" s="1"/>
  <c r="G6" i="137" s="1"/>
  <c r="B57" i="136"/>
  <c r="D57" i="136" s="1"/>
  <c r="G12" i="136" s="1"/>
  <c r="I12" i="136" s="1"/>
  <c r="J12" i="136" s="1"/>
  <c r="K12" i="136" s="1"/>
  <c r="B74" i="137"/>
  <c r="D74" i="137" s="1"/>
  <c r="B79" i="136"/>
  <c r="D79" i="136" s="1"/>
  <c r="B82" i="137"/>
  <c r="D82" i="137" s="1"/>
  <c r="G21" i="137" s="1"/>
  <c r="I21" i="137" s="1"/>
  <c r="B85" i="136"/>
  <c r="D85" i="136" s="1"/>
  <c r="G26" i="136" s="1"/>
  <c r="I26" i="136" s="1"/>
  <c r="J26" i="136" s="1"/>
  <c r="K26" i="136" s="1"/>
  <c r="D98" i="137"/>
  <c r="G29" i="137" s="1"/>
  <c r="I29" i="137" s="1"/>
  <c r="J29" i="137" s="1"/>
  <c r="K29" i="137" s="1"/>
  <c r="B101" i="136"/>
  <c r="D101" i="136" s="1"/>
  <c r="B72" i="137"/>
  <c r="D72" i="137" s="1"/>
  <c r="J16" i="137" s="1"/>
  <c r="K16" i="137" s="1"/>
  <c r="B77" i="136"/>
  <c r="D77" i="136" s="1"/>
  <c r="G22" i="136" s="1"/>
  <c r="I22" i="136" s="1"/>
  <c r="J22" i="136" s="1"/>
  <c r="K22" i="136" s="1"/>
  <c r="B80" i="137"/>
  <c r="D80" i="137" s="1"/>
  <c r="B83" i="136"/>
  <c r="D83" i="136" s="1"/>
  <c r="B84" i="137"/>
  <c r="D84" i="137" s="1"/>
  <c r="B87" i="136"/>
  <c r="D87" i="136" s="1"/>
  <c r="B88" i="137"/>
  <c r="D88" i="137" s="1"/>
  <c r="B91" i="136"/>
  <c r="D91" i="136" s="1"/>
  <c r="G29" i="136" s="1"/>
  <c r="I29" i="136" s="1"/>
  <c r="J29" i="136" s="1"/>
  <c r="K29" i="136" s="1"/>
  <c r="I45" i="127"/>
  <c r="L45" i="127" s="1"/>
  <c r="B86" i="137"/>
  <c r="D86" i="137" s="1"/>
  <c r="G23" i="137" s="1"/>
  <c r="B89" i="136"/>
  <c r="D89" i="136" s="1"/>
  <c r="G5" i="136" s="1"/>
  <c r="I5" i="136" s="1"/>
  <c r="K5" i="136" s="1"/>
  <c r="B54" i="137"/>
  <c r="D54" i="137" s="1"/>
  <c r="B59" i="136"/>
  <c r="D59" i="136" s="1"/>
  <c r="B90" i="137"/>
  <c r="D90" i="137" s="1"/>
  <c r="J25" i="137" s="1"/>
  <c r="K25" i="137" s="1"/>
  <c r="B93" i="136"/>
  <c r="D93" i="136" s="1"/>
  <c r="G30" i="136" s="1"/>
  <c r="I30" i="136" s="1"/>
  <c r="J30" i="136" s="1"/>
  <c r="K30" i="136" s="1"/>
  <c r="B60" i="137"/>
  <c r="D60" i="137" s="1"/>
  <c r="G10" i="137" s="1"/>
  <c r="I10" i="137" s="1"/>
  <c r="B65" i="136"/>
  <c r="D65" i="136" s="1"/>
  <c r="G16" i="136" s="1"/>
  <c r="I16" i="136" s="1"/>
  <c r="J16" i="136" s="1"/>
  <c r="K16" i="136" s="1"/>
  <c r="B70" i="137"/>
  <c r="D70" i="137" s="1"/>
  <c r="G15" i="137" s="1"/>
  <c r="B75" i="136"/>
  <c r="D75" i="136" s="1"/>
  <c r="G21" i="136" s="1"/>
  <c r="I21" i="136" s="1"/>
  <c r="J21" i="136" s="1"/>
  <c r="K21" i="136" s="1"/>
  <c r="B56" i="137"/>
  <c r="D56" i="137" s="1"/>
  <c r="G8" i="137" s="1"/>
  <c r="I8" i="137" s="1"/>
  <c r="B61" i="136"/>
  <c r="D61" i="136" s="1"/>
  <c r="B64" i="137"/>
  <c r="D64" i="137" s="1"/>
  <c r="B69" i="136"/>
  <c r="D69" i="136" s="1"/>
  <c r="B78" i="137"/>
  <c r="D78" i="137" s="1"/>
  <c r="B81" i="136"/>
  <c r="D81" i="136" s="1"/>
  <c r="B48" i="137"/>
  <c r="D48" i="137" s="1"/>
  <c r="G4" i="137" s="1"/>
  <c r="I4" i="137" s="1"/>
  <c r="B53" i="136"/>
  <c r="D53" i="136" s="1"/>
  <c r="G10" i="136" s="1"/>
  <c r="B95" i="135"/>
  <c r="D95" i="135" s="1"/>
  <c r="G33" i="135" s="1"/>
  <c r="I33" i="135" s="1"/>
  <c r="B84" i="134"/>
  <c r="D84" i="134" s="1"/>
  <c r="G31" i="134" s="1"/>
  <c r="I31" i="134" s="1"/>
  <c r="J31" i="134" s="1"/>
  <c r="K31" i="134" s="1"/>
  <c r="I5" i="127"/>
  <c r="L5" i="127" s="1"/>
  <c r="B61" i="135"/>
  <c r="D61" i="135" s="1"/>
  <c r="G5" i="135" s="1"/>
  <c r="I5" i="135" s="1"/>
  <c r="K5" i="135" s="1"/>
  <c r="B52" i="134"/>
  <c r="D52" i="134" s="1"/>
  <c r="G14" i="134" s="1"/>
  <c r="I14" i="134" s="1"/>
  <c r="J14" i="134" s="1"/>
  <c r="K14" i="134" s="1"/>
  <c r="B67" i="135"/>
  <c r="D67" i="135" s="1"/>
  <c r="B58" i="134"/>
  <c r="D58" i="134" s="1"/>
  <c r="G17" i="134" s="1"/>
  <c r="I17" i="134" s="1"/>
  <c r="J17" i="134" s="1"/>
  <c r="K17" i="134" s="1"/>
  <c r="B85" i="135"/>
  <c r="D85" i="135" s="1"/>
  <c r="B74" i="134"/>
  <c r="D74" i="134" s="1"/>
  <c r="G25" i="134" s="1"/>
  <c r="I25" i="134" s="1"/>
  <c r="J25" i="134" s="1"/>
  <c r="K25" i="134" s="1"/>
  <c r="B94" i="133"/>
  <c r="D94" i="133" s="1"/>
  <c r="G7" i="133" s="1"/>
  <c r="I7" i="133" s="1"/>
  <c r="K7" i="133" s="1"/>
  <c r="B103" i="135"/>
  <c r="D103" i="135" s="1"/>
  <c r="G35" i="135" s="1"/>
  <c r="I35" i="135" s="1"/>
  <c r="J35" i="135" s="1"/>
  <c r="K35" i="135" s="1"/>
  <c r="B90" i="134"/>
  <c r="D90" i="134" s="1"/>
  <c r="G33" i="134" s="1"/>
  <c r="I33" i="134" s="1"/>
  <c r="J33" i="134" s="1"/>
  <c r="K33" i="134" s="1"/>
  <c r="B91" i="135"/>
  <c r="D91" i="135" s="1"/>
  <c r="G29" i="135" s="1"/>
  <c r="I29" i="135" s="1"/>
  <c r="J29" i="135" s="1"/>
  <c r="B80" i="134"/>
  <c r="D80" i="134" s="1"/>
  <c r="G7" i="134" s="1"/>
  <c r="I7" i="134" s="1"/>
  <c r="K7" i="134" s="1"/>
  <c r="B77" i="135"/>
  <c r="D77" i="135" s="1"/>
  <c r="G22" i="135" s="1"/>
  <c r="I22" i="135" s="1"/>
  <c r="B66" i="134"/>
  <c r="D66" i="134" s="1"/>
  <c r="G5" i="134" s="1"/>
  <c r="I5" i="134" s="1"/>
  <c r="K5" i="134" s="1"/>
  <c r="B70" i="133"/>
  <c r="D70" i="133" s="1"/>
  <c r="G24" i="133" s="1"/>
  <c r="I24" i="133" s="1"/>
  <c r="J24" i="133" s="1"/>
  <c r="K24" i="133" s="1"/>
  <c r="I38" i="127"/>
  <c r="L38" i="127" s="1"/>
  <c r="I37" i="126"/>
  <c r="B79" i="135"/>
  <c r="D79" i="135" s="1"/>
  <c r="G23" i="135" s="1"/>
  <c r="I23" i="135" s="1"/>
  <c r="B68" i="134"/>
  <c r="D68" i="134" s="1"/>
  <c r="G22" i="134" s="1"/>
  <c r="I22" i="134" s="1"/>
  <c r="J22" i="134" s="1"/>
  <c r="K22" i="134" s="1"/>
  <c r="B107" i="135"/>
  <c r="D107" i="135" s="1"/>
  <c r="B94" i="134"/>
  <c r="D94" i="134" s="1"/>
  <c r="B96" i="133"/>
  <c r="D96" i="133" s="1"/>
  <c r="G8" i="133" s="1"/>
  <c r="I8" i="133" s="1"/>
  <c r="K8" i="133" s="1"/>
  <c r="B105" i="135"/>
  <c r="D105" i="135" s="1"/>
  <c r="G36" i="135" s="1"/>
  <c r="I36" i="135" s="1"/>
  <c r="J36" i="135" s="1"/>
  <c r="K36" i="135" s="1"/>
  <c r="B92" i="134"/>
  <c r="D92" i="134" s="1"/>
  <c r="G34" i="134" s="1"/>
  <c r="I34" i="134" s="1"/>
  <c r="B102" i="133"/>
  <c r="D102" i="133" s="1"/>
  <c r="G9" i="133" s="1"/>
  <c r="I9" i="133" s="1"/>
  <c r="B111" i="135"/>
  <c r="D111" i="135" s="1"/>
  <c r="G39" i="135" s="1"/>
  <c r="I39" i="135" s="1"/>
  <c r="J39" i="135" s="1"/>
  <c r="K39" i="135" s="1"/>
  <c r="B98" i="134"/>
  <c r="D98" i="134" s="1"/>
  <c r="G36" i="134" s="1"/>
  <c r="I36" i="134" s="1"/>
  <c r="I4" i="127"/>
  <c r="L4" i="127" s="1"/>
  <c r="B59" i="135"/>
  <c r="D59" i="135" s="1"/>
  <c r="G4" i="135" s="1"/>
  <c r="B50" i="134"/>
  <c r="D50" i="134" s="1"/>
  <c r="G13" i="134" s="1"/>
  <c r="B104" i="133"/>
  <c r="D104" i="133" s="1"/>
  <c r="G10" i="133" s="1"/>
  <c r="I10" i="133" s="1"/>
  <c r="K10" i="133" s="1"/>
  <c r="B113" i="135"/>
  <c r="D113" i="135" s="1"/>
  <c r="G40" i="135" s="1"/>
  <c r="I40" i="135" s="1"/>
  <c r="J40" i="135" s="1"/>
  <c r="K40" i="135" s="1"/>
  <c r="B100" i="134"/>
  <c r="D100" i="134" s="1"/>
  <c r="G37" i="134" s="1"/>
  <c r="I37" i="134" s="1"/>
  <c r="J37" i="134" s="1"/>
  <c r="K37" i="134" s="1"/>
  <c r="B73" i="135"/>
  <c r="D73" i="135" s="1"/>
  <c r="G20" i="135" s="1"/>
  <c r="I20" i="135" s="1"/>
  <c r="I37" i="127"/>
  <c r="L37" i="127" s="1"/>
  <c r="B71" i="135"/>
  <c r="D71" i="135" s="1"/>
  <c r="B62" i="134"/>
  <c r="D62" i="134" s="1"/>
  <c r="B109" i="135"/>
  <c r="D109" i="135" s="1"/>
  <c r="B96" i="134"/>
  <c r="D96" i="134" s="1"/>
  <c r="B76" i="133"/>
  <c r="D76" i="133" s="1"/>
  <c r="G4" i="133" s="1"/>
  <c r="I4" i="133" s="1"/>
  <c r="K4" i="133" s="1"/>
  <c r="B83" i="135"/>
  <c r="D83" i="135" s="1"/>
  <c r="G25" i="135" s="1"/>
  <c r="I25" i="135" s="1"/>
  <c r="J25" i="135" s="1"/>
  <c r="B72" i="134"/>
  <c r="D72" i="134" s="1"/>
  <c r="G24" i="134" s="1"/>
  <c r="I24" i="134" s="1"/>
  <c r="J24" i="134" s="1"/>
  <c r="K24" i="134" s="1"/>
  <c r="B89" i="135"/>
  <c r="D89" i="135" s="1"/>
  <c r="B78" i="134"/>
  <c r="D78" i="134" s="1"/>
  <c r="B93" i="135"/>
  <c r="D93" i="135" s="1"/>
  <c r="B82" i="134"/>
  <c r="D82" i="134" s="1"/>
  <c r="B90" i="133"/>
  <c r="D90" i="133" s="1"/>
  <c r="G5" i="133" s="1"/>
  <c r="I5" i="133" s="1"/>
  <c r="K5" i="133" s="1"/>
  <c r="B99" i="135"/>
  <c r="D99" i="135" s="1"/>
  <c r="B86" i="134"/>
  <c r="D86" i="134" s="1"/>
  <c r="I43" i="127"/>
  <c r="L43" i="127" s="1"/>
  <c r="B97" i="135"/>
  <c r="D97" i="135" s="1"/>
  <c r="G32" i="135" s="1"/>
  <c r="B63" i="135"/>
  <c r="D63" i="135" s="1"/>
  <c r="B54" i="134"/>
  <c r="D54" i="134" s="1"/>
  <c r="B92" i="133"/>
  <c r="D92" i="133" s="1"/>
  <c r="G6" i="133" s="1"/>
  <c r="I6" i="133" s="1"/>
  <c r="B101" i="135"/>
  <c r="D101" i="135" s="1"/>
  <c r="G34" i="135" s="1"/>
  <c r="I34" i="135" s="1"/>
  <c r="J34" i="135" s="1"/>
  <c r="K34" i="135" s="1"/>
  <c r="B88" i="134"/>
  <c r="D88" i="134" s="1"/>
  <c r="G32" i="134" s="1"/>
  <c r="I32" i="134" s="1"/>
  <c r="I9" i="127"/>
  <c r="L9" i="127" s="1"/>
  <c r="B69" i="135"/>
  <c r="D69" i="135" s="1"/>
  <c r="G7" i="135" s="1"/>
  <c r="I7" i="135" s="1"/>
  <c r="K7" i="135" s="1"/>
  <c r="B60" i="134"/>
  <c r="D60" i="134" s="1"/>
  <c r="G18" i="134" s="1"/>
  <c r="I18" i="134" s="1"/>
  <c r="J18" i="134" s="1"/>
  <c r="K18" i="134" s="1"/>
  <c r="I14" i="127"/>
  <c r="L14" i="127" s="1"/>
  <c r="B81" i="135"/>
  <c r="D81" i="135" s="1"/>
  <c r="G24" i="135" s="1"/>
  <c r="I24" i="135" s="1"/>
  <c r="B70" i="134"/>
  <c r="D70" i="134" s="1"/>
  <c r="G6" i="134" s="1"/>
  <c r="I6" i="134" s="1"/>
  <c r="K6" i="134" s="1"/>
  <c r="B74" i="133"/>
  <c r="D74" i="133" s="1"/>
  <c r="G26" i="133" s="1"/>
  <c r="I26" i="133" s="1"/>
  <c r="J26" i="133" s="1"/>
  <c r="K26" i="133" s="1"/>
  <c r="I7" i="127"/>
  <c r="L7" i="127" s="1"/>
  <c r="B65" i="135"/>
  <c r="D65" i="135" s="1"/>
  <c r="G6" i="135" s="1"/>
  <c r="I6" i="135" s="1"/>
  <c r="K6" i="135" s="1"/>
  <c r="B56" i="134"/>
  <c r="D56" i="134" s="1"/>
  <c r="G16" i="134" s="1"/>
  <c r="I16" i="134" s="1"/>
  <c r="B75" i="135"/>
  <c r="D75" i="135" s="1"/>
  <c r="B64" i="134"/>
  <c r="D64" i="134" s="1"/>
  <c r="B87" i="135"/>
  <c r="D87" i="135" s="1"/>
  <c r="B76" i="134"/>
  <c r="D76" i="134" s="1"/>
  <c r="B57" i="135"/>
  <c r="D57" i="135" s="1"/>
  <c r="G12" i="135" s="1"/>
  <c r="B48" i="134"/>
  <c r="D48" i="134" s="1"/>
  <c r="G4" i="134" s="1"/>
  <c r="K9" i="133"/>
  <c r="I15" i="133"/>
  <c r="B84" i="133"/>
  <c r="D84" i="133" s="1"/>
  <c r="I41" i="127"/>
  <c r="L41" i="127" s="1"/>
  <c r="B71" i="132"/>
  <c r="D71" i="132" s="1"/>
  <c r="G17" i="132" s="1"/>
  <c r="I17" i="132" s="1"/>
  <c r="J17" i="132" s="1"/>
  <c r="K17" i="132" s="1"/>
  <c r="B78" i="133"/>
  <c r="D78" i="133" s="1"/>
  <c r="G28" i="133" s="1"/>
  <c r="I28" i="133" s="1"/>
  <c r="J28" i="133" s="1"/>
  <c r="K28" i="133" s="1"/>
  <c r="B93" i="132"/>
  <c r="D93" i="132" s="1"/>
  <c r="G27" i="132" s="1"/>
  <c r="I27" i="132" s="1"/>
  <c r="J27" i="132" s="1"/>
  <c r="K27" i="132" s="1"/>
  <c r="B98" i="133"/>
  <c r="D98" i="133" s="1"/>
  <c r="I38" i="133" s="1"/>
  <c r="J38" i="133" s="1"/>
  <c r="K38" i="133" s="1"/>
  <c r="B77" i="132"/>
  <c r="D77" i="132" s="1"/>
  <c r="G19" i="132" s="1"/>
  <c r="I19" i="132" s="1"/>
  <c r="J19" i="132" s="1"/>
  <c r="K19" i="132" s="1"/>
  <c r="B82" i="133"/>
  <c r="D82" i="133" s="1"/>
  <c r="B81" i="132"/>
  <c r="D81" i="132" s="1"/>
  <c r="G21" i="132" s="1"/>
  <c r="I21" i="132" s="1"/>
  <c r="J21" i="132" s="1"/>
  <c r="K21" i="132" s="1"/>
  <c r="B86" i="133"/>
  <c r="D86" i="133" s="1"/>
  <c r="B73" i="132"/>
  <c r="D73" i="132" s="1"/>
  <c r="G18" i="132" s="1"/>
  <c r="I18" i="132" s="1"/>
  <c r="J18" i="132" s="1"/>
  <c r="K18" i="132" s="1"/>
  <c r="B83" i="132"/>
  <c r="D83" i="132" s="1"/>
  <c r="G22" i="132" s="1"/>
  <c r="I22" i="132" s="1"/>
  <c r="J22" i="132" s="1"/>
  <c r="K22" i="132" s="1"/>
  <c r="B88" i="133"/>
  <c r="D88" i="133" s="1"/>
  <c r="I33" i="133" s="1"/>
  <c r="J33" i="133" s="1"/>
  <c r="K33" i="133" s="1"/>
  <c r="B55" i="132"/>
  <c r="D55" i="132" s="1"/>
  <c r="G9" i="132" s="1"/>
  <c r="I9" i="132" s="1"/>
  <c r="J9" i="132" s="1"/>
  <c r="K9" i="132" s="1"/>
  <c r="B62" i="133"/>
  <c r="D62" i="133" s="1"/>
  <c r="G20" i="133" s="1"/>
  <c r="I20" i="133" s="1"/>
  <c r="J20" i="133" s="1"/>
  <c r="K20" i="133" s="1"/>
  <c r="B63" i="132"/>
  <c r="D63" i="132" s="1"/>
  <c r="B65" i="132"/>
  <c r="D65" i="132" s="1"/>
  <c r="G14" i="132" s="1"/>
  <c r="I14" i="132" s="1"/>
  <c r="J14" i="132" s="1"/>
  <c r="K14" i="132" s="1"/>
  <c r="B72" i="133"/>
  <c r="D72" i="133" s="1"/>
  <c r="G25" i="133" s="1"/>
  <c r="I25" i="133" s="1"/>
  <c r="B79" i="132"/>
  <c r="D79" i="132" s="1"/>
  <c r="G20" i="132" s="1"/>
  <c r="I20" i="132" s="1"/>
  <c r="J20" i="132" s="1"/>
  <c r="K20" i="132" s="1"/>
  <c r="B59" i="132"/>
  <c r="D59" i="132" s="1"/>
  <c r="G11" i="132" s="1"/>
  <c r="I11" i="132" s="1"/>
  <c r="J11" i="132" s="1"/>
  <c r="K11" i="132" s="1"/>
  <c r="B66" i="133"/>
  <c r="D66" i="133" s="1"/>
  <c r="B95" i="132"/>
  <c r="D95" i="132" s="1"/>
  <c r="G28" i="132" s="1"/>
  <c r="I28" i="132" s="1"/>
  <c r="J28" i="132" s="1"/>
  <c r="K28" i="132" s="1"/>
  <c r="B100" i="133"/>
  <c r="D100" i="133" s="1"/>
  <c r="I39" i="133" s="1"/>
  <c r="B51" i="132"/>
  <c r="D51" i="132" s="1"/>
  <c r="G7" i="132" s="1"/>
  <c r="I7" i="132" s="1"/>
  <c r="B58" i="133"/>
  <c r="D58" i="133" s="1"/>
  <c r="B61" i="132"/>
  <c r="D61" i="132" s="1"/>
  <c r="G12" i="132" s="1"/>
  <c r="I12" i="132" s="1"/>
  <c r="J12" i="132" s="1"/>
  <c r="K12" i="132" s="1"/>
  <c r="B68" i="133"/>
  <c r="D68" i="133" s="1"/>
  <c r="B75" i="132"/>
  <c r="D75" i="132" s="1"/>
  <c r="B80" i="133"/>
  <c r="D80" i="133" s="1"/>
  <c r="I15" i="127"/>
  <c r="L15" i="127" s="1"/>
  <c r="B69" i="132"/>
  <c r="D69" i="132" s="1"/>
  <c r="G16" i="132" s="1"/>
  <c r="I22" i="127"/>
  <c r="L22" i="127" s="1"/>
  <c r="B85" i="132"/>
  <c r="D85" i="132" s="1"/>
  <c r="I23" i="127"/>
  <c r="L23" i="127" s="1"/>
  <c r="B87" i="132"/>
  <c r="D87" i="132" s="1"/>
  <c r="G24" i="132" s="1"/>
  <c r="H30" i="127"/>
  <c r="B45" i="132"/>
  <c r="D45" i="132" s="1"/>
  <c r="I24" i="127"/>
  <c r="L24" i="127" s="1"/>
  <c r="B89" i="132"/>
  <c r="D89" i="132" s="1"/>
  <c r="G25" i="132" s="1"/>
  <c r="I25" i="132" s="1"/>
  <c r="J25" i="132" s="1"/>
  <c r="K25" i="132" s="1"/>
  <c r="I25" i="127"/>
  <c r="L25" i="127" s="1"/>
  <c r="B91" i="132"/>
  <c r="D91" i="132" s="1"/>
  <c r="G26" i="132" s="1"/>
  <c r="I28" i="127"/>
  <c r="L28" i="127" s="1"/>
  <c r="B97" i="132"/>
  <c r="D97" i="132" s="1"/>
  <c r="G29" i="132" s="1"/>
  <c r="I29" i="132" s="1"/>
  <c r="J29" i="132" s="1"/>
  <c r="K29" i="132" s="1"/>
  <c r="B85" i="129"/>
  <c r="D85" i="129" s="1"/>
  <c r="G25" i="129" s="1"/>
  <c r="I25" i="129" s="1"/>
  <c r="J25" i="129" s="1"/>
  <c r="K25" i="129" s="1"/>
  <c r="B79" i="131"/>
  <c r="D79" i="131" s="1"/>
  <c r="G25" i="131" s="1"/>
  <c r="I25" i="131" s="1"/>
  <c r="J25" i="131" s="1"/>
  <c r="K25" i="131" s="1"/>
  <c r="B86" i="130"/>
  <c r="D86" i="130" s="1"/>
  <c r="G27" i="130" s="1"/>
  <c r="I27" i="130" s="1"/>
  <c r="J27" i="130" s="1"/>
  <c r="K27" i="130" s="1"/>
  <c r="B59" i="131"/>
  <c r="D59" i="131" s="1"/>
  <c r="G16" i="131" s="1"/>
  <c r="I16" i="131" s="1"/>
  <c r="B66" i="130"/>
  <c r="D66" i="130" s="1"/>
  <c r="B101" i="129"/>
  <c r="D101" i="129" s="1"/>
  <c r="G33" i="129" s="1"/>
  <c r="I33" i="129" s="1"/>
  <c r="J33" i="129" s="1"/>
  <c r="K33" i="129" s="1"/>
  <c r="B95" i="131"/>
  <c r="D95" i="131" s="1"/>
  <c r="G33" i="131" s="1"/>
  <c r="I33" i="131" s="1"/>
  <c r="J33" i="131" s="1"/>
  <c r="K33" i="131" s="1"/>
  <c r="B102" i="130"/>
  <c r="D102" i="130" s="1"/>
  <c r="G35" i="130" s="1"/>
  <c r="I35" i="130" s="1"/>
  <c r="J35" i="130" s="1"/>
  <c r="K35" i="130" s="1"/>
  <c r="B83" i="129"/>
  <c r="D83" i="129" s="1"/>
  <c r="G24" i="129" s="1"/>
  <c r="I24" i="129" s="1"/>
  <c r="J24" i="129" s="1"/>
  <c r="K24" i="129" s="1"/>
  <c r="B77" i="131"/>
  <c r="D77" i="131" s="1"/>
  <c r="G24" i="131" s="1"/>
  <c r="I24" i="131" s="1"/>
  <c r="J24" i="131" s="1"/>
  <c r="K24" i="131" s="1"/>
  <c r="B84" i="130"/>
  <c r="D84" i="130" s="1"/>
  <c r="G26" i="130" s="1"/>
  <c r="I26" i="130" s="1"/>
  <c r="B87" i="129"/>
  <c r="D87" i="129" s="1"/>
  <c r="G26" i="129" s="1"/>
  <c r="I26" i="129" s="1"/>
  <c r="J26" i="129" s="1"/>
  <c r="K26" i="129" s="1"/>
  <c r="B81" i="131"/>
  <c r="D81" i="131" s="1"/>
  <c r="G26" i="131" s="1"/>
  <c r="I26" i="131" s="1"/>
  <c r="J26" i="131" s="1"/>
  <c r="K26" i="131" s="1"/>
  <c r="B88" i="130"/>
  <c r="D88" i="130" s="1"/>
  <c r="G28" i="130" s="1"/>
  <c r="I28" i="130" s="1"/>
  <c r="J28" i="130" s="1"/>
  <c r="K28" i="130" s="1"/>
  <c r="B73" i="131"/>
  <c r="D73" i="131" s="1"/>
  <c r="G23" i="131" s="1"/>
  <c r="I23" i="131" s="1"/>
  <c r="B80" i="130"/>
  <c r="D80" i="130" s="1"/>
  <c r="I13" i="127"/>
  <c r="L13" i="127" s="1"/>
  <c r="B65" i="131"/>
  <c r="D65" i="131" s="1"/>
  <c r="G19" i="131" s="1"/>
  <c r="I19" i="131" s="1"/>
  <c r="J19" i="131" s="1"/>
  <c r="K19" i="131" s="1"/>
  <c r="B93" i="131"/>
  <c r="D93" i="131" s="1"/>
  <c r="G32" i="131" s="1"/>
  <c r="I32" i="131" s="1"/>
  <c r="J32" i="131" s="1"/>
  <c r="K32" i="131" s="1"/>
  <c r="B100" i="130"/>
  <c r="D100" i="130" s="1"/>
  <c r="B51" i="131"/>
  <c r="D51" i="131" s="1"/>
  <c r="G12" i="131" s="1"/>
  <c r="B58" i="130"/>
  <c r="D58" i="130" s="1"/>
  <c r="B67" i="129"/>
  <c r="D67" i="129" s="1"/>
  <c r="G4" i="129" s="1"/>
  <c r="I4" i="129" s="1"/>
  <c r="B61" i="131"/>
  <c r="D61" i="131" s="1"/>
  <c r="G17" i="131" s="1"/>
  <c r="I17" i="131" s="1"/>
  <c r="J17" i="131" s="1"/>
  <c r="K17" i="131" s="1"/>
  <c r="B68" i="130"/>
  <c r="D68" i="130" s="1"/>
  <c r="G4" i="130" s="1"/>
  <c r="B75" i="131"/>
  <c r="D75" i="131" s="1"/>
  <c r="B82" i="130"/>
  <c r="D82" i="130" s="1"/>
  <c r="B105" i="129"/>
  <c r="D105" i="129" s="1"/>
  <c r="G35" i="129" s="1"/>
  <c r="I35" i="129" s="1"/>
  <c r="J35" i="129" s="1"/>
  <c r="K35" i="129" s="1"/>
  <c r="B99" i="131"/>
  <c r="D99" i="131" s="1"/>
  <c r="B106" i="130"/>
  <c r="D106" i="130" s="1"/>
  <c r="G37" i="130" s="1"/>
  <c r="I37" i="130" s="1"/>
  <c r="J37" i="130" s="1"/>
  <c r="K37" i="130" s="1"/>
  <c r="B45" i="131"/>
  <c r="D45" i="131" s="1"/>
  <c r="B52" i="130"/>
  <c r="D52" i="130" s="1"/>
  <c r="B89" i="129"/>
  <c r="D89" i="129" s="1"/>
  <c r="G27" i="129" s="1"/>
  <c r="I27" i="129" s="1"/>
  <c r="J27" i="129" s="1"/>
  <c r="K27" i="129" s="1"/>
  <c r="B83" i="131"/>
  <c r="D83" i="131" s="1"/>
  <c r="G27" i="131" s="1"/>
  <c r="I27" i="131" s="1"/>
  <c r="J27" i="131" s="1"/>
  <c r="K27" i="131" s="1"/>
  <c r="B90" i="130"/>
  <c r="D90" i="130" s="1"/>
  <c r="G29" i="130" s="1"/>
  <c r="I29" i="130" s="1"/>
  <c r="J29" i="130" s="1"/>
  <c r="K29" i="130" s="1"/>
  <c r="I8" i="127"/>
  <c r="L8" i="127" s="1"/>
  <c r="B55" i="131"/>
  <c r="D55" i="131" s="1"/>
  <c r="G4" i="131" s="1"/>
  <c r="B62" i="130"/>
  <c r="D62" i="130" s="1"/>
  <c r="G16" i="130" s="1"/>
  <c r="I16" i="130" s="1"/>
  <c r="B69" i="129"/>
  <c r="D69" i="129" s="1"/>
  <c r="G17" i="129" s="1"/>
  <c r="I17" i="129" s="1"/>
  <c r="J17" i="129" s="1"/>
  <c r="K17" i="129" s="1"/>
  <c r="B63" i="131"/>
  <c r="D63" i="131" s="1"/>
  <c r="B70" i="130"/>
  <c r="D70" i="130" s="1"/>
  <c r="G20" i="130" s="1"/>
  <c r="I20" i="130" s="1"/>
  <c r="J20" i="130" s="1"/>
  <c r="K20" i="130" s="1"/>
  <c r="I16" i="127"/>
  <c r="L16" i="127" s="1"/>
  <c r="B71" i="131"/>
  <c r="D71" i="131" s="1"/>
  <c r="G5" i="131" s="1"/>
  <c r="I5" i="131" s="1"/>
  <c r="K5" i="131" s="1"/>
  <c r="B78" i="130"/>
  <c r="D78" i="130" s="1"/>
  <c r="G24" i="130" s="1"/>
  <c r="I24" i="130" s="1"/>
  <c r="I40" i="127"/>
  <c r="L40" i="127" s="1"/>
  <c r="B81" i="129"/>
  <c r="D81" i="129" s="1"/>
  <c r="I6" i="127"/>
  <c r="L6" i="127" s="1"/>
  <c r="B57" i="129"/>
  <c r="D57" i="129" s="1"/>
  <c r="G11" i="129" s="1"/>
  <c r="B42" i="128"/>
  <c r="D42" i="128" s="1"/>
  <c r="B51" i="129"/>
  <c r="D51" i="129" s="1"/>
  <c r="I26" i="127"/>
  <c r="L26" i="127" s="1"/>
  <c r="B99" i="129"/>
  <c r="D99" i="129" s="1"/>
  <c r="G32" i="129" s="1"/>
  <c r="I32" i="129" s="1"/>
  <c r="J32" i="129" s="1"/>
  <c r="K32" i="129" s="1"/>
  <c r="I10" i="127"/>
  <c r="L10" i="127" s="1"/>
  <c r="B65" i="129"/>
  <c r="D65" i="129" s="1"/>
  <c r="B70" i="128"/>
  <c r="D70" i="128" s="1"/>
  <c r="G18" i="128" s="1"/>
  <c r="I18" i="128" s="1"/>
  <c r="B79" i="129"/>
  <c r="D79" i="129" s="1"/>
  <c r="G22" i="129" s="1"/>
  <c r="I22" i="129" s="1"/>
  <c r="J22" i="129" s="1"/>
  <c r="K22" i="129" s="1"/>
  <c r="D19" i="126"/>
  <c r="E19" i="126" s="1"/>
  <c r="I19" i="126" s="1"/>
  <c r="C31" i="126"/>
  <c r="I18" i="126"/>
  <c r="J18" i="126" s="1"/>
  <c r="K18" i="126" s="1"/>
  <c r="E13" i="126"/>
  <c r="I13" i="126" s="1"/>
  <c r="F31" i="126"/>
  <c r="H31" i="126"/>
  <c r="I11" i="127"/>
  <c r="L11" i="127" s="1"/>
  <c r="B58" i="128"/>
  <c r="D58" i="128" s="1"/>
  <c r="G12" i="128" s="1"/>
  <c r="B90" i="128"/>
  <c r="D90" i="128" s="1"/>
  <c r="G28" i="128" s="1"/>
  <c r="I28" i="128" s="1"/>
  <c r="J28" i="128" s="1"/>
  <c r="K28" i="128" s="1"/>
  <c r="I27" i="127"/>
  <c r="L27" i="127" s="1"/>
  <c r="B72" i="128"/>
  <c r="D72" i="128" s="1"/>
  <c r="G19" i="128" s="1"/>
  <c r="I19" i="128" s="1"/>
  <c r="J19" i="128" s="1"/>
  <c r="I18" i="127"/>
  <c r="L18" i="127" s="1"/>
  <c r="B76" i="128"/>
  <c r="D76" i="128" s="1"/>
  <c r="G21" i="128" s="1"/>
  <c r="I21" i="128" s="1"/>
  <c r="J21" i="128" s="1"/>
  <c r="K21" i="128" s="1"/>
  <c r="I20" i="127"/>
  <c r="L20" i="127" s="1"/>
  <c r="I17" i="127"/>
  <c r="L17" i="127" s="1"/>
  <c r="I4" i="128"/>
  <c r="I3" i="127"/>
  <c r="B78" i="128"/>
  <c r="D78" i="128" s="1"/>
  <c r="G22" i="128" s="1"/>
  <c r="I22" i="128" s="1"/>
  <c r="J22" i="128" s="1"/>
  <c r="K22" i="128" s="1"/>
  <c r="I21" i="127"/>
  <c r="L21" i="127" s="1"/>
  <c r="B60" i="128"/>
  <c r="D60" i="128" s="1"/>
  <c r="G13" i="128" s="1"/>
  <c r="I12" i="127"/>
  <c r="L12" i="127" s="1"/>
  <c r="B94" i="128"/>
  <c r="D94" i="128" s="1"/>
  <c r="G30" i="128" s="1"/>
  <c r="I30" i="128" s="1"/>
  <c r="J30" i="128" s="1"/>
  <c r="K30" i="128" s="1"/>
  <c r="I29" i="127"/>
  <c r="L29" i="127" s="1"/>
  <c r="B74" i="128"/>
  <c r="D74" i="128" s="1"/>
  <c r="G20" i="128" s="1"/>
  <c r="I20" i="128" s="1"/>
  <c r="J20" i="128" s="1"/>
  <c r="K20" i="128" s="1"/>
  <c r="I19" i="127"/>
  <c r="L19" i="127" s="1"/>
  <c r="I21" i="126"/>
  <c r="J21" i="126" s="1"/>
  <c r="K21" i="126" s="1"/>
  <c r="I30" i="126"/>
  <c r="J30" i="126" s="1"/>
  <c r="K30" i="126" s="1"/>
  <c r="I28" i="126"/>
  <c r="J28" i="126" s="1"/>
  <c r="K28" i="126" s="1"/>
  <c r="I4" i="126"/>
  <c r="J13" i="126"/>
  <c r="K13" i="126" s="1"/>
  <c r="I22" i="126"/>
  <c r="E20" i="126"/>
  <c r="I20" i="126" s="1"/>
  <c r="B87" i="125"/>
  <c r="D87" i="125" s="1"/>
  <c r="B75" i="125"/>
  <c r="D75" i="125" s="1"/>
  <c r="H22" i="125" s="1"/>
  <c r="B73" i="125"/>
  <c r="D73" i="125" s="1"/>
  <c r="H21" i="125" s="1"/>
  <c r="B71" i="125"/>
  <c r="D71" i="125" s="1"/>
  <c r="H20" i="125" s="1"/>
  <c r="B69" i="125"/>
  <c r="D69" i="125" s="1"/>
  <c r="H19" i="125" s="1"/>
  <c r="B67" i="125"/>
  <c r="D67" i="125" s="1"/>
  <c r="H18" i="125" s="1"/>
  <c r="B57" i="125"/>
  <c r="D57" i="125" s="1"/>
  <c r="H13" i="125" s="1"/>
  <c r="B39" i="125"/>
  <c r="D39" i="125" s="1"/>
  <c r="I34" i="125"/>
  <c r="I36" i="125" s="1"/>
  <c r="C34" i="125"/>
  <c r="F30" i="125"/>
  <c r="C30" i="125"/>
  <c r="D30" i="125" s="1"/>
  <c r="E30" i="125" s="1"/>
  <c r="J29" i="125"/>
  <c r="F28" i="125"/>
  <c r="C28" i="125"/>
  <c r="D28" i="125" s="1"/>
  <c r="E28" i="125" s="1"/>
  <c r="J27" i="125"/>
  <c r="J26" i="125"/>
  <c r="J25" i="125"/>
  <c r="J24" i="125"/>
  <c r="J23" i="125"/>
  <c r="F22" i="125"/>
  <c r="D22" i="125"/>
  <c r="E22" i="125" s="1"/>
  <c r="F21" i="125"/>
  <c r="C21" i="125"/>
  <c r="D21" i="125" s="1"/>
  <c r="E21" i="125" s="1"/>
  <c r="C20" i="125"/>
  <c r="F19" i="125"/>
  <c r="C19" i="125"/>
  <c r="F18" i="125"/>
  <c r="E18" i="125"/>
  <c r="J17" i="125"/>
  <c r="J16" i="125"/>
  <c r="J15" i="125"/>
  <c r="J14" i="125"/>
  <c r="D13" i="125"/>
  <c r="E13" i="125" s="1"/>
  <c r="J12" i="125"/>
  <c r="J11" i="125"/>
  <c r="J10" i="125"/>
  <c r="J9" i="125"/>
  <c r="J8" i="125"/>
  <c r="J7" i="125"/>
  <c r="J6" i="125"/>
  <c r="J5" i="125"/>
  <c r="D31" i="126" l="1"/>
  <c r="H31" i="139"/>
  <c r="J11" i="139"/>
  <c r="J22" i="139"/>
  <c r="K22" i="139" s="1"/>
  <c r="L22" i="139" s="1"/>
  <c r="L10" i="139"/>
  <c r="K17" i="139"/>
  <c r="L17" i="139" s="1"/>
  <c r="K28" i="139"/>
  <c r="L28" i="139" s="1"/>
  <c r="K21" i="139"/>
  <c r="L21" i="139" s="1"/>
  <c r="K12" i="138"/>
  <c r="L12" i="138" s="1"/>
  <c r="I18" i="137"/>
  <c r="J18" i="137" s="1"/>
  <c r="K18" i="137" s="1"/>
  <c r="K17" i="138"/>
  <c r="L17" i="138" s="1"/>
  <c r="K28" i="138"/>
  <c r="L28" i="138" s="1"/>
  <c r="J5" i="138"/>
  <c r="H7" i="138"/>
  <c r="H37" i="138"/>
  <c r="J11" i="138"/>
  <c r="K16" i="138"/>
  <c r="L16" i="138" s="1"/>
  <c r="K14" i="138"/>
  <c r="L14" i="138" s="1"/>
  <c r="I5" i="137"/>
  <c r="J5" i="137" s="1"/>
  <c r="K5" i="137" s="1"/>
  <c r="I15" i="137"/>
  <c r="J15" i="137" s="1"/>
  <c r="K15" i="137" s="1"/>
  <c r="I23" i="137"/>
  <c r="J23" i="137" s="1"/>
  <c r="K23" i="137" s="1"/>
  <c r="I6" i="137"/>
  <c r="J6" i="137" s="1"/>
  <c r="K6" i="137" s="1"/>
  <c r="I31" i="137"/>
  <c r="J31" i="137" s="1"/>
  <c r="K31" i="137" s="1"/>
  <c r="I30" i="137"/>
  <c r="J30" i="137" s="1"/>
  <c r="K30" i="137" s="1"/>
  <c r="I13" i="137"/>
  <c r="J13" i="137" s="1"/>
  <c r="K13" i="137" s="1"/>
  <c r="I9" i="137"/>
  <c r="J9" i="137" s="1"/>
  <c r="K9" i="137" s="1"/>
  <c r="J8" i="137"/>
  <c r="K8" i="137" s="1"/>
  <c r="G6" i="136"/>
  <c r="I4" i="136"/>
  <c r="J20" i="135"/>
  <c r="K20" i="135" s="1"/>
  <c r="J23" i="135"/>
  <c r="K23" i="135" s="1"/>
  <c r="G37" i="136"/>
  <c r="I10" i="136"/>
  <c r="J24" i="137"/>
  <c r="K24" i="137" s="1"/>
  <c r="J11" i="137"/>
  <c r="K11" i="137" s="1"/>
  <c r="J26" i="137"/>
  <c r="K26" i="137" s="1"/>
  <c r="G41" i="135"/>
  <c r="I12" i="135"/>
  <c r="J24" i="135"/>
  <c r="K24" i="135" s="1"/>
  <c r="G8" i="135"/>
  <c r="I4" i="135"/>
  <c r="I8" i="135" s="1"/>
  <c r="J22" i="135"/>
  <c r="K22" i="135" s="1"/>
  <c r="G32" i="137"/>
  <c r="J10" i="137"/>
  <c r="K10" i="137" s="1"/>
  <c r="J21" i="137"/>
  <c r="K21" i="137" s="1"/>
  <c r="I32" i="135"/>
  <c r="J32" i="135" s="1"/>
  <c r="K32" i="135" s="1"/>
  <c r="K6" i="133"/>
  <c r="K11" i="133" s="1"/>
  <c r="I11" i="133"/>
  <c r="J16" i="134"/>
  <c r="K16" i="134" s="1"/>
  <c r="G8" i="134"/>
  <c r="I4" i="134"/>
  <c r="K25" i="135"/>
  <c r="J32" i="134"/>
  <c r="K32" i="134" s="1"/>
  <c r="G11" i="133"/>
  <c r="J34" i="134"/>
  <c r="K34" i="134" s="1"/>
  <c r="G31" i="133"/>
  <c r="G42" i="133" s="1"/>
  <c r="G38" i="134"/>
  <c r="I13" i="134"/>
  <c r="J25" i="133"/>
  <c r="K25" i="133" s="1"/>
  <c r="J36" i="134"/>
  <c r="K36" i="134" s="1"/>
  <c r="K29" i="135"/>
  <c r="J33" i="135"/>
  <c r="K33" i="135" s="1"/>
  <c r="J39" i="133"/>
  <c r="J15" i="133"/>
  <c r="K15" i="133" s="1"/>
  <c r="J32" i="133"/>
  <c r="K32" i="133" s="1"/>
  <c r="I18" i="133"/>
  <c r="I16" i="132"/>
  <c r="J16" i="132" s="1"/>
  <c r="K16" i="132" s="1"/>
  <c r="I24" i="132"/>
  <c r="J24" i="132" s="1"/>
  <c r="K24" i="132" s="1"/>
  <c r="I26" i="132"/>
  <c r="J26" i="132" s="1"/>
  <c r="K26" i="132" s="1"/>
  <c r="G23" i="132"/>
  <c r="L3" i="127"/>
  <c r="I30" i="127"/>
  <c r="G5" i="129"/>
  <c r="J7" i="132"/>
  <c r="J23" i="131"/>
  <c r="K23" i="131" s="1"/>
  <c r="G6" i="131"/>
  <c r="G36" i="131"/>
  <c r="J16" i="131"/>
  <c r="K16" i="131" s="1"/>
  <c r="I38" i="130"/>
  <c r="J26" i="130"/>
  <c r="K26" i="130" s="1"/>
  <c r="G15" i="129"/>
  <c r="I15" i="129" s="1"/>
  <c r="J15" i="129" s="1"/>
  <c r="K15" i="129" s="1"/>
  <c r="J24" i="130"/>
  <c r="K24" i="130" s="1"/>
  <c r="G23" i="129"/>
  <c r="I23" i="129" s="1"/>
  <c r="J23" i="129" s="1"/>
  <c r="K23" i="129" s="1"/>
  <c r="J16" i="130"/>
  <c r="K16" i="130" s="1"/>
  <c r="I4" i="131"/>
  <c r="I6" i="131" s="1"/>
  <c r="G8" i="130"/>
  <c r="I4" i="130"/>
  <c r="I12" i="131"/>
  <c r="G38" i="130"/>
  <c r="I11" i="129"/>
  <c r="J11" i="129" s="1"/>
  <c r="K11" i="129" s="1"/>
  <c r="F31" i="125"/>
  <c r="I30" i="125"/>
  <c r="J30" i="125" s="1"/>
  <c r="K30" i="125" s="1"/>
  <c r="G31" i="128"/>
  <c r="K4" i="129"/>
  <c r="K5" i="129" s="1"/>
  <c r="I5" i="129"/>
  <c r="I8" i="129"/>
  <c r="I12" i="128"/>
  <c r="E31" i="126"/>
  <c r="J4" i="126"/>
  <c r="K4" i="126" s="1"/>
  <c r="I31" i="126"/>
  <c r="L62" i="126" s="1"/>
  <c r="I13" i="128"/>
  <c r="J13" i="128" s="1"/>
  <c r="K13" i="128" s="1"/>
  <c r="J4" i="128"/>
  <c r="J18" i="128"/>
  <c r="K18" i="128" s="1"/>
  <c r="K19" i="128"/>
  <c r="I13" i="125"/>
  <c r="J13" i="125" s="1"/>
  <c r="K13" i="125" s="1"/>
  <c r="D19" i="125"/>
  <c r="E19" i="125" s="1"/>
  <c r="I19" i="125" s="1"/>
  <c r="C31" i="125"/>
  <c r="J22" i="126"/>
  <c r="K22" i="126" s="1"/>
  <c r="J20" i="126"/>
  <c r="K20" i="126" s="1"/>
  <c r="J19" i="126"/>
  <c r="I22" i="125"/>
  <c r="H31" i="125"/>
  <c r="I28" i="125"/>
  <c r="J28" i="125" s="1"/>
  <c r="K28" i="125" s="1"/>
  <c r="I21" i="125"/>
  <c r="J21" i="125" s="1"/>
  <c r="K21" i="125" s="1"/>
  <c r="D4" i="125"/>
  <c r="I18" i="125"/>
  <c r="J18" i="125" s="1"/>
  <c r="K18" i="125" s="1"/>
  <c r="D20" i="125"/>
  <c r="E20" i="125" s="1"/>
  <c r="I20" i="125" s="1"/>
  <c r="J31" i="139" l="1"/>
  <c r="O68" i="139" s="1"/>
  <c r="K11" i="139"/>
  <c r="L11" i="139" s="1"/>
  <c r="K5" i="139"/>
  <c r="K31" i="139" s="1"/>
  <c r="O44" i="139" s="1"/>
  <c r="O66" i="139" s="1"/>
  <c r="O70" i="139" s="1"/>
  <c r="K11" i="138"/>
  <c r="K37" i="138" s="1"/>
  <c r="O52" i="138" s="1"/>
  <c r="O78" i="138" s="1"/>
  <c r="J37" i="138"/>
  <c r="L5" i="138"/>
  <c r="L7" i="138" s="1"/>
  <c r="J7" i="138"/>
  <c r="K4" i="136"/>
  <c r="K6" i="136" s="1"/>
  <c r="I6" i="136"/>
  <c r="J4" i="137"/>
  <c r="I32" i="137"/>
  <c r="N84" i="137" s="1"/>
  <c r="J12" i="135"/>
  <c r="J41" i="135" s="1"/>
  <c r="N56" i="135" s="1"/>
  <c r="N95" i="135" s="1"/>
  <c r="I41" i="135"/>
  <c r="N97" i="135" s="1"/>
  <c r="I37" i="136"/>
  <c r="J10" i="136"/>
  <c r="J37" i="136" s="1"/>
  <c r="N52" i="136" s="1"/>
  <c r="N86" i="136" s="1"/>
  <c r="I31" i="133"/>
  <c r="J13" i="134"/>
  <c r="I38" i="134"/>
  <c r="I8" i="134"/>
  <c r="K4" i="134"/>
  <c r="K8" i="134" s="1"/>
  <c r="K4" i="135"/>
  <c r="K8" i="135" s="1"/>
  <c r="K39" i="133"/>
  <c r="J18" i="133"/>
  <c r="I23" i="132"/>
  <c r="I31" i="132" s="1"/>
  <c r="N78" i="132" s="1"/>
  <c r="G31" i="132"/>
  <c r="K7" i="132"/>
  <c r="K38" i="130"/>
  <c r="I36" i="131"/>
  <c r="N70" i="131" s="1"/>
  <c r="J12" i="131"/>
  <c r="J36" i="131" s="1"/>
  <c r="N44" i="131" s="1"/>
  <c r="J38" i="130"/>
  <c r="N51" i="130" s="1"/>
  <c r="N74" i="130" s="1"/>
  <c r="K4" i="131"/>
  <c r="K6" i="131" s="1"/>
  <c r="I8" i="130"/>
  <c r="N76" i="130" s="1"/>
  <c r="N78" i="130" s="1"/>
  <c r="K4" i="130"/>
  <c r="K8" i="130" s="1"/>
  <c r="I36" i="129"/>
  <c r="L73" i="129" s="1"/>
  <c r="G36" i="129"/>
  <c r="I31" i="128"/>
  <c r="L63" i="128" s="1"/>
  <c r="J8" i="129"/>
  <c r="K4" i="128"/>
  <c r="J22" i="125"/>
  <c r="K22" i="125" s="1"/>
  <c r="J31" i="126"/>
  <c r="N40" i="126" s="1"/>
  <c r="J12" i="128"/>
  <c r="K12" i="128" s="1"/>
  <c r="K19" i="126"/>
  <c r="K31" i="126" s="1"/>
  <c r="D31" i="125"/>
  <c r="E4" i="125"/>
  <c r="E31" i="125" s="1"/>
  <c r="J20" i="125"/>
  <c r="K20" i="125" s="1"/>
  <c r="J19" i="125"/>
  <c r="K19" i="125" s="1"/>
  <c r="L11" i="138" l="1"/>
  <c r="L37" i="138" s="1"/>
  <c r="O80" i="138"/>
  <c r="L5" i="139"/>
  <c r="L31" i="139" s="1"/>
  <c r="N88" i="136"/>
  <c r="N90" i="136" s="1"/>
  <c r="O82" i="138"/>
  <c r="K4" i="137"/>
  <c r="K32" i="137" s="1"/>
  <c r="J32" i="137"/>
  <c r="N99" i="135"/>
  <c r="N101" i="135" s="1"/>
  <c r="N90" i="134"/>
  <c r="K10" i="136"/>
  <c r="K37" i="136" s="1"/>
  <c r="K13" i="134"/>
  <c r="K38" i="134" s="1"/>
  <c r="J38" i="134"/>
  <c r="N47" i="134" s="1"/>
  <c r="N88" i="134" s="1"/>
  <c r="N92" i="134" s="1"/>
  <c r="I42" i="133"/>
  <c r="N91" i="133" s="1"/>
  <c r="J31" i="133"/>
  <c r="J42" i="133" s="1"/>
  <c r="N51" i="133" s="1"/>
  <c r="N89" i="133" s="1"/>
  <c r="K12" i="135"/>
  <c r="K41" i="135" s="1"/>
  <c r="K18" i="133"/>
  <c r="J23" i="132"/>
  <c r="K12" i="131"/>
  <c r="K36" i="131" s="1"/>
  <c r="N80" i="130"/>
  <c r="K31" i="128"/>
  <c r="K8" i="129"/>
  <c r="K36" i="129" s="1"/>
  <c r="J36" i="129"/>
  <c r="N50" i="129" s="1"/>
  <c r="N70" i="129" s="1"/>
  <c r="N75" i="129" s="1"/>
  <c r="J31" i="128"/>
  <c r="N41" i="128" s="1"/>
  <c r="N60" i="128" s="1"/>
  <c r="N65" i="128" s="1"/>
  <c r="N59" i="126"/>
  <c r="N64" i="126" s="1"/>
  <c r="I4" i="125"/>
  <c r="I31" i="125" s="1"/>
  <c r="L61" i="125" s="1"/>
  <c r="I38" i="124"/>
  <c r="I39" i="124" s="1"/>
  <c r="C38" i="124"/>
  <c r="G34" i="124"/>
  <c r="I34" i="124" s="1"/>
  <c r="I35" i="124" s="1"/>
  <c r="D22" i="124"/>
  <c r="N56" i="124"/>
  <c r="N47" i="137" l="1"/>
  <c r="N82" i="137" s="1"/>
  <c r="N86" i="137" s="1"/>
  <c r="K31" i="133"/>
  <c r="K42" i="133" s="1"/>
  <c r="N93" i="133"/>
  <c r="J31" i="132"/>
  <c r="N44" i="132" s="1"/>
  <c r="N76" i="132" s="1"/>
  <c r="N80" i="132" s="1"/>
  <c r="K23" i="132"/>
  <c r="K31" i="132" s="1"/>
  <c r="J4" i="125"/>
  <c r="J31" i="125" s="1"/>
  <c r="N39" i="125" s="1"/>
  <c r="N58" i="125" s="1"/>
  <c r="N63" i="125" s="1"/>
  <c r="D4" i="124"/>
  <c r="E4" i="124" s="1"/>
  <c r="G31" i="124"/>
  <c r="J14" i="124"/>
  <c r="J15" i="124"/>
  <c r="J16" i="124"/>
  <c r="J17" i="124"/>
  <c r="J23" i="124"/>
  <c r="J24" i="124"/>
  <c r="J25" i="124"/>
  <c r="J26" i="124"/>
  <c r="J27" i="124"/>
  <c r="J29" i="124"/>
  <c r="B94" i="124"/>
  <c r="D94" i="124" s="1"/>
  <c r="H30" i="124" s="1"/>
  <c r="B90" i="124"/>
  <c r="D90" i="124" s="1"/>
  <c r="B78" i="124"/>
  <c r="D78" i="124" s="1"/>
  <c r="H22" i="124" s="1"/>
  <c r="B76" i="124"/>
  <c r="D76" i="124" s="1"/>
  <c r="H21" i="124" s="1"/>
  <c r="B74" i="124"/>
  <c r="D74" i="124" s="1"/>
  <c r="H20" i="124" s="1"/>
  <c r="B72" i="124"/>
  <c r="D72" i="124" s="1"/>
  <c r="H19" i="124" s="1"/>
  <c r="B70" i="124"/>
  <c r="D70" i="124" s="1"/>
  <c r="H18" i="124" s="1"/>
  <c r="B60" i="124"/>
  <c r="D60" i="124" s="1"/>
  <c r="H13" i="124" s="1"/>
  <c r="B42" i="124"/>
  <c r="D42" i="124" s="1"/>
  <c r="F30" i="124"/>
  <c r="C30" i="124"/>
  <c r="F28" i="124"/>
  <c r="C28" i="124"/>
  <c r="F21" i="124"/>
  <c r="C21" i="124"/>
  <c r="D21" i="124" s="1"/>
  <c r="C20" i="124"/>
  <c r="D20" i="124" s="1"/>
  <c r="F19" i="124"/>
  <c r="C19" i="124"/>
  <c r="D19" i="124" s="1"/>
  <c r="D13" i="124"/>
  <c r="E13" i="124" s="1"/>
  <c r="J12" i="124"/>
  <c r="J11" i="124"/>
  <c r="J10" i="124"/>
  <c r="J9" i="124"/>
  <c r="J8" i="124"/>
  <c r="J7" i="124"/>
  <c r="J6" i="124"/>
  <c r="J5" i="124"/>
  <c r="F22" i="124"/>
  <c r="F18" i="124"/>
  <c r="E18" i="124"/>
  <c r="G36" i="123"/>
  <c r="G6" i="123"/>
  <c r="C6" i="123"/>
  <c r="K4" i="125" l="1"/>
  <c r="K31" i="125" s="1"/>
  <c r="J34" i="124"/>
  <c r="K34" i="124" s="1"/>
  <c r="F31" i="124"/>
  <c r="H31" i="124"/>
  <c r="I18" i="124"/>
  <c r="J18" i="124" s="1"/>
  <c r="I4" i="124"/>
  <c r="J4" i="124" s="1"/>
  <c r="D30" i="124"/>
  <c r="E30" i="124" s="1"/>
  <c r="I30" i="124" s="1"/>
  <c r="J30" i="124" s="1"/>
  <c r="D28" i="124"/>
  <c r="C31" i="124"/>
  <c r="I13" i="124"/>
  <c r="J13" i="124" s="1"/>
  <c r="K13" i="124" s="1"/>
  <c r="E20" i="124"/>
  <c r="I20" i="124" s="1"/>
  <c r="E19" i="124"/>
  <c r="I19" i="124" s="1"/>
  <c r="E22" i="124"/>
  <c r="I39" i="123"/>
  <c r="I40" i="123" s="1"/>
  <c r="D31" i="124" l="1"/>
  <c r="E28" i="124"/>
  <c r="I28" i="124" s="1"/>
  <c r="J28" i="124" s="1"/>
  <c r="K28" i="124" s="1"/>
  <c r="K30" i="124"/>
  <c r="I22" i="124"/>
  <c r="J22" i="124" s="1"/>
  <c r="J20" i="124"/>
  <c r="K20" i="124" s="1"/>
  <c r="J19" i="124"/>
  <c r="K19" i="124" s="1"/>
  <c r="K4" i="124"/>
  <c r="E21" i="124"/>
  <c r="I21" i="124" s="1"/>
  <c r="J21" i="124" s="1"/>
  <c r="K18" i="124"/>
  <c r="D9" i="123"/>
  <c r="C39" i="123"/>
  <c r="E31" i="124" l="1"/>
  <c r="K22" i="124"/>
  <c r="I31" i="124"/>
  <c r="L65" i="124" s="1"/>
  <c r="J31" i="124"/>
  <c r="N42" i="124" s="1"/>
  <c r="N62" i="124" s="1"/>
  <c r="N67" i="124" s="1"/>
  <c r="K21" i="124"/>
  <c r="N57" i="123"/>
  <c r="K31" i="124" l="1"/>
  <c r="J10" i="123"/>
  <c r="J11" i="123"/>
  <c r="J12" i="123"/>
  <c r="J13" i="123"/>
  <c r="J14" i="123"/>
  <c r="J15" i="123"/>
  <c r="J16" i="123"/>
  <c r="J17" i="123"/>
  <c r="J19" i="123"/>
  <c r="J20" i="123"/>
  <c r="J21" i="123"/>
  <c r="J22" i="123"/>
  <c r="J23" i="123"/>
  <c r="J27" i="123"/>
  <c r="J28" i="123"/>
  <c r="J29" i="123"/>
  <c r="J30" i="123"/>
  <c r="J31" i="123"/>
  <c r="J32" i="123"/>
  <c r="J34" i="123"/>
  <c r="F5" i="123"/>
  <c r="J5" i="123" s="1"/>
  <c r="F4" i="123"/>
  <c r="E4" i="123"/>
  <c r="B95" i="123"/>
  <c r="D95" i="123" s="1"/>
  <c r="H35" i="123" s="1"/>
  <c r="B91" i="123"/>
  <c r="D91" i="123" s="1"/>
  <c r="B79" i="123"/>
  <c r="D79" i="123" s="1"/>
  <c r="H5" i="123" s="1"/>
  <c r="B77" i="123"/>
  <c r="D77" i="123" s="1"/>
  <c r="H26" i="123" s="1"/>
  <c r="B75" i="123"/>
  <c r="D75" i="123" s="1"/>
  <c r="H25" i="123" s="1"/>
  <c r="B73" i="123"/>
  <c r="D73" i="123" s="1"/>
  <c r="H24" i="123" s="1"/>
  <c r="B71" i="123"/>
  <c r="D71" i="123" s="1"/>
  <c r="H4" i="123" s="1"/>
  <c r="B61" i="123"/>
  <c r="D61" i="123" s="1"/>
  <c r="H18" i="123" s="1"/>
  <c r="B43" i="123"/>
  <c r="D43" i="123" s="1"/>
  <c r="F35" i="123"/>
  <c r="C35" i="123"/>
  <c r="F33" i="123"/>
  <c r="C33" i="123"/>
  <c r="D5" i="123"/>
  <c r="D6" i="123" s="1"/>
  <c r="F26" i="123"/>
  <c r="C26" i="123"/>
  <c r="F24" i="123"/>
  <c r="C24" i="123"/>
  <c r="D18" i="123"/>
  <c r="C25" i="123"/>
  <c r="G6" i="122"/>
  <c r="E22" i="122"/>
  <c r="N52" i="122"/>
  <c r="H6" i="123" l="1"/>
  <c r="E18" i="123"/>
  <c r="C36" i="123"/>
  <c r="F6" i="123"/>
  <c r="J4" i="123"/>
  <c r="J6" i="123" s="1"/>
  <c r="N44" i="123" s="1"/>
  <c r="H36" i="123"/>
  <c r="F36" i="123"/>
  <c r="E5" i="123"/>
  <c r="I5" i="123" s="1"/>
  <c r="K5" i="123" s="1"/>
  <c r="I4" i="123"/>
  <c r="K4" i="123" s="1"/>
  <c r="D25" i="123"/>
  <c r="E25" i="123" s="1"/>
  <c r="I25" i="123" s="1"/>
  <c r="D35" i="123"/>
  <c r="E35" i="123" s="1"/>
  <c r="I35" i="123" s="1"/>
  <c r="I18" i="123"/>
  <c r="J18" i="123" s="1"/>
  <c r="E9" i="123"/>
  <c r="D24" i="123"/>
  <c r="D26" i="123"/>
  <c r="E26" i="123" s="1"/>
  <c r="I26" i="123" s="1"/>
  <c r="J26" i="123" s="1"/>
  <c r="D33" i="123"/>
  <c r="E33" i="123" s="1"/>
  <c r="I33" i="123" s="1"/>
  <c r="J33" i="123" s="1"/>
  <c r="N43" i="122"/>
  <c r="F26" i="122"/>
  <c r="B74" i="122"/>
  <c r="D74" i="122" s="1"/>
  <c r="H26" i="122" s="1"/>
  <c r="L21" i="119"/>
  <c r="D26" i="122"/>
  <c r="E26" i="122" s="1"/>
  <c r="D36" i="123" l="1"/>
  <c r="K6" i="123"/>
  <c r="E6" i="123"/>
  <c r="I6" i="123"/>
  <c r="J25" i="123"/>
  <c r="K25" i="123" s="1"/>
  <c r="J35" i="123"/>
  <c r="K35" i="123" s="1"/>
  <c r="K33" i="123"/>
  <c r="K26" i="123"/>
  <c r="K18" i="123"/>
  <c r="E24" i="123"/>
  <c r="E36" i="123" s="1"/>
  <c r="I9" i="123"/>
  <c r="F22" i="122"/>
  <c r="B66" i="122"/>
  <c r="D66" i="122" s="1"/>
  <c r="H22" i="122" s="1"/>
  <c r="L17" i="119"/>
  <c r="C5" i="122"/>
  <c r="J5" i="122" s="1"/>
  <c r="F4" i="122"/>
  <c r="F6" i="122" s="1"/>
  <c r="C4" i="122"/>
  <c r="B90" i="122"/>
  <c r="D90" i="122" s="1"/>
  <c r="H34" i="122" s="1"/>
  <c r="B86" i="122"/>
  <c r="D86" i="122" s="1"/>
  <c r="B72" i="122"/>
  <c r="D72" i="122" s="1"/>
  <c r="H25" i="122" s="1"/>
  <c r="B70" i="122"/>
  <c r="D70" i="122" s="1"/>
  <c r="H5" i="122" s="1"/>
  <c r="B68" i="122"/>
  <c r="D68" i="122" s="1"/>
  <c r="H23" i="122" s="1"/>
  <c r="B56" i="122"/>
  <c r="D56" i="122" s="1"/>
  <c r="H18" i="122" s="1"/>
  <c r="N53" i="122"/>
  <c r="B38" i="122"/>
  <c r="D38" i="122" s="1"/>
  <c r="H4" i="122" s="1"/>
  <c r="F34" i="122"/>
  <c r="C34" i="122"/>
  <c r="D34" i="122" s="1"/>
  <c r="E34" i="122" s="1"/>
  <c r="F32" i="122"/>
  <c r="C32" i="122"/>
  <c r="D18" i="122"/>
  <c r="F25" i="122"/>
  <c r="C25" i="122"/>
  <c r="F23" i="122"/>
  <c r="C23" i="122"/>
  <c r="G6" i="121"/>
  <c r="N51" i="121"/>
  <c r="F9" i="121"/>
  <c r="C9" i="121"/>
  <c r="D9" i="121" s="1"/>
  <c r="B39" i="121"/>
  <c r="D39" i="121" s="1"/>
  <c r="L3" i="119"/>
  <c r="C25" i="121"/>
  <c r="N50" i="121"/>
  <c r="B71" i="121"/>
  <c r="D71" i="121" s="1"/>
  <c r="L19" i="119"/>
  <c r="F5" i="121"/>
  <c r="F4" i="121"/>
  <c r="C5" i="121"/>
  <c r="D5" i="121" s="1"/>
  <c r="C4" i="121"/>
  <c r="F35" i="121"/>
  <c r="C35" i="121"/>
  <c r="F33" i="121"/>
  <c r="C33" i="121"/>
  <c r="D33" i="121" s="1"/>
  <c r="D18" i="121"/>
  <c r="E18" i="121" s="1"/>
  <c r="B91" i="121"/>
  <c r="D91" i="121" s="1"/>
  <c r="H35" i="121" s="1"/>
  <c r="B87" i="121"/>
  <c r="D87" i="121" s="1"/>
  <c r="B73" i="121"/>
  <c r="D73" i="121" s="1"/>
  <c r="B69" i="121"/>
  <c r="D69" i="121" s="1"/>
  <c r="H4" i="121" s="1"/>
  <c r="H6" i="121" s="1"/>
  <c r="B57" i="121"/>
  <c r="D57" i="121" s="1"/>
  <c r="H18" i="121" s="1"/>
  <c r="D26" i="121"/>
  <c r="E26" i="121" s="1"/>
  <c r="I26" i="121" s="1"/>
  <c r="N52" i="120"/>
  <c r="F25" i="120"/>
  <c r="G7" i="120"/>
  <c r="N51" i="120"/>
  <c r="F36" i="121" l="1"/>
  <c r="F6" i="121"/>
  <c r="E9" i="121"/>
  <c r="C35" i="122"/>
  <c r="H35" i="122"/>
  <c r="C6" i="121"/>
  <c r="C6" i="122"/>
  <c r="H6" i="122"/>
  <c r="F35" i="122"/>
  <c r="I34" i="122"/>
  <c r="J34" i="122" s="1"/>
  <c r="K34" i="122" s="1"/>
  <c r="J9" i="123"/>
  <c r="I24" i="123"/>
  <c r="J24" i="123" s="1"/>
  <c r="D4" i="122"/>
  <c r="E4" i="122" s="1"/>
  <c r="J4" i="122"/>
  <c r="J6" i="122" s="1"/>
  <c r="N39" i="122" s="1"/>
  <c r="E18" i="122"/>
  <c r="D23" i="122"/>
  <c r="E23" i="122" s="1"/>
  <c r="D5" i="122"/>
  <c r="E5" i="122" s="1"/>
  <c r="D32" i="122"/>
  <c r="E32" i="122" s="1"/>
  <c r="I32" i="122" s="1"/>
  <c r="D25" i="122"/>
  <c r="H36" i="121"/>
  <c r="I18" i="121"/>
  <c r="J18" i="121" s="1"/>
  <c r="K18" i="121" s="1"/>
  <c r="J5" i="121"/>
  <c r="J4" i="121"/>
  <c r="D25" i="121"/>
  <c r="E25" i="121" s="1"/>
  <c r="E5" i="121"/>
  <c r="I5" i="121" s="1"/>
  <c r="D4" i="121"/>
  <c r="D35" i="121"/>
  <c r="E35" i="121" s="1"/>
  <c r="I35" i="121" s="1"/>
  <c r="J35" i="121" s="1"/>
  <c r="K35" i="121" s="1"/>
  <c r="E33" i="121"/>
  <c r="I33" i="121" s="1"/>
  <c r="C36" i="121"/>
  <c r="J26" i="121"/>
  <c r="K26" i="121" s="1"/>
  <c r="D24" i="121"/>
  <c r="F27" i="120"/>
  <c r="F37" i="120" s="1"/>
  <c r="C27" i="120"/>
  <c r="D27" i="120" s="1"/>
  <c r="E27" i="120" s="1"/>
  <c r="C25" i="120"/>
  <c r="N50" i="120"/>
  <c r="B74" i="120"/>
  <c r="D74" i="120" s="1"/>
  <c r="H27" i="120" s="1"/>
  <c r="B70" i="120"/>
  <c r="D70" i="120" s="1"/>
  <c r="L18" i="119"/>
  <c r="B88" i="120"/>
  <c r="D88" i="120" s="1"/>
  <c r="H5" i="120" s="1"/>
  <c r="B58" i="120"/>
  <c r="D58" i="120" s="1"/>
  <c r="F6" i="120"/>
  <c r="C6" i="120"/>
  <c r="F5" i="120"/>
  <c r="C5" i="120"/>
  <c r="B92" i="120"/>
  <c r="D92" i="120" s="1"/>
  <c r="D4" i="120"/>
  <c r="N38" i="111"/>
  <c r="L12" i="119"/>
  <c r="D36" i="121" l="1"/>
  <c r="K9" i="123"/>
  <c r="J36" i="123"/>
  <c r="N43" i="123" s="1"/>
  <c r="N63" i="123" s="1"/>
  <c r="D35" i="122"/>
  <c r="I36" i="123"/>
  <c r="L66" i="123" s="1"/>
  <c r="F7" i="120"/>
  <c r="J6" i="121"/>
  <c r="N40" i="121" s="1"/>
  <c r="E6" i="122"/>
  <c r="D6" i="122"/>
  <c r="I5" i="122"/>
  <c r="K5" i="122" s="1"/>
  <c r="I4" i="122"/>
  <c r="I18" i="122"/>
  <c r="J32" i="122"/>
  <c r="K32" i="122" s="1"/>
  <c r="E25" i="122"/>
  <c r="I25" i="122" s="1"/>
  <c r="I23" i="122"/>
  <c r="J23" i="122" s="1"/>
  <c r="E4" i="121"/>
  <c r="D6" i="121"/>
  <c r="J33" i="121"/>
  <c r="K33" i="121" s="1"/>
  <c r="K5" i="121"/>
  <c r="E24" i="121"/>
  <c r="E36" i="121" s="1"/>
  <c r="J5" i="120"/>
  <c r="J6" i="120"/>
  <c r="C7" i="120"/>
  <c r="H4" i="120"/>
  <c r="H25" i="120"/>
  <c r="H37" i="120" s="1"/>
  <c r="E4" i="120"/>
  <c r="D25" i="120"/>
  <c r="C37" i="120"/>
  <c r="H6" i="120"/>
  <c r="D5" i="120"/>
  <c r="D6" i="120"/>
  <c r="D12" i="111"/>
  <c r="E12" i="111" s="1"/>
  <c r="L27" i="119"/>
  <c r="F27" i="111"/>
  <c r="L20" i="119"/>
  <c r="C27" i="111"/>
  <c r="D27" i="111" s="1"/>
  <c r="E27" i="111" s="1"/>
  <c r="F29" i="111"/>
  <c r="C29" i="111"/>
  <c r="B85" i="111"/>
  <c r="D85" i="111" s="1"/>
  <c r="H29" i="111" s="1"/>
  <c r="H30" i="111" s="1"/>
  <c r="L29" i="119"/>
  <c r="F30" i="119"/>
  <c r="B2" i="119" s="1"/>
  <c r="J7" i="120" l="1"/>
  <c r="N41" i="120" s="1"/>
  <c r="N68" i="123"/>
  <c r="K4" i="122"/>
  <c r="K6" i="122" s="1"/>
  <c r="I6" i="122"/>
  <c r="E35" i="122"/>
  <c r="J18" i="122"/>
  <c r="K24" i="123"/>
  <c r="K36" i="123" s="1"/>
  <c r="J25" i="122"/>
  <c r="K23" i="122"/>
  <c r="I4" i="121"/>
  <c r="I6" i="121" s="1"/>
  <c r="E6" i="121"/>
  <c r="I24" i="121"/>
  <c r="D7" i="120"/>
  <c r="H7" i="120"/>
  <c r="I4" i="120"/>
  <c r="K4" i="120" s="1"/>
  <c r="E25" i="120"/>
  <c r="D37" i="120"/>
  <c r="E6" i="120"/>
  <c r="I6" i="120" s="1"/>
  <c r="K6" i="120" s="1"/>
  <c r="E5" i="120"/>
  <c r="I5" i="120" s="1"/>
  <c r="K5" i="120" s="1"/>
  <c r="C30" i="111"/>
  <c r="D29" i="111"/>
  <c r="E29" i="111" s="1"/>
  <c r="E30" i="111" s="1"/>
  <c r="F30" i="111"/>
  <c r="N37" i="111"/>
  <c r="H3" i="119"/>
  <c r="D30" i="111" l="1"/>
  <c r="K18" i="122"/>
  <c r="K4" i="121"/>
  <c r="K6" i="121" s="1"/>
  <c r="K25" i="122"/>
  <c r="J24" i="121"/>
  <c r="E7" i="120"/>
  <c r="K7" i="120"/>
  <c r="I7" i="120"/>
  <c r="E37" i="120"/>
  <c r="H27" i="119"/>
  <c r="I27" i="119" s="1"/>
  <c r="B89" i="126" s="1"/>
  <c r="D89" i="126" s="1"/>
  <c r="H28" i="119"/>
  <c r="I28" i="119" s="1"/>
  <c r="H26" i="119"/>
  <c r="I26" i="119" s="1"/>
  <c r="H29" i="119"/>
  <c r="I29" i="119" s="1"/>
  <c r="B93" i="126" s="1"/>
  <c r="D93" i="126" s="1"/>
  <c r="H25" i="119"/>
  <c r="H21" i="119"/>
  <c r="I21" i="119" s="1"/>
  <c r="B77" i="126" s="1"/>
  <c r="D77" i="126" s="1"/>
  <c r="H10" i="119"/>
  <c r="I10" i="119" s="1"/>
  <c r="H6" i="119"/>
  <c r="H14" i="119"/>
  <c r="I14" i="119" s="1"/>
  <c r="H18" i="119"/>
  <c r="I18" i="119" s="1"/>
  <c r="B71" i="126" s="1"/>
  <c r="D71" i="126" s="1"/>
  <c r="H19" i="119"/>
  <c r="H9" i="119"/>
  <c r="H5" i="119"/>
  <c r="I5" i="119" s="1"/>
  <c r="H15" i="119"/>
  <c r="I15" i="119" s="1"/>
  <c r="H20" i="119"/>
  <c r="H23" i="119"/>
  <c r="H13" i="119"/>
  <c r="H8" i="119"/>
  <c r="H4" i="119"/>
  <c r="H16" i="119"/>
  <c r="H24" i="119"/>
  <c r="I24" i="119" s="1"/>
  <c r="H22" i="119"/>
  <c r="H11" i="119"/>
  <c r="I11" i="119" s="1"/>
  <c r="H7" i="119"/>
  <c r="H12" i="119"/>
  <c r="I12" i="119" s="1"/>
  <c r="B59" i="126" s="1"/>
  <c r="D59" i="126" s="1"/>
  <c r="H17" i="119"/>
  <c r="B70" i="125" l="1"/>
  <c r="D70" i="125" s="1"/>
  <c r="B73" i="124"/>
  <c r="D73" i="124" s="1"/>
  <c r="B88" i="125"/>
  <c r="D88" i="125" s="1"/>
  <c r="B91" i="124"/>
  <c r="D91" i="124" s="1"/>
  <c r="B76" i="125"/>
  <c r="D76" i="125" s="1"/>
  <c r="B79" i="124"/>
  <c r="D79" i="124" s="1"/>
  <c r="B58" i="125"/>
  <c r="D58" i="125" s="1"/>
  <c r="B61" i="124"/>
  <c r="D61" i="124" s="1"/>
  <c r="B92" i="125"/>
  <c r="D92" i="125" s="1"/>
  <c r="B95" i="124"/>
  <c r="D95" i="124" s="1"/>
  <c r="B96" i="123"/>
  <c r="D96" i="123" s="1"/>
  <c r="B91" i="122"/>
  <c r="D91" i="122" s="1"/>
  <c r="B92" i="121"/>
  <c r="D92" i="121" s="1"/>
  <c r="K24" i="121"/>
  <c r="B74" i="123"/>
  <c r="D74" i="123" s="1"/>
  <c r="B69" i="122"/>
  <c r="D69" i="122" s="1"/>
  <c r="B70" i="121"/>
  <c r="D70" i="121" s="1"/>
  <c r="B71" i="120"/>
  <c r="D71" i="120" s="1"/>
  <c r="G25" i="120" s="1"/>
  <c r="J18" i="119"/>
  <c r="M18" i="119" s="1"/>
  <c r="B80" i="123"/>
  <c r="D80" i="123" s="1"/>
  <c r="B75" i="122"/>
  <c r="D75" i="122" s="1"/>
  <c r="G26" i="122" s="1"/>
  <c r="I26" i="122" s="1"/>
  <c r="J21" i="119"/>
  <c r="M21" i="119" s="1"/>
  <c r="J12" i="119"/>
  <c r="M12" i="119" s="1"/>
  <c r="B62" i="123"/>
  <c r="D62" i="123" s="1"/>
  <c r="B58" i="121"/>
  <c r="D58" i="121" s="1"/>
  <c r="B57" i="122"/>
  <c r="D57" i="122" s="1"/>
  <c r="B92" i="123"/>
  <c r="D92" i="123" s="1"/>
  <c r="B87" i="122"/>
  <c r="D87" i="122" s="1"/>
  <c r="B88" i="121"/>
  <c r="D88" i="121" s="1"/>
  <c r="J27" i="119"/>
  <c r="M27" i="119" s="1"/>
  <c r="B82" i="111"/>
  <c r="D82" i="111" s="1"/>
  <c r="G27" i="111" s="1"/>
  <c r="I27" i="111" s="1"/>
  <c r="B86" i="111"/>
  <c r="D86" i="111" s="1"/>
  <c r="G29" i="111" s="1"/>
  <c r="J29" i="119"/>
  <c r="M29" i="119" s="1"/>
  <c r="H30" i="119"/>
  <c r="I19" i="119"/>
  <c r="B73" i="126" s="1"/>
  <c r="D73" i="126" s="1"/>
  <c r="I8" i="119"/>
  <c r="I17" i="119"/>
  <c r="B69" i="126" s="1"/>
  <c r="D69" i="126" s="1"/>
  <c r="I9" i="119"/>
  <c r="I13" i="119"/>
  <c r="I25" i="119"/>
  <c r="I6" i="119"/>
  <c r="I4" i="119"/>
  <c r="I23" i="119"/>
  <c r="I20" i="119"/>
  <c r="B75" i="126" s="1"/>
  <c r="D75" i="126" s="1"/>
  <c r="I7" i="119"/>
  <c r="I22" i="119"/>
  <c r="I16" i="119"/>
  <c r="I3" i="119"/>
  <c r="B41" i="126" s="1"/>
  <c r="D41" i="126" s="1"/>
  <c r="B72" i="125" l="1"/>
  <c r="D72" i="125" s="1"/>
  <c r="B75" i="124"/>
  <c r="D75" i="124" s="1"/>
  <c r="B68" i="125"/>
  <c r="D68" i="125" s="1"/>
  <c r="B71" i="124"/>
  <c r="D71" i="124" s="1"/>
  <c r="B52" i="111"/>
  <c r="G12" i="111" s="1"/>
  <c r="I12" i="111" s="1"/>
  <c r="J12" i="111" s="1"/>
  <c r="B40" i="125"/>
  <c r="D40" i="125" s="1"/>
  <c r="B43" i="124"/>
  <c r="D43" i="124" s="1"/>
  <c r="B74" i="125"/>
  <c r="D74" i="125" s="1"/>
  <c r="B77" i="124"/>
  <c r="D77" i="124" s="1"/>
  <c r="B44" i="123"/>
  <c r="D44" i="123" s="1"/>
  <c r="B39" i="122"/>
  <c r="D39" i="122" s="1"/>
  <c r="B40" i="121"/>
  <c r="D40" i="121" s="1"/>
  <c r="G9" i="121" s="1"/>
  <c r="J3" i="119"/>
  <c r="M3" i="119" s="1"/>
  <c r="B78" i="123"/>
  <c r="D78" i="123" s="1"/>
  <c r="B73" i="122"/>
  <c r="D73" i="122" s="1"/>
  <c r="B74" i="121"/>
  <c r="D74" i="121" s="1"/>
  <c r="B75" i="120"/>
  <c r="D75" i="120" s="1"/>
  <c r="G27" i="120" s="1"/>
  <c r="I27" i="120" s="1"/>
  <c r="J20" i="119"/>
  <c r="M20" i="119" s="1"/>
  <c r="B72" i="123"/>
  <c r="D72" i="123" s="1"/>
  <c r="B67" i="122"/>
  <c r="D67" i="122" s="1"/>
  <c r="G22" i="122" s="1"/>
  <c r="J17" i="119"/>
  <c r="M17" i="119" s="1"/>
  <c r="B76" i="123"/>
  <c r="D76" i="123" s="1"/>
  <c r="J19" i="119"/>
  <c r="M19" i="119" s="1"/>
  <c r="B71" i="122"/>
  <c r="D71" i="122" s="1"/>
  <c r="B72" i="121"/>
  <c r="D72" i="121" s="1"/>
  <c r="G25" i="121" s="1"/>
  <c r="I25" i="121" s="1"/>
  <c r="J25" i="121" s="1"/>
  <c r="K25" i="121" s="1"/>
  <c r="I25" i="120"/>
  <c r="J26" i="122"/>
  <c r="K26" i="122" s="1"/>
  <c r="J27" i="111"/>
  <c r="K27" i="111" s="1"/>
  <c r="G30" i="111"/>
  <c r="I29" i="111"/>
  <c r="I30" i="119"/>
  <c r="I30" i="111" l="1"/>
  <c r="L52" i="111" s="1"/>
  <c r="G35" i="122"/>
  <c r="I22" i="122"/>
  <c r="I9" i="121"/>
  <c r="G36" i="121"/>
  <c r="J27" i="120"/>
  <c r="K27" i="120" s="1"/>
  <c r="J25" i="120"/>
  <c r="I37" i="120"/>
  <c r="L60" i="120" s="1"/>
  <c r="G37" i="120"/>
  <c r="K12" i="111"/>
  <c r="J29" i="111"/>
  <c r="J30" i="111" s="1"/>
  <c r="N33" i="111" s="1"/>
  <c r="N49" i="111" s="1"/>
  <c r="J37" i="120" l="1"/>
  <c r="N40" i="120" s="1"/>
  <c r="N57" i="120" s="1"/>
  <c r="N62" i="120" s="1"/>
  <c r="K25" i="120"/>
  <c r="K37" i="120" s="1"/>
  <c r="J9" i="121"/>
  <c r="J36" i="121" s="1"/>
  <c r="N39" i="121" s="1"/>
  <c r="N57" i="121" s="1"/>
  <c r="I36" i="121"/>
  <c r="L60" i="121" s="1"/>
  <c r="J22" i="122"/>
  <c r="I35" i="122"/>
  <c r="L61" i="122" s="1"/>
  <c r="N54" i="111"/>
  <c r="N56" i="111" s="1"/>
  <c r="K29" i="111"/>
  <c r="K30" i="111" s="1"/>
  <c r="K22" i="122" l="1"/>
  <c r="K35" i="122" s="1"/>
  <c r="J35" i="122"/>
  <c r="N38" i="122" s="1"/>
  <c r="N58" i="122" s="1"/>
  <c r="N63" i="122" s="1"/>
  <c r="N62" i="121"/>
  <c r="K9" i="121"/>
  <c r="K36" i="121" s="1"/>
  <c r="N45" i="131"/>
  <c r="N68" i="131" s="1"/>
  <c r="N72" i="131" s="1"/>
</calcChain>
</file>

<file path=xl/sharedStrings.xml><?xml version="1.0" encoding="utf-8"?>
<sst xmlns="http://schemas.openxmlformats.org/spreadsheetml/2006/main" count="11045" uniqueCount="1353">
  <si>
    <t>APTO</t>
  </si>
  <si>
    <t>ALUGUEL</t>
  </si>
  <si>
    <t>GARAGEM</t>
  </si>
  <si>
    <t>NOME</t>
  </si>
  <si>
    <t>TOTAL</t>
  </si>
  <si>
    <t xml:space="preserve">COMISSÃO </t>
  </si>
  <si>
    <t xml:space="preserve">IPTU </t>
  </si>
  <si>
    <t>SEG INC.</t>
  </si>
  <si>
    <t>VENC.</t>
  </si>
  <si>
    <t>OBSERVAÇÕES</t>
  </si>
  <si>
    <t>CARÊNCIA</t>
  </si>
  <si>
    <t>R$ RECEBIDOS EM NOME DO LOCADOR</t>
  </si>
  <si>
    <t>OUTRAS COMISSÕES E DESPESAS</t>
  </si>
  <si>
    <t>TOTAL A REPASSAR</t>
  </si>
  <si>
    <t>SEGURO 11</t>
  </si>
  <si>
    <t>IPTU 11</t>
  </si>
  <si>
    <t>SEGURO 15</t>
  </si>
  <si>
    <t>IPTU 15</t>
  </si>
  <si>
    <t>SEGURO 17</t>
  </si>
  <si>
    <t>IPTU 17</t>
  </si>
  <si>
    <t>COMISSÃO ADMINISTRAÇÃO</t>
  </si>
  <si>
    <t>ÁREA
TOTAL</t>
  </si>
  <si>
    <t>SEGURO ANUAL</t>
  </si>
  <si>
    <t>SEGURO MENSAL</t>
  </si>
  <si>
    <t>ALUGUEL FINAL</t>
  </si>
  <si>
    <t xml:space="preserve">IPTU R$ POR M² </t>
  </si>
  <si>
    <t>TOTAL COMISSÃO + DESPESAS</t>
  </si>
  <si>
    <t>SEGURO 16</t>
  </si>
  <si>
    <t>IPTU 16</t>
  </si>
  <si>
    <t>SEGURO 02</t>
  </si>
  <si>
    <t>IPTU 02</t>
  </si>
  <si>
    <t>SEGURO 05</t>
  </si>
  <si>
    <t>IPTU 05</t>
  </si>
  <si>
    <t>SEGURO 08</t>
  </si>
  <si>
    <t>IPTU 08</t>
  </si>
  <si>
    <t>SEGURO 13</t>
  </si>
  <si>
    <t>IPTU 13</t>
  </si>
  <si>
    <t>SEGURO 18</t>
  </si>
  <si>
    <t>IPTU 18</t>
  </si>
  <si>
    <t>IPTU 19</t>
  </si>
  <si>
    <t>SEGURO 01</t>
  </si>
  <si>
    <t>SEGURO 09</t>
  </si>
  <si>
    <t>IPTU 09</t>
  </si>
  <si>
    <t>SEGURO 21</t>
  </si>
  <si>
    <t>IPTU 21</t>
  </si>
  <si>
    <t>SEGURO 19</t>
  </si>
  <si>
    <t>IPTU 01</t>
  </si>
  <si>
    <t>SEGURO 14</t>
  </si>
  <si>
    <t>IPTU 14</t>
  </si>
  <si>
    <t>SEGURO 20</t>
  </si>
  <si>
    <t>IPTU 20</t>
  </si>
  <si>
    <t>SEGURO 22</t>
  </si>
  <si>
    <t>IPTU 22</t>
  </si>
  <si>
    <t>SEGURO 23</t>
  </si>
  <si>
    <t>IPTU 23</t>
  </si>
  <si>
    <t>SEGURO 12</t>
  </si>
  <si>
    <t>IPTU 12</t>
  </si>
  <si>
    <t>SEGURO 06</t>
  </si>
  <si>
    <t>IPTU 06</t>
  </si>
  <si>
    <t>OBSERVAÇÃO</t>
  </si>
  <si>
    <t>SEGURO 04</t>
  </si>
  <si>
    <t>IPTU 04</t>
  </si>
  <si>
    <t xml:space="preserve">IPTU 03 </t>
  </si>
  <si>
    <t>SEGURO 07</t>
  </si>
  <si>
    <t>IPTU 07</t>
  </si>
  <si>
    <t xml:space="preserve">SEGURO 03 </t>
  </si>
  <si>
    <t>SEGURO 10</t>
  </si>
  <si>
    <t>IPTU 10</t>
  </si>
  <si>
    <t>DESCONTO</t>
  </si>
  <si>
    <t>ALUGUEL C/ DESCONTO</t>
  </si>
  <si>
    <t>REPASSE</t>
  </si>
  <si>
    <t>IPTU ANUAL TOTAL 2021</t>
  </si>
  <si>
    <t>LOCATÁRIO</t>
  </si>
  <si>
    <t>IPTU ANUAL 2021</t>
  </si>
  <si>
    <t>IPTU MENSAL 2021</t>
  </si>
  <si>
    <t>INÍCIO LOCAÇÃO</t>
  </si>
  <si>
    <t>PERÍODO SEGURO</t>
  </si>
  <si>
    <t>IPTU MESES UTILIZADOS</t>
  </si>
  <si>
    <t>SEGURO 24</t>
  </si>
  <si>
    <t>IPTU 24</t>
  </si>
  <si>
    <t>SEGURO 25</t>
  </si>
  <si>
    <t>IPTU 25</t>
  </si>
  <si>
    <t>SEGURO 26</t>
  </si>
  <si>
    <t>IPTU 26</t>
  </si>
  <si>
    <t>SEGURO 27</t>
  </si>
  <si>
    <t>IPTU 27</t>
  </si>
  <si>
    <t>LUIZA</t>
  </si>
  <si>
    <t>SHIRLEY</t>
  </si>
  <si>
    <t>ALUGUEL PROPORCIONAL DE 18 DIAS (14/05 A 31/05). DESCONTO 10% (1/12). IPTU (1/1). SEGURO (1/6).</t>
  </si>
  <si>
    <t>SEGURO APTO 27 (1/6)</t>
  </si>
  <si>
    <t>ALUGUEL PROPORCIONAL DE 03 DIAS (29/05 A 31/05). DESCONTO 10% (1/12). IPTU (1/1). SEGURO SERÁ COBRADO A PARTIR DE JUNHO.</t>
  </si>
  <si>
    <t>GRAND MESSEJANA II - VIGÊNCIA MAIO 2021</t>
  </si>
  <si>
    <t>JOÃO CARLOS</t>
  </si>
  <si>
    <t>DESCONTO 10% (1/12). IPTU (1/1). SEGURO SERÁ COBRADO A PARTIR DE JUNHO.</t>
  </si>
  <si>
    <t xml:space="preserve">COMISSÃO 7% </t>
  </si>
  <si>
    <t xml:space="preserve">05 LIMPEZAS (01/05 - 08/05 - 15/05 - 22/05 - 29/05) </t>
  </si>
  <si>
    <t>VALOR JÁ REPASSADO</t>
  </si>
  <si>
    <t>DIFERENÇA A REPASSAR</t>
  </si>
  <si>
    <t>DESCONTO 10% (2/12). SEGURO (2/6).</t>
  </si>
  <si>
    <t>DESCONTO 10% (2/12). SEGURO (1/6).</t>
  </si>
  <si>
    <t>VANESSA</t>
  </si>
  <si>
    <t>SEGURO APTO 27 (2/6)</t>
  </si>
  <si>
    <t>ALUGUEL PROPORCIONAL DE 13 DIAS (18/06 A 30/06). DESCONTO 10% (1/12). IPTU (1/1). SEGURO (1/6).</t>
  </si>
  <si>
    <t>FREDSON</t>
  </si>
  <si>
    <t>ALUGUEL PROPORCIONAL DE 24 DIAS (07/06 A 30/06). DESCONTO 10% (1/12). IPTU (1/1). SEGURO (1/6).</t>
  </si>
  <si>
    <t>GRAND MESSEJANA II - VIGÊNCIA JUNHO 2021</t>
  </si>
  <si>
    <t>INTERMEDIAÇÃO DE MAIO</t>
  </si>
  <si>
    <t>JUNHO DE 2021</t>
  </si>
  <si>
    <t>INTERMEDIAÇÃO</t>
  </si>
  <si>
    <t>SEGURO APTO 10 (1/6)</t>
  </si>
  <si>
    <t>SEGURO APTO 16 (1/6)</t>
  </si>
  <si>
    <t>SEGURO APTO 18 (1/6)</t>
  </si>
  <si>
    <t>SEGURO APTO 25 (1/6)</t>
  </si>
  <si>
    <t xml:space="preserve">INTERMEDIAÇÃO </t>
  </si>
  <si>
    <t>04 LIMPEZAS (05/06 - 12/06 - 19/06 - 26/06)</t>
  </si>
  <si>
    <t>RECONHECIMENTO FIRMA CONTRATO APTO 16 E 18</t>
  </si>
  <si>
    <t>27 CÓPIAS CHAVE ENTRADA EDIFÍCIO</t>
  </si>
  <si>
    <t>DESCONTO 10% (3/12). SEGURO (2/6).</t>
  </si>
  <si>
    <t>DESCONTO 10% (3/12). SEGURO (3/6).</t>
  </si>
  <si>
    <t>MATEUS</t>
  </si>
  <si>
    <t>SEGURO APTO 17 (1/6)</t>
  </si>
  <si>
    <t>SEGURO APTO 10 (2/6)</t>
  </si>
  <si>
    <t>SEGURO APTO 16 (2/6)</t>
  </si>
  <si>
    <t>SEGURO APTO 18 (2/6)</t>
  </si>
  <si>
    <t>SEGURO APTO 25 (2/6)</t>
  </si>
  <si>
    <t>SEGURO APTO 27 (3/6)</t>
  </si>
  <si>
    <t>ENEL</t>
  </si>
  <si>
    <t>CAGECE</t>
  </si>
  <si>
    <t>INTERMEDIAÇÃO DE JUNHO</t>
  </si>
  <si>
    <t>GRAND MESSEJANA II</t>
  </si>
  <si>
    <t>VIGÊNCIA DE JULHO DE 2021</t>
  </si>
  <si>
    <t>ALUGUEL E IPTU PROPORCIONAIS A 20 DIAS (12/07 A 31/07). DESCONTO 10% (1/12). IPTU (1/1). SEGURO (1/6).</t>
  </si>
  <si>
    <t>JOÃO PAULO</t>
  </si>
  <si>
    <t>ALUGUEL E IPTU PROPORCIONAIS A 02 DIAS (30/07 A 31/07). DESCONTO 10% (1/12). IPTU (1/1). SEGURO SERÁ COBRADO A PARTIR DE AGOSTO.</t>
  </si>
  <si>
    <t>RECONHECIMENTO FIRMA CONTRATO APTO 01 E 17</t>
  </si>
  <si>
    <t>05 LIMPEZAS (03/07/2021 - 10/07/2021 - 17/07/2021 - 24/07/2021 - 31/07/2021)</t>
  </si>
  <si>
    <t>INTERMEDIAÇÃO DE JULHO</t>
  </si>
  <si>
    <t>VIGÊNCIA DE AGOSTO DE 2021</t>
  </si>
  <si>
    <t>DESCONTO 10% (2/12). SEGURO (1/6)</t>
  </si>
  <si>
    <t>DESCONTO 10% (4/12). SEGURO (3/6).</t>
  </si>
  <si>
    <t>DESCONTO 10% (4/12). SEGURO (4/6).</t>
  </si>
  <si>
    <t>CATIANA</t>
  </si>
  <si>
    <t>ERIVANDO</t>
  </si>
  <si>
    <t>09/08/2021 a 09/08/2022</t>
  </si>
  <si>
    <t>com corredores</t>
  </si>
  <si>
    <t>SEGURO APTO 01 (1/6)</t>
  </si>
  <si>
    <t>SEGURO APTO 10 (3/6)</t>
  </si>
  <si>
    <t>SEGURO APTO 15 (1/6)</t>
  </si>
  <si>
    <t>SEGURO APTO 16 (3/6)</t>
  </si>
  <si>
    <t>SEGURO APTO 17 (2/6)</t>
  </si>
  <si>
    <t>SEGURO APTO 18 (3/6)</t>
  </si>
  <si>
    <t>SEGURO APTO 19 (1/6)</t>
  </si>
  <si>
    <t>SEGURO APTO 25 (3/6)</t>
  </si>
  <si>
    <t>SEGURO APTO 27 (4/6)</t>
  </si>
  <si>
    <t>04 LIMPEZAS (07/08 - 14/08 - 21/08 - 28/08)</t>
  </si>
  <si>
    <t>RECONHECIMENTO FIRMA CONTRATO APTO 15 E 19</t>
  </si>
  <si>
    <t>ALUGUEL, GARAGEM E IPTU PROPORCIONAIS A 26 DIAS (06/08 A 31/08). DESCONTO R$ 60,00 (1/12). IPTU (1/1). SEGURO (1/6)</t>
  </si>
  <si>
    <t>ALUGUEL, GARAGEM E IPTU PROPORCIONAIS A 08 DIAS (24/08/2021 A 31/08/2021). DESCONTO 10% (1/12). IPTU (1/1). SEGURO (1/6)</t>
  </si>
  <si>
    <t>INTERMEDIAÇÃO DE AGOSTO</t>
  </si>
  <si>
    <t>VIGÊNCIA DE SETEMBRO DE 2021</t>
  </si>
  <si>
    <t>DESCONTO R$ 60,00 (2/12). SEGURO (2/6).</t>
  </si>
  <si>
    <t>DESCONTO 10% (5/12). SEGURO (4/6).</t>
  </si>
  <si>
    <t>DESCONTO 10% (5/12). SEGURO (5/6).</t>
  </si>
  <si>
    <t>SEGURO APTO 01 (2/6)</t>
  </si>
  <si>
    <t>SEGURO APTO 10 (4/6)</t>
  </si>
  <si>
    <t>SEGURO APTO 15 (2/6)</t>
  </si>
  <si>
    <t>SEGURO APTO 16 (4/6)</t>
  </si>
  <si>
    <t>SEGURO APTO 17 (3/6)</t>
  </si>
  <si>
    <t>SEGURO APTO 18 (4/6)</t>
  </si>
  <si>
    <t>SEGURO APTO 19 (2/6)</t>
  </si>
  <si>
    <t>SEGURO APTO 25 (4/6)</t>
  </si>
  <si>
    <t>SEGURO APTO 27 (5/6)</t>
  </si>
  <si>
    <t>04 LIMPEZAS (04/09 - 11/09 - 18/09 - 25/09)</t>
  </si>
  <si>
    <t xml:space="preserve">NOME </t>
  </si>
  <si>
    <t>PRINCIPAL</t>
  </si>
  <si>
    <t>CONDIÇÃO</t>
  </si>
  <si>
    <t>R$ PARCELA</t>
  </si>
  <si>
    <t>INADIMPLÊNCIAS</t>
  </si>
  <si>
    <t>R$ 600,00 (ALUGUEL SETEMBRO) + R$ 50,00 (GARAGEM) + R$ 19,74 (SEGURO 2/6).</t>
  </si>
  <si>
    <t>INADIMPLÊNCIA</t>
  </si>
  <si>
    <t>VIGÊNCIA DE OUTUBRO DE 2021</t>
  </si>
  <si>
    <t>SEGURO APTO 01 (3/6)</t>
  </si>
  <si>
    <t>SEGURO APTO 10 (5/6)</t>
  </si>
  <si>
    <t>SEGURO APTO 15 (3/6)</t>
  </si>
  <si>
    <t>SEGURO APTO 16 (5/6)</t>
  </si>
  <si>
    <t>SEGURO APTO 17 (4/6)</t>
  </si>
  <si>
    <t>SEGURO APTO 18 (5/6)</t>
  </si>
  <si>
    <t>SEGURO APTO 19 (3/6)</t>
  </si>
  <si>
    <t>SEGURO APTO 25 (5/6)</t>
  </si>
  <si>
    <t>SEGURO APTO 27 (6/6)</t>
  </si>
  <si>
    <t>05 LIMPEZAS (02/10 - 09/10 - 16/10 - 23/10 - 30/10)</t>
  </si>
  <si>
    <t>SEGURO</t>
  </si>
  <si>
    <t xml:space="preserve">MULTA </t>
  </si>
  <si>
    <t>JUROS</t>
  </si>
  <si>
    <t>ALUGUÉIS ATRASADOS/ACORDOS/RESCISÕES RECEBIDAS EM OUTUBRO 2021</t>
  </si>
  <si>
    <t>VIGÊNCIA DE NOVEMBRO DE 2021</t>
  </si>
  <si>
    <t>DESCONTO 10% (6/12). SEGURO (5/6).</t>
  </si>
  <si>
    <r>
      <t xml:space="preserve">ALUGUEL DE SETEMBRO. </t>
    </r>
    <r>
      <rPr>
        <sz val="11"/>
        <color rgb="FFFF0000"/>
        <rFont val="Times New Roman"/>
        <family val="1"/>
      </rPr>
      <t>PERDA DO DESCONTO (3/12). SEGURO (2/6).</t>
    </r>
    <r>
      <rPr>
        <sz val="11"/>
        <color theme="1"/>
        <rFont val="Times New Roman"/>
        <family val="1"/>
      </rPr>
      <t xml:space="preserve"> PAGO DIA 29/10/2021.</t>
    </r>
  </si>
  <si>
    <r>
      <t xml:space="preserve">ALUGUEL DE OUTUBRO. PERDA DO DESCONTO (4/12). </t>
    </r>
    <r>
      <rPr>
        <sz val="11"/>
        <color rgb="FFFF0000"/>
        <rFont val="Times New Roman"/>
        <family val="1"/>
      </rPr>
      <t>SEGURO (3/6).</t>
    </r>
  </si>
  <si>
    <r>
      <t xml:space="preserve">ALUGUEL DE SETEMBRO. PERDA DO DESCONTO (3/12). </t>
    </r>
    <r>
      <rPr>
        <sz val="11"/>
        <color rgb="FFFF0000"/>
        <rFont val="Times New Roman"/>
        <family val="1"/>
      </rPr>
      <t>SEGURO (2/6).</t>
    </r>
  </si>
  <si>
    <t>SEGURO APTO 01 (4/6)</t>
  </si>
  <si>
    <t>SEGURO APTO 10 (6/6)</t>
  </si>
  <si>
    <t>SEGURO APTO 15 (4/6)</t>
  </si>
  <si>
    <t>SEGURO APTO 16 (6/6)</t>
  </si>
  <si>
    <t>SEGURO APTO 17 (5/6)</t>
  </si>
  <si>
    <t>SEGURO APTO 18 (6/6)</t>
  </si>
  <si>
    <t>SEGURO APTO 19 (4/6)</t>
  </si>
  <si>
    <t>SEGURO APTO 25 (6/6)</t>
  </si>
  <si>
    <t>04 LIMPEZAS (06/11/2021 - 13/11/2021 - 20/11/2021 - 27/11/2021)</t>
  </si>
  <si>
    <t>R$ 600,00 (ALUGUEL OUTUBRO) + R$ 50,00 (GARAGEM) + R$ 19,74 (SEGURO 2/6).</t>
  </si>
  <si>
    <r>
      <t xml:space="preserve">ALUGUEL DE NOVEMBRO. PERDA DO DESCONTO (5/12). </t>
    </r>
    <r>
      <rPr>
        <sz val="11"/>
        <color rgb="FFFF0000"/>
        <rFont val="Times New Roman"/>
        <family val="1"/>
      </rPr>
      <t>SEGURO (4/6).</t>
    </r>
  </si>
  <si>
    <t>R$ 600,00 (ALUGUEL OUTUBRO) + R$ 50,00 (GARAGEM) + R$ 19,74 (SEGURO 3/6).</t>
  </si>
  <si>
    <t>R$ 600,00 (ALUGUEL NOVEMBRO) + R$ 50,00 (GARAGEM) + R$ 19,74 (SEGURO 4/6).</t>
  </si>
  <si>
    <t>SERVIÇO INSTALAÇÃO FECHADURA TETRA</t>
  </si>
  <si>
    <t>DESCONTO R$ 60,00 (3/12). SEGURO (3/6).</t>
  </si>
  <si>
    <t>DESCONTO R$ 60,00 (4/12). SEGURO (4/6).</t>
  </si>
  <si>
    <t>DESCONTO 10% (7/12). SEGURO (6/6).</t>
  </si>
  <si>
    <t>DESCONTO 10% (6/12). SEGURO (6/6).</t>
  </si>
  <si>
    <t>DESCONTO 10% (7/12). SEGURO QUITADO.</t>
  </si>
  <si>
    <t>VIGÊNCIA DE DEZEMBRO DE 2021</t>
  </si>
  <si>
    <t>DESCONTO 10% (8/12). SEGURO QUITADO.</t>
  </si>
  <si>
    <t>DESCONTO R$ 60,00 (5/12). SEGURO (5/6).</t>
  </si>
  <si>
    <t>SEGURO APTO 01 (5/6)</t>
  </si>
  <si>
    <t>SEGURO APTO 15 (5/6)</t>
  </si>
  <si>
    <t>SEGURO APTO 17 (6/6)</t>
  </si>
  <si>
    <t>SEGURO APTO 19 (5/6)</t>
  </si>
  <si>
    <t>04 LIMPEZAS (04/12/2021 - 11/12/2021 - 18/12/2021 - 25/12/2021)</t>
  </si>
  <si>
    <t>RESSARCIMENTO 50% FECHADURA TETRA APTO 18 FREDSON</t>
  </si>
  <si>
    <r>
      <t xml:space="preserve">ALUGUEL DE DEZEMBRO. PERDA DO DESCONTO (6/12). </t>
    </r>
    <r>
      <rPr>
        <sz val="11"/>
        <color rgb="FFFF0000"/>
        <rFont val="Times New Roman"/>
        <family val="1"/>
      </rPr>
      <t>SEGURO (5/6).</t>
    </r>
  </si>
  <si>
    <t>R$ 600,00 (ALUGUEL DEZEMBBRO) + R$ 50,00 (GARAGEM) + R$ 19,74 (SEGURO 5/6).</t>
  </si>
  <si>
    <t>VIGÊNCIA DE JANEIRO 2022</t>
  </si>
  <si>
    <t>DESCONTO 10% (8/12). SEGURO QUITADO. IPTU (1/5).</t>
  </si>
  <si>
    <t>DESCONTO 10% (7/12). SEGURO QUITADO. IPTU (1/5).</t>
  </si>
  <si>
    <t>DESCONTO 10% (6/12). SEGURO (6/6). IPTU (1/5).</t>
  </si>
  <si>
    <t>DESCONTO 10% (9/12). SEGURO QUITADO. IPTU (1/5).</t>
  </si>
  <si>
    <t>DESCONTO R$ 60,00 (6/12). SEGURO (6/6). IPTU (1/5).</t>
  </si>
  <si>
    <t>SEGURO APTO 01 (6/6)</t>
  </si>
  <si>
    <t>SEGURO APTO 15 (6/6)</t>
  </si>
  <si>
    <t>SEGURO APTO 19 (6/6)</t>
  </si>
  <si>
    <t>SEGURO APTO 09 (1/6)</t>
  </si>
  <si>
    <t>ALUGUEL, GARAGEM E IPTU DE 12 DIAS (20/01 A 31/01). SEM DESCONTO. SEGURO (1/6). IPTU (1/5).</t>
  </si>
  <si>
    <t>R$ 600,00 (ALUGUEL DEZEMBRO) + R$ 50,00 (GARAGEM) + R$ 19,74 (SEGURO 5/6).</t>
  </si>
  <si>
    <r>
      <t xml:space="preserve">ALUGUEL DE OUTUBRO/2021. PERDA DO DESCONTO (4/12). </t>
    </r>
    <r>
      <rPr>
        <sz val="11"/>
        <color rgb="FFFF0000"/>
        <rFont val="Times New Roman"/>
        <family val="1"/>
      </rPr>
      <t>SEGURO (3/6).</t>
    </r>
  </si>
  <si>
    <r>
      <t xml:space="preserve">ALUGUEL DE NOVEMBRO/2021. PERDA DO DESCONTO (5/12). </t>
    </r>
    <r>
      <rPr>
        <sz val="11"/>
        <color rgb="FFFF0000"/>
        <rFont val="Times New Roman"/>
        <family val="1"/>
      </rPr>
      <t>SEGURO (4/6).</t>
    </r>
  </si>
  <si>
    <r>
      <t xml:space="preserve">ALUGUEL DE DEZEMBRO/2021. PERDA DO DESCONTO (6/12). </t>
    </r>
    <r>
      <rPr>
        <sz val="11"/>
        <color rgb="FFFF0000"/>
        <rFont val="Times New Roman"/>
        <family val="1"/>
      </rPr>
      <t>SEGURO (5/6).</t>
    </r>
  </si>
  <si>
    <r>
      <t xml:space="preserve">ALUGUEL DE JANEIRO/2022. PERDA DO DESCONTO (7/12). </t>
    </r>
    <r>
      <rPr>
        <sz val="11"/>
        <color rgb="FFFF0000"/>
        <rFont val="Times New Roman"/>
        <family val="1"/>
      </rPr>
      <t>SEGURO (6/6). IPTU (1/5).</t>
    </r>
  </si>
  <si>
    <t>ALCIDES / RENÊ</t>
  </si>
  <si>
    <t>05 LIMPEZAS (01/01/2022 - 08/01/2022 - 15/01/2022 - 22/01/2022 - 29/01/2022)</t>
  </si>
  <si>
    <t>DOCS PARA PROTESTO JOÃO PAULO APTO 01</t>
  </si>
  <si>
    <t>RECONHECIMENTO DE FIRMA APTO 09</t>
  </si>
  <si>
    <t>VIGÊNCIA DE FEVEREIRO 2022</t>
  </si>
  <si>
    <t>SEM DESCONTO. SEGURO (2/6). IPTU (2/5).</t>
  </si>
  <si>
    <t>DESCONTO 10% (10/12). SEGURO QUITADO. IPTU (2/5).</t>
  </si>
  <si>
    <t>RESCISÃO. PROPORCIONAL 02 DIAS (01/02 A 02/02). DESCONTO R$ 60,00 (7/12). SEGURO QUITADO. IPTU (2/5).</t>
  </si>
  <si>
    <t>ACORDOS/RESCISÕES RECEBIDAS EM FEVEREIRO DE 2022</t>
  </si>
  <si>
    <t>1X DE R$ 1.608,00</t>
  </si>
  <si>
    <t>RESCISÃO. PAGO NO DIA 02/02/2022.</t>
  </si>
  <si>
    <t>DESCONTO 10% (9/12). SEGURO QUITADO. IPTU (2/5).</t>
  </si>
  <si>
    <t>DESCONTO 10% (8/12). SEGURO QUITADO. IPTU (2/5).</t>
  </si>
  <si>
    <t>DESCONTO 10% (7/12). SEGURO QUITADO. IPTU (2/5).</t>
  </si>
  <si>
    <t>INTERMEDIAÇÃO 60%</t>
  </si>
  <si>
    <t>SEGURO APTO 09 (2/6)</t>
  </si>
  <si>
    <t>04 LIMPEZAS (05/02/2022 - 12/02/2022 - 19/02/2022 - 26/02/2022)</t>
  </si>
  <si>
    <t>AMANDA</t>
  </si>
  <si>
    <t>17/02/2022 a 17/02/2023</t>
  </si>
  <si>
    <t>ARMANDO</t>
  </si>
  <si>
    <t>04/02/2022 a 04/02/2023</t>
  </si>
  <si>
    <t>JOÃO LEVI</t>
  </si>
  <si>
    <t>IPTU (2/5). SEGURO (1/6).</t>
  </si>
  <si>
    <t>SEGURO APTO 04 (1/6)</t>
  </si>
  <si>
    <t>SEGURO APTO 08 (1/6)</t>
  </si>
  <si>
    <t>SEGURO APTO 24 (1/6)</t>
  </si>
  <si>
    <t>BIANCA</t>
  </si>
  <si>
    <t>SEGURO 15 NOVO</t>
  </si>
  <si>
    <t>IPTU 15 NOVO</t>
  </si>
  <si>
    <t>PROPORCIONAL DE 06 DIAS (23/02 A 28/02). IPTU (2/5). SEGUROS (1/6).</t>
  </si>
  <si>
    <t>RECONHECIMENTO DE FIRMA APTO 04, 08, 15 E 24</t>
  </si>
  <si>
    <t>MATERIAL DE LIMPEZA</t>
  </si>
  <si>
    <t>CÓPIAS CHAVES CORREDORES</t>
  </si>
  <si>
    <t>CÓPIA UMA CHAVE TETRA</t>
  </si>
  <si>
    <t>R$ 600,00 (ALUGUEL JANEIRO) + R$ 50,00 (GARAGEM) + R$ 19,74 (SEGURO 5/6).</t>
  </si>
  <si>
    <t>1X DE R$ 1.520,00</t>
  </si>
  <si>
    <t>CAUÇÃO PARA PAGAMENTO DE PARTE DO DÉBITO. PAGO NO DIA 19/02/2022.</t>
  </si>
  <si>
    <t>DÉBITO ATUALIZADO EM 19/02/2022 (OUT/21 A FEV/22 E MULTA), DIFERENÇA APÓS UTILIZAÇÃO DA CAUÇÃO</t>
  </si>
  <si>
    <t>R$ 4.977,59 (DÉBITO TOTAL) - R$ 1.520,00 (CAUÇÃO)</t>
  </si>
  <si>
    <t>PROPORCIONAL DE 12 DIAS (17/02 A 28/02). IPTU (2/5). SEGUROS (1/6).</t>
  </si>
  <si>
    <t>PROPORCIONAL DE 25 DIAS (04/02 A 28/02). IPTU (2/5). SEGUROS (1/6).</t>
  </si>
  <si>
    <t>ok</t>
  </si>
  <si>
    <t>MATEUS LEVI</t>
  </si>
  <si>
    <t>SEM DESCONTO.  IPTU (3/5). SEGUROS (2/6).</t>
  </si>
  <si>
    <t>SEM DESCONTO. IPTU (3/5). SEGUROS (2/6).</t>
  </si>
  <si>
    <t>HOSANA</t>
  </si>
  <si>
    <t>LIGIA</t>
  </si>
  <si>
    <t>VIGÊNCIA DE MARÇO 2022</t>
  </si>
  <si>
    <t>ACORDOS/RESCISÕES RECEBIDAS EM MARÇO DE 2022</t>
  </si>
  <si>
    <t>17/03/2022 a 17/03/2023</t>
  </si>
  <si>
    <t>PROPORCIONAL DE 15 DIAS (17/03 A 31/03). IPTU (1/5). SEGUROS (1/6).</t>
  </si>
  <si>
    <t>DESCONTO 10% (10/12). SEGURO QUITADO. IPTU (3/5).</t>
  </si>
  <si>
    <t>DESCONTO 10% (9/12). SEGURO QUITADO. IPTU (3/5).</t>
  </si>
  <si>
    <t>DESCONTO 10% (8/12). SEGURO QUITADO. IPTU (3/5).</t>
  </si>
  <si>
    <t>RESCISÃO. PROPORCIONAL DE 01/03 A 29/03. DESCONTO 10% (11/12). SEGURO QUITADO. IPTU (3/5).</t>
  </si>
  <si>
    <t>MULTA POR RESCISÃO ANTES DO PRAZO. PAGO DIA 29/03/2022.</t>
  </si>
  <si>
    <t>1x R$ 1.111,50</t>
  </si>
  <si>
    <t>RESCISÃO DE UMA VAGA DE MOTO DIA 17/03 (PROPORCIONAL DE 15 DIAS). SEM DESCONTO. SEGURO (3/6). IPTU (3/5).</t>
  </si>
  <si>
    <t>PROPORCIONAL DE 8 DIAS (24/03 A 31/03). IPTU (1/5). SEGUROS (1/6).</t>
  </si>
  <si>
    <t>ERRO APTO 15 NA VIGÊNCIA DE MARÇO</t>
  </si>
  <si>
    <t>SEGURO APTO 04 (2/6)</t>
  </si>
  <si>
    <t>SEGURO APTO 06 (1/6)</t>
  </si>
  <si>
    <t>SEGURO APTO 08 (2/6)</t>
  </si>
  <si>
    <t>SEGURO APTO 09 (3/6)</t>
  </si>
  <si>
    <t>SEGURO APTO 14 (1/6)</t>
  </si>
  <si>
    <t>SEGURO APTO 24 (2/6)</t>
  </si>
  <si>
    <t>CAGECE (SEM FATURA)</t>
  </si>
  <si>
    <t>04 LIMPEZAS (05/03/2022 - 12/03/2022 - 19/03/2022 - 26/03/2022)</t>
  </si>
  <si>
    <t>RECONHECIMENTOS DE FIRMA CONTRATOS APTO 06 E 14</t>
  </si>
  <si>
    <t>COMISSÕES</t>
  </si>
  <si>
    <t>VIGÊNCIA DE ABRIL 2022</t>
  </si>
  <si>
    <t>SEM DESCONTO.  IPTU (4/5). SEGUROS (3/6).</t>
  </si>
  <si>
    <t>SEM DESCONTO. IPTU (4/5). SEGUROS (3/6).</t>
  </si>
  <si>
    <t>SEM DESCONTO. IPTU (2/5). SEGURO (2/6).</t>
  </si>
  <si>
    <t>SEM DESCONTO. SEGURO (4/6). IPTU (4/5).</t>
  </si>
  <si>
    <t>JOCÉLIO</t>
  </si>
  <si>
    <t>01/04/2022 a 01/04/2023</t>
  </si>
  <si>
    <t>SEM DESCONTO. IPTU (1/5). SEGURO (1/6).</t>
  </si>
  <si>
    <t>SEGURO APTO 04 (3/6)</t>
  </si>
  <si>
    <t>SEGURO APTO 06 (2/6)</t>
  </si>
  <si>
    <t>SEGURO APTO 08 (3/6)</t>
  </si>
  <si>
    <t>SEGURO APTO 09 (4/6)</t>
  </si>
  <si>
    <t>SEGURO APTO 14 (2/6)</t>
  </si>
  <si>
    <t>SEGURO APTO 24 (3/6)</t>
  </si>
  <si>
    <t>05 LIMPEZAS (02/04/2022 - 09/04/2022 - 16/04/2022 - 23/04/2022 - 30/04/2022)</t>
  </si>
  <si>
    <t>SEM DESCONTO. IPTU (2/5). SEGUROS (2/6).</t>
  </si>
  <si>
    <t>DESCONTO 10% (11/12). SEGURO QUITADO. IPTU (4/5).</t>
  </si>
  <si>
    <t>DESCONTO 10% (10/12). SEGURO QUITADO. IPTU (4/5).</t>
  </si>
  <si>
    <t>DESCONTO 10% (9/12). SEGURO QUITADO. IPTU (4/5).</t>
  </si>
  <si>
    <t>RECONHECIMENTOS DE FIRMA CONTRATO APTO 11</t>
  </si>
  <si>
    <t xml:space="preserve">CAGECE </t>
  </si>
  <si>
    <t>SEGURO APTO 11 (1/6)</t>
  </si>
  <si>
    <t>SEM DESCONTO. IPTU (3/5). SEGURO (3/6).</t>
  </si>
  <si>
    <t>VIGÊNCIA DE MAIO 2022</t>
  </si>
  <si>
    <t>SEM DESCONTO.  IPTU (5/5). SEGUROS (4/6).</t>
  </si>
  <si>
    <t>SEM DESCONTO. IPTU (5/5). SEGUROS (4/6).</t>
  </si>
  <si>
    <t>SEM DESCONTO. SEGURO (5/6). IPTU (5/5).</t>
  </si>
  <si>
    <t>DESCONTO 10% (12/12). SEGURO QUITADO. IPTU (5/5).</t>
  </si>
  <si>
    <t>DESCONTO 10% (10/12). SEGURO QUITADO. IPTU (5/5).</t>
  </si>
  <si>
    <t>RENAN</t>
  </si>
  <si>
    <t>KELSON</t>
  </si>
  <si>
    <t>CÍCERO</t>
  </si>
  <si>
    <t>HENRIQUE</t>
  </si>
  <si>
    <t>FABIANA</t>
  </si>
  <si>
    <t xml:space="preserve">RESCISÃO. PROPORCINAL DE 22 DIAS (01/05/2022 A 22/05/2022). DESCONTO 10% (11/12). IPTU (5/5). SEGURO QUITADO. </t>
  </si>
  <si>
    <t>1x R$ 1.152,00</t>
  </si>
  <si>
    <t>DESCONTO 10% (11/12). SEGURO QUITADO. IPTU (2/5).</t>
  </si>
  <si>
    <t>DESCONTO 10% (12/12). SEGURO QUITADO. IPTU (4/5).</t>
  </si>
  <si>
    <t>18/05/2022 a 18/05/2023</t>
  </si>
  <si>
    <t>PROPORCIONAL DE 19 DIAS (13/05 A 31/05). IPTU (1/5). SEGURO (1/6).</t>
  </si>
  <si>
    <t>20/05/2022 a 20/05/2023</t>
  </si>
  <si>
    <t>PROPORCIONAL DE 12 DIAS (20/05 A 31/05). IPTU (1/5). SEGURO (1/6).</t>
  </si>
  <si>
    <t>06/05/2022 a 06/05/2023</t>
  </si>
  <si>
    <t>29/05/2021 a 29/05/2022</t>
  </si>
  <si>
    <t>PROPORCIONAL DE 26 DIAS (06/05 A 31/05). IPTU (1/5). SEGURO (1/6).</t>
  </si>
  <si>
    <t>09/05/2022 a 09/05/2023</t>
  </si>
  <si>
    <t>MARLON</t>
  </si>
  <si>
    <t>PROPORCIONAL DE 05 DIAS (27/05 A 31/05). IPTU (1/5). SEGURO (1/6).</t>
  </si>
  <si>
    <t>SEGURO APTO 04 (4/6)</t>
  </si>
  <si>
    <t>SEGURO APTO 06 (3/6)</t>
  </si>
  <si>
    <t>SEGURO APTO 08 (4/6)</t>
  </si>
  <si>
    <t>SEGURO APTO 09 (5/6)</t>
  </si>
  <si>
    <t>SEGURO APTO 14 (3/6)</t>
  </si>
  <si>
    <t>SEGURO APTO 20 (1/6)</t>
  </si>
  <si>
    <t>SEGURO APTO 21 (1/6)</t>
  </si>
  <si>
    <t>SEGURO APTO 22 (1/6)</t>
  </si>
  <si>
    <t>SEGURO APTO 23 (1/6)</t>
  </si>
  <si>
    <t>SEGURO APTO 24 (4/6)</t>
  </si>
  <si>
    <t>SEGURO APTO 26 (1/6)</t>
  </si>
  <si>
    <t>SEGURO APTO 13 (1/6)</t>
  </si>
  <si>
    <t>04 LIMPEZAS (07/05/2022 - 14/05/2022 - 21/05/2022 - 28/05/2022)</t>
  </si>
  <si>
    <t>RECONHECIMENTOS DE FIRMA CONTRATO APTO 13, 20, 21, 22, 23, 26 E 27</t>
  </si>
  <si>
    <t>CAGECE SEM FATURA</t>
  </si>
  <si>
    <t>CÍCERO ABEL</t>
  </si>
  <si>
    <t>MUDANÇA MOBILIA APTO 7 (TÉRREO) PARA APTO 20 (2º ANDAR)</t>
  </si>
  <si>
    <t>SEM DESCONTO. IPTU (3/5). SEGUROS (3/6).</t>
  </si>
  <si>
    <t>REAJUSTE EM MAIO/2022. DESCONTO FINALIZADO. IPTU (5/5). SEGURO (1/6).</t>
  </si>
  <si>
    <t>SEGURO APTO 11 (2/6)</t>
  </si>
  <si>
    <t>VIGÊNCIA DE JUNHO 2022</t>
  </si>
  <si>
    <t>ACORDOS/RESCISÕES RECEBIDAS EM MAIO DE 2022</t>
  </si>
  <si>
    <t>IPTU (2/5). SEGURO (2/6).</t>
  </si>
  <si>
    <t>SEM DESCONTO.  IPTU QUITADO. SEGURO (5/6).</t>
  </si>
  <si>
    <t>SEM DESCONTO. IPTU (4/5). SEGURO (4/6).</t>
  </si>
  <si>
    <t>SEM DESCONTO. IPTU QUITADO. SEGURO (5/6).</t>
  </si>
  <si>
    <t>SEM DESCONTO. IPTU QUITADO. SEGURO (6/6).</t>
  </si>
  <si>
    <t>REAJUSTADO EM JUNHO/2022. IPTU QUITADO. SEGURO (1/6).</t>
  </si>
  <si>
    <t>IRAN</t>
  </si>
  <si>
    <t>09/06/2022 a 09/06/2023</t>
  </si>
  <si>
    <t>PROPORCIONAL DE 23 DIAS (08/06 A 30/06). IPTU (1/5). SEGURO (1/6).</t>
  </si>
  <si>
    <t>DESCONTO 10% (11/12). IPTU QUITADO. SEGURO QUITADO.</t>
  </si>
  <si>
    <t>REAJUSTADO EM MAIO/2022. DESCONTO FINALIZADO. IPTU QUITADO. SEGURO (2/6).</t>
  </si>
  <si>
    <t>ELISON</t>
  </si>
  <si>
    <t>IPTU ANUAL TOTAL 2022</t>
  </si>
  <si>
    <t>IPTU ANUAL 2022</t>
  </si>
  <si>
    <t>IPTU MENSAL 2022</t>
  </si>
  <si>
    <r>
      <t>PROPORCIONAL DE</t>
    </r>
    <r>
      <rPr>
        <sz val="11"/>
        <color rgb="FFFF0000"/>
        <rFont val="Times New Roman"/>
        <family val="1"/>
      </rPr>
      <t xml:space="preserve"> 07 DIAS (24/06 A 30/06). </t>
    </r>
    <r>
      <rPr>
        <sz val="11"/>
        <rFont val="Times New Roman"/>
        <family val="1"/>
      </rPr>
      <t>IPTU (1/5). SEGURO (1/6).</t>
    </r>
  </si>
  <si>
    <t>JAÍNE</t>
  </si>
  <si>
    <t>18/06/2022 a 18/06/2023</t>
  </si>
  <si>
    <t>PROPORCIONAL DE 25 DIAS (06/06 A 30/06). SEM DESCONTO. IPTU (1/5). SEGURO (1/6).</t>
  </si>
  <si>
    <t>DAVI</t>
  </si>
  <si>
    <t>10/06/2022 a 10/06/2023</t>
  </si>
  <si>
    <t>PROPORCIONAL DE 21 DIAS (10/06 A 30/06). SEM DESCONTO. IPTU (1/5). SEGURO (1/6).</t>
  </si>
  <si>
    <t>SEGURO APTO 04 (5/6)</t>
  </si>
  <si>
    <t>SEGURO APTO 06 (4/6)</t>
  </si>
  <si>
    <t>SEGURO APTO 08 (5/6)</t>
  </si>
  <si>
    <t>SEGURO APTO 09 (6/6)</t>
  </si>
  <si>
    <t>SEGURO APTO 11 (3/6)</t>
  </si>
  <si>
    <t>SEGURO APTO 12 (1/6)</t>
  </si>
  <si>
    <t>SEGURO APTO 13 (2/6)</t>
  </si>
  <si>
    <t>SEGURO APTO 14 (4/6)</t>
  </si>
  <si>
    <t>SEGURO APTO 20 (2/6)</t>
  </si>
  <si>
    <t>SEGURO APTO 21 (2/6)</t>
  </si>
  <si>
    <t>SEGURO APTO 22 (2/6)</t>
  </si>
  <si>
    <t>SEGURO APTO 23 (2/6)</t>
  </si>
  <si>
    <t>SEGURO APTO 24 (5/6)</t>
  </si>
  <si>
    <t>SEGURO APTO 26 (2/6)</t>
  </si>
  <si>
    <t>04 LIMPEZAS (04/06/2022 - 11/06/2022 - 18/06/2022 - 25/06/2022)</t>
  </si>
  <si>
    <t>RECONHECIMENTOS DE FIRMA CONTRATO APTO 01, 10, 12 E 17</t>
  </si>
  <si>
    <t>GARAGEM PROPORCIONAL DE 08 DIAS (23/06 A 30/06). SEM DESCONTO. IPTU QUITADO. SEGURO (5/6).</t>
  </si>
  <si>
    <t>SERVIÇO CONSERTO BOIA</t>
  </si>
  <si>
    <t>MATERIAL CONSERTO BOIA: R$ 38,00 (BOIA) + R$ 120,00 (RELÉ)</t>
  </si>
  <si>
    <t>DAVID/FÁTIMA</t>
  </si>
  <si>
    <t>IPTU (3/5). SEGURO (3/6).</t>
  </si>
  <si>
    <t>SEM DESCONTO.  IPTU QUITADO. SEGURO (6/6).</t>
  </si>
  <si>
    <t>SEM DESCONTO. IPTU (5/5). SEGURO (5/6).</t>
  </si>
  <si>
    <t>REAJUSTADO EM JUNHO/2022. IPTU QUITADO. SEGURO (2/6).</t>
  </si>
  <si>
    <t>DESCONTO 10% (12/12). IPTU QUITADO. SEGURO QUITADO.</t>
  </si>
  <si>
    <t>REAJUSTADO EM MAIO/2022. DESCONTO FINALIZADO. IPTU QUITADO. SEGURO (3/6).</t>
  </si>
  <si>
    <t>FÁTIMA E RAFAELA</t>
  </si>
  <si>
    <t>20//07/2022</t>
  </si>
  <si>
    <t>20/07/2022 a 20/07/2023</t>
  </si>
  <si>
    <t>PROPORCIONAL DE 12 DIAS (20/07 A 31/07). SEM DESCONTO. IPTU (1/5). SEGURO (1/6).</t>
  </si>
  <si>
    <t>LETICIA</t>
  </si>
  <si>
    <t>PROPORCIONAL DE 04 DIAS (28/07 A 31/07). SEM DESCONTO. IPTU (1/5). SEGURO (1/6).</t>
  </si>
  <si>
    <t>DAVID ÂNGELO</t>
  </si>
  <si>
    <t>05/07/2022 a 05/07/2023</t>
  </si>
  <si>
    <t>ALEXANDER</t>
  </si>
  <si>
    <t>07/07/2022 a 07/07/2023</t>
  </si>
  <si>
    <t>PROPORCIONAL DE 26 DIAS (06/07 A 31/07). SEM DESCONTO. IPTU (1/5). SEGURO (1/6).</t>
  </si>
  <si>
    <t>GARAGEM PROPORCIONAL DE 11 DIAS (01/07 A 11/07). SEM DESCONTO. IPTU QUITADO. SEGURO (6/6).</t>
  </si>
  <si>
    <t>SEGURO APTO 02 (1/6)</t>
  </si>
  <si>
    <t>SEGURO APTO 03 (1/6)</t>
  </si>
  <si>
    <t>SEGURO APTO 04 (6/6)</t>
  </si>
  <si>
    <t>SEGURO APTO 05 (1/6)</t>
  </si>
  <si>
    <t>SEGURO APTO 06 (5/6)</t>
  </si>
  <si>
    <t>SEGURO APTO 07 (1/6)</t>
  </si>
  <si>
    <t>SEGURO APTO 08 (6/6)</t>
  </si>
  <si>
    <t>SEGURO APTO 11 (4/6)</t>
  </si>
  <si>
    <t>SEGURO APTO 12 (2/6)</t>
  </si>
  <si>
    <t>SEGURO APTO 13 (3/6)</t>
  </si>
  <si>
    <t>SEGURO APTO 14 (5/6)</t>
  </si>
  <si>
    <t>SEGURO APTO 20 (3/6)</t>
  </si>
  <si>
    <t>SEGURO APTO 21 (3/6)</t>
  </si>
  <si>
    <t>SEGURO APTO 22 (3/6)</t>
  </si>
  <si>
    <t>SEGURO APTO 23 (3/6)</t>
  </si>
  <si>
    <t>SEGURO APTO 24 (6/6)</t>
  </si>
  <si>
    <t>SEGURO APTO 26 (3/6)</t>
  </si>
  <si>
    <t>05 LIMPEZAS (02/07/2022 - 09/07/2022 - 16/07/2022 - 23/07/2022 - 30/07/2022)</t>
  </si>
  <si>
    <t>RECONHECIMENTOS DE FIRMA CONTRATO APTO 02, 03, 05 E 07</t>
  </si>
  <si>
    <t>VIGÊNCIA DE JULHO 2022</t>
  </si>
  <si>
    <t>01 GARAGEM PROPORCIONAL DE 06 DIAS (01/07 A 06/07). SEM DESCONTO. IPTU QUITADO. SEGURO QUITADO.</t>
  </si>
  <si>
    <t>CONSERTO FECHADURA TETRA</t>
  </si>
  <si>
    <t>R$ 807,21 (ALUGUEL) + R$ 30,00 (GARAGEM MOTO) + R$ 19,95 (SEGURO 3/6)</t>
  </si>
  <si>
    <t>VIGÊNCIA DE AGOSTO 2022</t>
  </si>
  <si>
    <t>SEM DESCONTO. IPTU QUITADO. SEGURO QUITADO.</t>
  </si>
  <si>
    <t>REAJUSTADO EM JUNHO/2022. IPTU QUITADO. SEGURO (3/6).</t>
  </si>
  <si>
    <t>ACORDOS/RESCISÕES RECEBIDAS EM AGOSTO DE 2022</t>
  </si>
  <si>
    <t>1x R$ 1.188,83</t>
  </si>
  <si>
    <t>MULTA POR RESCISÃO ANTES DO PRAZO. PAGO DIA 20/08/2022.</t>
  </si>
  <si>
    <t>SEGURO APTO 02 (2/6)</t>
  </si>
  <si>
    <t>SEGURO APTO 03 (2/6)</t>
  </si>
  <si>
    <t>SEGURO APTO 05 (2/6)</t>
  </si>
  <si>
    <t>SEGURO APTO 06 (6/6)</t>
  </si>
  <si>
    <t>SEGURO APTO 07 (2/6)</t>
  </si>
  <si>
    <t>SEGURO APTO 11 (5/6)</t>
  </si>
  <si>
    <t>SEGURO APTO 12 (3/6)</t>
  </si>
  <si>
    <t>SEGURO APTO 13 (4/6)</t>
  </si>
  <si>
    <t>SEGURO APTO 14 (6/6)</t>
  </si>
  <si>
    <t>SEGURO APTO 20 (4/6)</t>
  </si>
  <si>
    <t>SEGURO APTO 21 (4/6)</t>
  </si>
  <si>
    <t>SEGURO APTO 22 (4/6)</t>
  </si>
  <si>
    <t>SEGURO APTO 23 (4/6)</t>
  </si>
  <si>
    <t>SEGURO APTO 26 (4/6)</t>
  </si>
  <si>
    <t>04 LIMPEZAS (06/08/2022 - 13/08/2022 - 20/08/2022 - 27/08/2022)</t>
  </si>
  <si>
    <t>RESCISÃO. PROPORCIONAL DE 29 DIAS (01/08 a 29/08). IPTU QUITADO. SEGURO QUITADO.</t>
  </si>
  <si>
    <t>1x R$ 1.403,00</t>
  </si>
  <si>
    <t>MULTA POR RESCISÃO ANTES DO PRAZO. PAGO DIA 03/08/2022.</t>
  </si>
  <si>
    <t>HERBERT</t>
  </si>
  <si>
    <t>08/08/2022 a 08/08/2023</t>
  </si>
  <si>
    <t>SEGURO 08 NOVO</t>
  </si>
  <si>
    <t>IPTU 08 NOVO</t>
  </si>
  <si>
    <t>RESCISÃO. PROPORCIONAL DE 06 DIAS (01/08 A 06/08. IPTU QUITADO. SEGURO QUITADO.</t>
  </si>
  <si>
    <t>PROPORCIONAL DE 26 DIAS (05/08 A 31/08). IPTU (1/5). SEGURO (1/6).</t>
  </si>
  <si>
    <t>SERVIÇO FECHADURA TETRA</t>
  </si>
  <si>
    <t>SAMUEL</t>
  </si>
  <si>
    <t>SEGURO 19 NOVO</t>
  </si>
  <si>
    <t>IPTU 19 NOVO</t>
  </si>
  <si>
    <t>PROPORCIONAL DE 06 DIAS (26/08 A 31/08). IPTU (1/5). SEGURO (1/6).</t>
  </si>
  <si>
    <r>
      <t xml:space="preserve">SEM DESCONTO. </t>
    </r>
    <r>
      <rPr>
        <sz val="11"/>
        <color rgb="FFFF0000"/>
        <rFont val="Times New Roman"/>
        <family val="1"/>
      </rPr>
      <t>IPTU (3/5)</t>
    </r>
    <r>
      <rPr>
        <sz val="11"/>
        <rFont val="Times New Roman"/>
        <family val="1"/>
      </rPr>
      <t>. SEGURO (3/6).</t>
    </r>
  </si>
  <si>
    <t>RESCISÃO. INADIMPLÊNCIA.</t>
  </si>
  <si>
    <t>RECONHECIMENTOS DE FIRMA CONTRATO APTO 8 E 19</t>
  </si>
  <si>
    <t>MANUTENÇÃO PORTÃO GARAGEM</t>
  </si>
  <si>
    <t>CONFECÇÃO CHAVE MOTOR PORTÃO</t>
  </si>
  <si>
    <t>MÊS DE JULHO ATUALIZADO, AGOSTO E MULTA POR RESCISÃO ANTES DO PRAZO</t>
  </si>
  <si>
    <t>DÉBITO ATUALIZADO EM 19/02/2022 (OUT/21 A FEV/22 E MULTA).</t>
  </si>
  <si>
    <t>DÉBITO ATUALIZADO EM 30/08/2022 (JULHO, AGOSTO E MULTA POR RESCISÃO ANTES DO PRAZO.</t>
  </si>
  <si>
    <t>CRÉDITO DA IMOBILIÁRIA A SER ACERTADO NA VIGÊNCIA DE SETEMBRO</t>
  </si>
  <si>
    <t>VALOR REPASSADO</t>
  </si>
  <si>
    <t>INTERMEDIAÇÕES DE AGOSTO DE 2022</t>
  </si>
  <si>
    <t>INTERMEDIAÇÃO DE JANEIRO DE 2022</t>
  </si>
  <si>
    <t>INTERMEDIAÇÃO DE FEVEREIRO DE 2022</t>
  </si>
  <si>
    <t>INTERMEDIAÇÃO DE MARÇO DE 2022</t>
  </si>
  <si>
    <t>INTERMEDIAÇÕES DE MAIO DE 2022</t>
  </si>
  <si>
    <t>INTERMEDIAÇÕES DE JUNHO DE 2022</t>
  </si>
  <si>
    <t>INTERMEDIAÇÕES DE JULHO DE 2022</t>
  </si>
  <si>
    <r>
      <t xml:space="preserve">SEM DESCONTO. </t>
    </r>
    <r>
      <rPr>
        <sz val="11"/>
        <color rgb="FFFF0000"/>
        <rFont val="Times New Roman"/>
        <family val="1"/>
      </rPr>
      <t>IPTU (4/5)</t>
    </r>
    <r>
      <rPr>
        <sz val="11"/>
        <rFont val="Times New Roman"/>
        <family val="1"/>
      </rPr>
      <t>. SEGURO (4/6).</t>
    </r>
  </si>
  <si>
    <t>VIGÊNCIA DE SETEMBRO 2022</t>
  </si>
  <si>
    <t>RESCISÃO. SEM DESCONTO. IPTU QUITADO. SEGURO QUITADO.</t>
  </si>
  <si>
    <t>REAJUSTADO EM JUNHO/2022. IPTU QUITADO. SEGURO (4/6).</t>
  </si>
  <si>
    <t>DESOCUPADO</t>
  </si>
  <si>
    <t>ACORDOS/RESCISÕES RECEBIDAS EM SETEMBRO DE 2022</t>
  </si>
  <si>
    <t>01  PARCELA DE R$ 1.560,00</t>
  </si>
  <si>
    <t>MULTA POR RESCISÃO ANTES DO PRAZO. PAGAMENTO DIA 26/09/2022.</t>
  </si>
  <si>
    <t>SEGURO APTO 02 (3/6)</t>
  </si>
  <si>
    <t>SEGURO APTO 03 (3/6)</t>
  </si>
  <si>
    <t>SEGURO APTO 05 (3/6)</t>
  </si>
  <si>
    <t>SEGURO APTO 07 (3/6)</t>
  </si>
  <si>
    <t>SEGURO APTO 11 (6/6)</t>
  </si>
  <si>
    <t>SEGURO APTO 12 (4/6)</t>
  </si>
  <si>
    <t>SEGURO APTO 13 (5/6)</t>
  </si>
  <si>
    <t>SEGURO APTO 20 (5/6)</t>
  </si>
  <si>
    <t>SEGURO APTO 21 (5/6)</t>
  </si>
  <si>
    <t>SEGURO APTO 22 (5/6)</t>
  </si>
  <si>
    <t>SEGURO APTO 23 (5/6)</t>
  </si>
  <si>
    <t>SEGURO APTO 26 (5/6)</t>
  </si>
  <si>
    <t>04 LIMPEZAS (03/09/2022 - 10/09/2022 - 17/09/2022 - 24/09/2022)</t>
  </si>
  <si>
    <t>DIFERENÇA REPAROS APTO 25 SHIRLEY</t>
  </si>
  <si>
    <t>MÊS DE JULHO ATUALIZADO, AGOSTO, MULTA POR RESCISÃO ANTES DO PRAZO E REPAROS</t>
  </si>
  <si>
    <t>CONSERTO PORTÃO</t>
  </si>
  <si>
    <t>REFERENTE A JULHO, AGOSTO, MULTA POR RESCISÃO ANTES DO PRAZO E REPAROS.</t>
  </si>
  <si>
    <t>CRÉDITO DA IMOBILIÁRIA (ERRO NA VIGÊNCIA DE AGOSTO)</t>
  </si>
  <si>
    <t>CHAVEIRO: RETIRADA DE CHAVE DA FECHADURA DA PORTA DOS CORREDORES</t>
  </si>
  <si>
    <t>DOCUMENTAÇÃO PARA PROTESTO DÉBITO APTO 25 SHIRLEY</t>
  </si>
  <si>
    <t>VIGÊNCIA DE OUTUBRO 2022</t>
  </si>
  <si>
    <t>ACORDOS/RESCISÕES RECEBIDAS EM OUTUBRO DE 2022</t>
  </si>
  <si>
    <r>
      <t xml:space="preserve">SEM DESCONTO. </t>
    </r>
    <r>
      <rPr>
        <sz val="11"/>
        <color rgb="FFFF0000"/>
        <rFont val="Times New Roman"/>
        <family val="1"/>
      </rPr>
      <t>IPTU (5/5)</t>
    </r>
    <r>
      <rPr>
        <sz val="11"/>
        <rFont val="Times New Roman"/>
        <family val="1"/>
      </rPr>
      <t>. SEGURO (5/6).</t>
    </r>
  </si>
  <si>
    <t>BRENA E RAYANE</t>
  </si>
  <si>
    <t>18/10/2022 a 18/10/2023</t>
  </si>
  <si>
    <t>PROPORCIONAL DE 22 DIAS (10/10 A 31/10). IPTU (3/5). SEGURO (1/6).</t>
  </si>
  <si>
    <t>RESCISÃO. PROPORCIONAL DE 15 DIAS (01/10 A 15/10). SEM DESCONTO. IPTU QUITADO. SEGURO QUITADO.</t>
  </si>
  <si>
    <t>01  PARCELA DE R$ 1.265,00</t>
  </si>
  <si>
    <t>MULTA POR RESCISÃO ANTES DO PRAZO. PAGAMENTO DIA 15/10/2022.</t>
  </si>
  <si>
    <t>REAJUSTADO EM JUNHO/2022. IPTU QUITADO. SEGURO (5/6).</t>
  </si>
  <si>
    <t>DEIVID</t>
  </si>
  <si>
    <t>SEGURO 14 NOVO</t>
  </si>
  <si>
    <t>IPTU 14 NOVO</t>
  </si>
  <si>
    <t>PROPORCIONAL DE 05 DIAS (27/10 A 31/10). IPTU (3/5). SEGURO (1/6).</t>
  </si>
  <si>
    <t>JEAN E FCO EDUARDO</t>
  </si>
  <si>
    <t>19/10/2022 a 19/10/2023</t>
  </si>
  <si>
    <t>PROPORCIONAL DE 13 DIAS (19/10 A 31/10). IPTU (3/5). SEGURO (1/6).</t>
  </si>
  <si>
    <t>DAVID/FÁTIMA MONTE</t>
  </si>
  <si>
    <t>SEGURO APTO 02 (4/6)</t>
  </si>
  <si>
    <t>SEGURO APTO 03 (4/6)</t>
  </si>
  <si>
    <t>SEGURO APTO 05 (4/6)</t>
  </si>
  <si>
    <t>SEGURO APTO 07 (4/6)</t>
  </si>
  <si>
    <t>SEGURO APTO 13 (6/6)</t>
  </si>
  <si>
    <t>SEGURO APTO 20 (6/6)</t>
  </si>
  <si>
    <t>SEGURO APTO 21 (6/6)</t>
  </si>
  <si>
    <t>SEGURO APTO 22 (6/6)</t>
  </si>
  <si>
    <t>SEGURO APTO 23 (6/6)</t>
  </si>
  <si>
    <t>SEGURO APTO 26 (6/6)</t>
  </si>
  <si>
    <t>ALUGUEL E ENCARGOS DE SETEMBRO. SEM DESCONTO. IPTU (3/5). SEGURO (3/6). PAGAMENTO DIA 28/10/2022.</t>
  </si>
  <si>
    <t>05 LIMPEZAS (01/10/2022 - 08/10/2022 - 15/10/2022 - 22/10/2022 - 29/10/2022)</t>
  </si>
  <si>
    <t>28/10/2022 a 28/10/2023</t>
  </si>
  <si>
    <t>R$ 580,00 (ALUGUEL) + R$ 50,00 (GARAGEM CARRO) + R$ 2,84 (IPTU) + R$ 19,70 (SEGURO) + R$ 69,49 (ENCARGOS PELO ATRASO) = R$ 722,03</t>
  </si>
  <si>
    <t>VIGÊNCIA DE NOVEMBRO 2022</t>
  </si>
  <si>
    <t>INTERMEDIAÇÕES DE OUTUBRO DE 2022</t>
  </si>
  <si>
    <t>IPTU (4/5). SEGURO (2/6).</t>
  </si>
  <si>
    <t>ACORDOS/RESCISÕES RECEBIDAS EM NOVEMBRO DE 2022</t>
  </si>
  <si>
    <r>
      <t xml:space="preserve">SEM DESCONTO. </t>
    </r>
    <r>
      <rPr>
        <sz val="11"/>
        <color rgb="FFFF0000"/>
        <rFont val="Times New Roman"/>
        <family val="1"/>
      </rPr>
      <t>IPTU QUITADO</t>
    </r>
    <r>
      <rPr>
        <sz val="11"/>
        <rFont val="Times New Roman"/>
        <family val="1"/>
      </rPr>
      <t>. SEGURO (6/6).</t>
    </r>
  </si>
  <si>
    <t>RESCISÃO. PROPORCIONAL DE 01 DIA (01/11/2022).SEM DESCONTO. IPTU (5/5). SEGURO (5/6).</t>
  </si>
  <si>
    <t>1X R$ 1.508,00</t>
  </si>
  <si>
    <t>MULTA POR RESCISÃO ANTES DO PRAZO. PAGAMENTO DIA 01/11/2022.</t>
  </si>
  <si>
    <t>REAJUSTADO EM JUNHO/2022. IPTU QUITADO. SEGURO (6/6).</t>
  </si>
  <si>
    <t>1X R$ 187,12</t>
  </si>
  <si>
    <t>MULTA POR RESCISÃO ANTES DO PRAZO. PAGAMENTO DESCONTADO DA CAUÇÃO.</t>
  </si>
  <si>
    <t>ÁGUA</t>
  </si>
  <si>
    <t>SEGURO APTO 02 (5/6)</t>
  </si>
  <si>
    <t>SEGURO APTO 03 (5/6)</t>
  </si>
  <si>
    <t>SEGURO APTO 07 (5/6)</t>
  </si>
  <si>
    <t>SEGURO APTO 12 (6/6)</t>
  </si>
  <si>
    <t>04 LIMPEZAS (05/11/2022 - 12/11/2022 - 19/11/2022 - 26/11/2022)</t>
  </si>
  <si>
    <t>RESCISÃO. PROPORCINAL DE 10 DIAS (01/11/2022 A 10/11/2022). IPTU QUITADO. SEGURO (6/6).</t>
  </si>
  <si>
    <t>CHAVEIRO CONSERTO FECHADURA TETRA</t>
  </si>
  <si>
    <t>VIGÊNCIA DE DEZEMBRO 2022</t>
  </si>
  <si>
    <t>ACORDOS/RESCISÕES RECEBIDAS EM DEZEMBRO DE 2022</t>
  </si>
  <si>
    <t>JAIRTON</t>
  </si>
  <si>
    <t>PROPORCIONAL DE 27 DIAS (05/12/2022 A 31/12/2022). IPTU (1/1). SEGURO (1/6).</t>
  </si>
  <si>
    <t>RESCISÃO. PROPORCIONAL DE 05 DIAS (01/12/2022 A 05/12/2022). IPTU (5/5). SEGURO (3/6).</t>
  </si>
  <si>
    <t>8X DE R$ 184,46</t>
  </si>
  <si>
    <t>MULTA POR RESCISÃO ANTES DO PRAZO. PAGAMENTO DA 1º PARCELA DIA 05/12/2022.</t>
  </si>
  <si>
    <t>IPTU (5/5). SEGURO (3/6).</t>
  </si>
  <si>
    <t>REAJUSTADO EM JUNHO/2022. IPTU QUITADO. SEGURO QUITADO.</t>
  </si>
  <si>
    <t>SEGURO APTO 02 (6/6)</t>
  </si>
  <si>
    <t>SEGURO APTO 03 (6/6)</t>
  </si>
  <si>
    <t>SEGURO APTO 07 (6/6)</t>
  </si>
  <si>
    <t>05 LIMPEZAS (03/12/2022 - 10/12/2022 - 17/12/2022 - 24/12/2022 - 31/12/2022)</t>
  </si>
  <si>
    <t>APTO 25 TINTA PARA REPARO NA PINTURA EXTERNA DANIFICADA PELO AR CONDICIONADO</t>
  </si>
  <si>
    <t>IPTU ANUAL TOTAL 2023</t>
  </si>
  <si>
    <t>IPTU ANUAL 2023</t>
  </si>
  <si>
    <t>IPTU MENSAL 2023</t>
  </si>
  <si>
    <t>IPTU (1/12). SEGURO (2/6).</t>
  </si>
  <si>
    <t>IPTU (1/12). SEGURO QUITADO.</t>
  </si>
  <si>
    <t>IPTU (1/12). SEGURO (6/6).</t>
  </si>
  <si>
    <t>IPTU (1/12). SEGURO (4/6).</t>
  </si>
  <si>
    <t>MULTA POR RESCISÃO ANTES DO PRAZO. (PARCELA 2/8)</t>
  </si>
  <si>
    <t>04 LIMPEZAS (07/01/2023 - 14/01/2023 - 21/01/2023 - 28/01/2023)</t>
  </si>
  <si>
    <t>REAJUSTADO EM JUN/2022. IPTU (1/12). SEGURO QUITADO.</t>
  </si>
  <si>
    <t>REAJUSTADO EM JAN/2023. IPTU (1/12). SEGURO (1/6).</t>
  </si>
  <si>
    <t>CRISTINA</t>
  </si>
  <si>
    <t>PROPORCIONAL DE 06 DIAS (26/01 A 31/01). IPTU (1/12). SEGURO (1/6)</t>
  </si>
  <si>
    <t>MARIANA</t>
  </si>
  <si>
    <t>GARAGEM PROPORCIONAL DE 16 DIAS (01/01 A 16/01). IPTU (1/12). SEGURO QUITADO.</t>
  </si>
  <si>
    <t>PROPORCIONAL DE 01 DIA (31/01). IPTU (1/12). SEGURO (1/6).</t>
  </si>
  <si>
    <t>INTERMEDIAÇÕES DE DEZEMBRO DE 2022</t>
  </si>
  <si>
    <t>ACORDOS/RESCISÕES RECEBIDAS EM JANEIRO DE 2023</t>
  </si>
  <si>
    <t>VIGÊNCIA DE JANEIRO DE 2023</t>
  </si>
  <si>
    <t>INTERMEDIAÇÕES DE JANEIRO DE 2023</t>
  </si>
  <si>
    <t>ACORDOS/RESCISÕES RECEBIDAS EM FEVEREIRO DE 2023</t>
  </si>
  <si>
    <t>IPTU (2/12). SEGURO (2/6)</t>
  </si>
  <si>
    <t>MARIA NATALICE</t>
  </si>
  <si>
    <t>PROPORCIONAL DE 23 DIAS (06/02 A 28/08). IPTU (2/12). SEGURO (1/6).</t>
  </si>
  <si>
    <t>RESCISÃO. PROPORCIONAL DE 08 DIAS (01/01 A 08/01). IPTU (2/12). SEGURO QUITADO.</t>
  </si>
  <si>
    <t>IPTU (2/12). SEGURO QUITADO.</t>
  </si>
  <si>
    <t>REAJUSTADO EM FEV/2023. IPTU (2/12). SEGURO (1/6).</t>
  </si>
  <si>
    <t>IPTU (2/12). SEGURO (2/6).</t>
  </si>
  <si>
    <t>REAJUSTADO EM JAN/2023. IPTU (2/12). SEGURO (2/6).</t>
  </si>
  <si>
    <t>IPTU (2/12). SEGURO (5/6).</t>
  </si>
  <si>
    <t>IPTU (2/12). SEGURO (3/6).</t>
  </si>
  <si>
    <t>REAJUSTADO EM FEV/23. IPTU (2/12). SEGURO (1/6).</t>
  </si>
  <si>
    <t>RESCISÃO. PROPORCIONAL DE 08 DIAS (01/02 A 08/02). IPTU (2/12). SEGURO QUITADO.</t>
  </si>
  <si>
    <t>1X DE R$ 1.276,00</t>
  </si>
  <si>
    <t>1X DE R$ 708,63</t>
  </si>
  <si>
    <t>MULTA POR RESCISÃO ANTES DO PRAZO. PAGAMENTO DIA 08/02/23.</t>
  </si>
  <si>
    <t>MULTA POR RESCISÃO ANTES DO PRAZO. (PARCELA 3/8)</t>
  </si>
  <si>
    <t>04 LIMPEZAS (04/02/2023 - 11/02/2023 - 18/02/2023 - 25/02/2023)</t>
  </si>
  <si>
    <t>VIGÊNCIA DE FEVEREIRO DE 2023</t>
  </si>
  <si>
    <t>RESCISÃO. PROPORCIONAL DE 24 DIAS (01/02 A 24/02). REAJUSTADO EM FEV/23. IPTU (2/12). SEGURO QUITADO.</t>
  </si>
  <si>
    <t>SERVIÇO ELETRICISTA SANAR FALTA DE ENERGIA PORTÃO DE GARAGEM</t>
  </si>
  <si>
    <t>IPTU (3/12). SEGURO (3/6)</t>
  </si>
  <si>
    <t>IPTU (3/12). SEGURO (3/6).</t>
  </si>
  <si>
    <t>IPTU (3/12). SEGURO (2/6).</t>
  </si>
  <si>
    <t>IPTU (3/12). SEGURO QUITADO.</t>
  </si>
  <si>
    <t>REAJUSTADO EM FEV/2023. IPTU (3/12). SEGURO (2/6).</t>
  </si>
  <si>
    <t>REAJUSTADO EM JAN/2023. IPTU (3/12). SEGURO (3/6).</t>
  </si>
  <si>
    <t>IPTU (3/12). SEGURO (6/6).</t>
  </si>
  <si>
    <t>INTERMEDIAÇÕES DE FEVEREIRO DE 2023</t>
  </si>
  <si>
    <t>VIGÊNCIA DE MARÇO DE 2023</t>
  </si>
  <si>
    <t>ACORDOS/RESCISÕES RECEBIDAS EM MARÇO DE 2023</t>
  </si>
  <si>
    <t>MAIRA RILARY</t>
  </si>
  <si>
    <t>PROPORCIONAL DE 22 DIAS (10/03 A 31/03). IPTU (3/12). SEGURO (1/6).</t>
  </si>
  <si>
    <t>IPTU (3/12). SEGURO (4/6).</t>
  </si>
  <si>
    <t>RESCISÃO. PROPORCIONAL DE 02 DIAS (01/03 A 02/03). REAJUSTADO EM FEV/23. IPTU (3/12). SEGURO (2/6).</t>
  </si>
  <si>
    <t>1X DE R$ 1.146,85</t>
  </si>
  <si>
    <t>MULTA POR RESCISÃO ANTES DO PRAZO. PAGAMENTO DIA 02/03/2023.</t>
  </si>
  <si>
    <t>MULTA POR RESCISÃO ANTES DO PRAZO. (PARCELA 4/8)</t>
  </si>
  <si>
    <t>04 LIMPEZAS (04/03/2023 - 11/03/2023 - 18/03/2023 - 25/03/2023)</t>
  </si>
  <si>
    <t>LIMPEZA FOSSA</t>
  </si>
  <si>
    <t>SERVIÇO CHAVEIRO</t>
  </si>
  <si>
    <t>INTERMEDIAÇÕES DE MARÇO DE 2023</t>
  </si>
  <si>
    <t>VIGÊNCIA DE ABRIL DE 2023</t>
  </si>
  <si>
    <t>ACORDOS/RESCISÕES RECEBIDAS EM ABRIL DE 2023</t>
  </si>
  <si>
    <t>TAXA LIXO</t>
  </si>
  <si>
    <t>IPTU (4/12). SEGURO (3/6). LIXO (1/9).</t>
  </si>
  <si>
    <t>IPTU (4/12). SEGURO (2/6). LIXO (1/9).</t>
  </si>
  <si>
    <t>REAJUSTADO EM ABRIL/2023. IPTU (4/12). SEGURO (1/6). LIXO (1/9).</t>
  </si>
  <si>
    <t>IPTU (4/12). SEGURO (5/6). LIXO (1/9).</t>
  </si>
  <si>
    <t>RESCISÃO. PROPORCIONAL DE 26 DIAS (01/04 A 26/04). IPTU (4/12). SEGURO QUITADO. LIXO (1/9).</t>
  </si>
  <si>
    <t>IPTU (4/12). SEGURO QUITADO. LIXO (1/9).</t>
  </si>
  <si>
    <t>REAJUSTADO EM FEV/2023. IPTU (4/12). SEGURO (3/6). LIXO (1/9).</t>
  </si>
  <si>
    <t>IPTU (4/12). SEGURO (4/6). LIXO (1/9).</t>
  </si>
  <si>
    <t>REAJUSTADO EM JAN/2023. IPTU (4/12). SEGURO (4/6). LIXO (1/9).</t>
  </si>
  <si>
    <t>MULTA POR RESCISÃO ANTES DO PRAZO. (PARCELA 5/8).</t>
  </si>
  <si>
    <t>1X DE R$ 1.775,02</t>
  </si>
  <si>
    <t>MULTA POR RESCISÃO ANTES DO PRAZO. PAGAMENTO DIA 26/04/2023.</t>
  </si>
  <si>
    <t>04 LIMPEZAS (01/04/2023 - 08/04/2023 - 15/04/2023 - 22/04/2023 - 29/04/2023)</t>
  </si>
  <si>
    <t>TAXA DO LIXO (1/9)</t>
  </si>
  <si>
    <t>LEMBRAR R$ 525,46 PARA DESCONTAR EM MAIO</t>
  </si>
  <si>
    <t>VIGÊNCIA DE MAIO DE 2023</t>
  </si>
  <si>
    <t>ACORDOS/RESCISÕES RECEBIDAS EM MAIO DE 2023</t>
  </si>
  <si>
    <t>REAJUSTADO EM MAIO/2023. IPTU (5/12). SEGURO (1/6).</t>
  </si>
  <si>
    <t>IPTU (5/12). SEGURO (4/6).</t>
  </si>
  <si>
    <t>IPTU (5/12). SEGURO QUITADO.</t>
  </si>
  <si>
    <t>REAJUSTADO EM FEV/2023. IPTU (5/12). SEGURO (4/6).</t>
  </si>
  <si>
    <t>IPTU (5/12). SEGURO (5/6).</t>
  </si>
  <si>
    <t>REAJUSTADO EM JAN/2023. IPTU (5/12). SEGURO (5/6).</t>
  </si>
  <si>
    <t>REAJUSTADO EM ABRIL/2023. IPTU (5/12). SEGURO (2/6).</t>
  </si>
  <si>
    <t>IPTU (5/12). SEGURO (3/6).</t>
  </si>
  <si>
    <t>IPTU (5/12). SEGURO (6/6).</t>
  </si>
  <si>
    <t>BRENNA KESIA</t>
  </si>
  <si>
    <t>PROPORCIONAL DE 08 DIAS (24/05 A 31/05). IPTU (5/12). SEGURO (1/6).</t>
  </si>
  <si>
    <t>MULTA POR RESCISÃO ANTES DO PRAZO. (PARCELA 6/8).</t>
  </si>
  <si>
    <t>SEGURO APTO 05 (5/6)</t>
  </si>
  <si>
    <t>04 LIMPEZAS (06/05/2023 - 13/05/2023 - 20/05/2023 - 27/05/2023)</t>
  </si>
  <si>
    <t>RESSARCIMENTO ERRO VIGÊNCIA ABRIL</t>
  </si>
  <si>
    <t>TAXA DO LIXO (2/9)</t>
  </si>
  <si>
    <t>REAJUSTADO EM MAI/2023. IPTU (5/12). SEGURO (1/6).</t>
  </si>
  <si>
    <t>RESCISÃO. PROPORCIONAL 01 DIA (01/05). IPTU (5/12). SEGURO QUITADO.</t>
  </si>
  <si>
    <t>1X DE R$ 1.102,00</t>
  </si>
  <si>
    <t>MULTA POR RESCISÃO ANTES DO PRAZO.</t>
  </si>
  <si>
    <t>MATERIAL LIMPEZA</t>
  </si>
  <si>
    <t>VIGÊNCIA DE JUNHO DE 2023</t>
  </si>
  <si>
    <t>INTERMEDIAÇÕES DE MAIO DE 2023</t>
  </si>
  <si>
    <t>IPTU (6/12). SEGURO (2/6).</t>
  </si>
  <si>
    <t>RESCISÃO. PROPORCIONAL DE 23 DIAS (01/06/2023 A 23/06/2023). IPTU (6/12). SEGURO (5/6).</t>
  </si>
  <si>
    <t>ACORDOS/RESCISÕES RECEBIDAS EM JUNHO DE 2023</t>
  </si>
  <si>
    <t>1X DE R$ 1.508,00</t>
  </si>
  <si>
    <t>IPTU (6/12). SEGURO QUITADO.</t>
  </si>
  <si>
    <t>REAJUSTADO EM FEV/2023. IPTU (6/12). SEGURO (5/6).</t>
  </si>
  <si>
    <t>IPTU (6/12). SEGURO (6/6).</t>
  </si>
  <si>
    <t>REAJUSTADO EM JAN/2023. IPTU (6/12). SEGURO (6/6).</t>
  </si>
  <si>
    <t>REAJUSTADO EM ABRIL/2023. IPTU (6/12). SEGURO (3/6).</t>
  </si>
  <si>
    <t>REAJUSTADO EM MAIO/2023. IPTU (6/12). SEGURO (2/6).</t>
  </si>
  <si>
    <t>IPTU (6/12). SEGURO (1/6).</t>
  </si>
  <si>
    <t>IPTU (6/12). SEGURO (4/6).</t>
  </si>
  <si>
    <t>LETYCIA</t>
  </si>
  <si>
    <t>PROPORCIONAL DE 18 DIAS (13/06/2023 A 30/06/2023). IPTU (6/12). SEGURO (1/6).</t>
  </si>
  <si>
    <t>REAJUSTADO EM MAI/2023. IPTU (6/12). SEGURO (2/6).</t>
  </si>
  <si>
    <t>MULTA POR RESCISÃO ANTES DO PRAZO. (PARCELA 7/8).</t>
  </si>
  <si>
    <t>RENAN ARAÚJO BRITO</t>
  </si>
  <si>
    <t>KELSON ALEX ALVES GONÇALVES</t>
  </si>
  <si>
    <t>RESCISÃO. PROPORCIONAL DE 15 DIAS (01/06/2023 A 15/06/2023). IPTU (6/12). SEGURO (1/6).</t>
  </si>
  <si>
    <t xml:space="preserve">LETYCIA SILVEIRA BIANA </t>
  </si>
  <si>
    <t xml:space="preserve">JAÍNE KELLY DA SILVA VIEIRA </t>
  </si>
  <si>
    <t>DAVI E MARIA DE FATIMA MONTE</t>
  </si>
  <si>
    <t>FRANCISCO IRAN CARLOS DE PAIVA FILHO</t>
  </si>
  <si>
    <t>MARIA NATALICE ALMEIDA FREITAS</t>
  </si>
  <si>
    <t>AMANDA SANTOS DE SOUSA</t>
  </si>
  <si>
    <t>CRISTINA MOREIRA SOUSA</t>
  </si>
  <si>
    <t>MARIANA RUBENS DOS SANTOS</t>
  </si>
  <si>
    <t>HERBERT LUIZ CARVALHO LIRA</t>
  </si>
  <si>
    <t>DEIVID BATISTA DA SILVA</t>
  </si>
  <si>
    <t>BRENNA KESIA DE LIMA SILVA</t>
  </si>
  <si>
    <t>JOSÉ JAIRTON DE SOUSA</t>
  </si>
  <si>
    <t>CÍCERO ABEL BEZERRA DE SOUZA</t>
  </si>
  <si>
    <t>HENRIQUE MIRANDA MOREIRA SANTOS</t>
  </si>
  <si>
    <t>FABIANA PEREIRA DE ARAÚJO</t>
  </si>
  <si>
    <t>LETICIA RODRIGUES DE OLIVEIRA</t>
  </si>
  <si>
    <t>ALCIDES FABRICIO DO NASCIMENTO NETO</t>
  </si>
  <si>
    <t>JOCÉLIO FERREIRA GONCALVES</t>
  </si>
  <si>
    <t>MARLON MARTINS DE ANDRADE</t>
  </si>
  <si>
    <t>MAIRA RILARY COSTA BALTAZAR</t>
  </si>
  <si>
    <t>FÁTIMA REGINA SOBREIRA DE LIMA</t>
  </si>
  <si>
    <t>MATEUS DE ARAÚJO MORAES</t>
  </si>
  <si>
    <t>SEGURO APTO 05 (6/6)</t>
  </si>
  <si>
    <t>04 LIMPEZAS (03/06/2023 - 10/06/2023 - 17/06/2023 - 24/06/2023)</t>
  </si>
  <si>
    <t>INTERMEDIAÇÕES DE JUNHO DE 2023</t>
  </si>
  <si>
    <t>IPTU (7/12). SEGURO (3/6). LIXO (1/6).</t>
  </si>
  <si>
    <t>LIXO</t>
  </si>
  <si>
    <t>IPTU (7/12). SEGURO (2/6). LIXO (1/6).</t>
  </si>
  <si>
    <t>THAIS DA SILVA ARAUJO</t>
  </si>
  <si>
    <t>VIGÊNCIA DE JULHO DE 2023</t>
  </si>
  <si>
    <t>VIGÊNCIA DE JULHO 2023. PROPORCIONAL DE 27 DIAS (05/07/2023 A 31/07/2023). IPTU (7/12). SEGURO (1/6). LIXO (1/6).</t>
  </si>
  <si>
    <t>VIGÊNCIA DE AGOSTO 2023. IPTU (8/12). SEGURO (2/6). LIXO (2/6).</t>
  </si>
  <si>
    <t>VIGÊNCIA DE SETEMBRO 2023. IPTU (9/12). SEGURO (3/6). LIXO (3/6).</t>
  </si>
  <si>
    <t>VIGÊNCIA DE OUTUBRO 2023. IPTU (10/12). SEGURO (4/6). LIXO (4/6).</t>
  </si>
  <si>
    <t>VIGÊNCIA DE NOVEMBRO 2023. IPTU (11/12). SEGURO (5/6). LIXO (5/6).</t>
  </si>
  <si>
    <t>VIGÊNCIA DE DEZEMBRO 2023. IPTU (12/12). SEGURO (6/6). LIXO (6/6).</t>
  </si>
  <si>
    <t>VIGÊNCIA DE JANEIRO 2024. SEGURO QUITADO.</t>
  </si>
  <si>
    <t>VIGÊNCIA DE FEVEREIRO 2024. SEGURO QUITADO.</t>
  </si>
  <si>
    <t>VIGÊNCIA DE MARÇO 2024. SEGURO QUITADO.</t>
  </si>
  <si>
    <t>VIGÊNCIA DE ABRIL 2024. SEGURO QUITADO.</t>
  </si>
  <si>
    <t>VIGÊNCIA DE MAIO 2024. SEGURO QUITADO.</t>
  </si>
  <si>
    <t>VIGÊNCIA DE JUNHO 2024. SEGURO QUITADO.</t>
  </si>
  <si>
    <t>IPTU (7/12). SEGURO (1/6). LIXO (1/6).</t>
  </si>
  <si>
    <t>REAJUSTADO EM FEV/2023. IPTU (7/12). SEGURO (6/6). LIXO (1/6).</t>
  </si>
  <si>
    <t>IPTU (7/12). SEGURO QUITADO. LIXO (1/6).</t>
  </si>
  <si>
    <t>REAJUSTADO EM JAN/2023. IPTU (7/12). SEGURO QUITADO. LIXO (1/6).</t>
  </si>
  <si>
    <t>REAJUSTADO EM MAIO/2023. IPTU (7/12). SEGURO (2/6). LIXO (1/6).</t>
  </si>
  <si>
    <t>IPTU (7/12). SEGURO (5/6). LIXO (1/6).</t>
  </si>
  <si>
    <t>REAJUSTADO EM MAI/2023. IPTU (7/12). SEGURO (3/6). LIXO (1/6).</t>
  </si>
  <si>
    <t>MULTA POR RESCISÃO ANTES DO PRAZO. (PARCELA 8/8).</t>
  </si>
  <si>
    <t>ANTÔNIO JHON ARAUJO DE SOUSA</t>
  </si>
  <si>
    <t>PROPORCIONAL DE 25 DIAS (07/07/2023 A 31/07/2023). IPTU (7/12). SEGURO (1/6). LIXO (1/6).</t>
  </si>
  <si>
    <t>05 LIMPEZAS (01/07/2023 - 08/07/2023 - 15/07/2023 - 22/07/2023 - 29/07/2023)</t>
  </si>
  <si>
    <t>DANIEL RIBEIRO DE AQUINO</t>
  </si>
  <si>
    <t>PROPORCIONAL DE 18 DIAS (14/07/2023 A 31/07/2023). IPTU (7/12). SEGURO (1/6). LIXO (1/6).</t>
  </si>
  <si>
    <t>TAXA DO LIXO</t>
  </si>
  <si>
    <t>ACORDOS/RESCISÕES RECEBIDAS EM JULHO DE 2023</t>
  </si>
  <si>
    <t>RESCISÃO NO DIA 31/07/2023. IPTU (7/12). SEGURO (4/6). LIXO (1/6).</t>
  </si>
  <si>
    <t>INTERMEDIAÇÕES DE JULHO DE 2023</t>
  </si>
  <si>
    <t>VIGÊNCIA DE AGOSTO DE 2023</t>
  </si>
  <si>
    <t>ACORDOS/RESCISÕES RECEBIDAS EM AGOSTO DE 2023</t>
  </si>
  <si>
    <t>IPTU (8/12). SEGURO (3/6). LIXO (2/6).</t>
  </si>
  <si>
    <t>ALUGUEL, IPTU, SEGURO E LIXO JÁ PAGOS.</t>
  </si>
  <si>
    <t>IPTU (8/12). SEGURO (2/6). LIXO (2/6).</t>
  </si>
  <si>
    <t>IPTU (8/12). SEGURO QUITADO. LIXO (2/6).</t>
  </si>
  <si>
    <t>REAJUSTADO EM MAIO/2023. IPTU (8/12). SEGURO (3/6). LIXO (2/6).</t>
  </si>
  <si>
    <t>IPTU (8/12). SEGURO (4/6). LIXO (2/6).</t>
  </si>
  <si>
    <t>IPTU (8/12). SEGURO (6/6). LIXO (2/6).</t>
  </si>
  <si>
    <t>REAJUSTADO EM MAI/2023. IPTU (8/12). SEGURO (4/6). LIXO (2/6).</t>
  </si>
  <si>
    <t>IPTU (8/12). SEGURO (1/6). LIXO (2/6).</t>
  </si>
  <si>
    <t>RESCISÃO. PROPORCIONAL DE 17 DIAS (01/08/23 A 17/08/23). IPTU (8/12). SEGURO QUITADO. LIXO (2/6).</t>
  </si>
  <si>
    <t>JEAN SILVA CAVALCANTE</t>
  </si>
  <si>
    <t>RESCISÃO. PROPORCIONAL DE 10 DIAS (01/09/23 A 10/09/23). IPTU (8/12). SEGURO QUITADO. LIXO (2/6).</t>
  </si>
  <si>
    <t>1X DE R$ 672,78</t>
  </si>
  <si>
    <t>MULTA POR RESCISÃO ANTES DO PRAZO. PAGAMENTO DIA 10/08/2023.</t>
  </si>
  <si>
    <t>INTERMEDIAÇÕES DE AGOSTO DE 2023</t>
  </si>
  <si>
    <t>VIGÊNCIA DE SETEMBRO DE 2023</t>
  </si>
  <si>
    <t>ACORDOS/RESCISÕES RECEBIDAS EM SETEMBRO DE 2023</t>
  </si>
  <si>
    <t>IPTU (9/12). SEGURO (3/6). LIXO (3/6).</t>
  </si>
  <si>
    <t>IPTU (9/12). SEGURO (4/6). LIXO (3/6).</t>
  </si>
  <si>
    <t>IPTU (9/12). SEGURO QUITADO. LIXO (3/6).</t>
  </si>
  <si>
    <t>IPTU (9/12). SEGURO (2/6). LIXO (3/6).</t>
  </si>
  <si>
    <t>IPTU (9/12). SEGURO (5/6). LIXO (3/6).</t>
  </si>
  <si>
    <t>REAJUSTE</t>
  </si>
  <si>
    <t>JULHO</t>
  </si>
  <si>
    <t>JANEIRO</t>
  </si>
  <si>
    <t>AGOSTO</t>
  </si>
  <si>
    <t>JUNHO</t>
  </si>
  <si>
    <t>MARIA DE FATIMA MONTE E DAVI FELIX COSTA</t>
  </si>
  <si>
    <t>MAIO</t>
  </si>
  <si>
    <t>NOVEMBRO</t>
  </si>
  <si>
    <t>MARÇO</t>
  </si>
  <si>
    <t>DEZEMBRO</t>
  </si>
  <si>
    <t>ROBERTO HENRIQUE CORDEIRO</t>
  </si>
  <si>
    <t>OUTUBRO</t>
  </si>
  <si>
    <t>JOAO VICTOR DE MATOS SANTOS</t>
  </si>
  <si>
    <t>INTERMEDIAÇÕES DE SETEMBRO DE 2023</t>
  </si>
  <si>
    <t>VIGÊNCIA DE OUTUBRO DE 2023</t>
  </si>
  <si>
    <t>ACORDOS/RESCISÕES RECEBIDAS EM OUTUBRO DE 2023</t>
  </si>
  <si>
    <t>IPTU (10/12). SEGURO (4/6). LIXO (4/6).</t>
  </si>
  <si>
    <t>IPTU (10/12). SEGURO QUITADO. LIXO (4/6).</t>
  </si>
  <si>
    <t>IPTU (10/12). SEGURO (3/6). LIXO (4/6).</t>
  </si>
  <si>
    <t>IPTU (10/12). SEGURO (5/6). LIXO (4/6).</t>
  </si>
  <si>
    <t>IPTU (10/12). SEGURO (6/6). LIXO (4/6).</t>
  </si>
  <si>
    <t>ROBERTO HENRIQUE CORDEIRO PINHEIRO</t>
  </si>
  <si>
    <t>PROPORCIONAL DE 26 DIAS (06/10/2023 A 31/10/2023). IPTU (10/12). SEGURO (1/6). LIXO (4/6)</t>
  </si>
  <si>
    <t>JOÃO VICTOR DE MATOS SANTOS</t>
  </si>
  <si>
    <t>IPTU (10/12). SEGURO (1/6). LIXO (4/6).</t>
  </si>
  <si>
    <t>IPTU (1/12). SEGURO (1/6). LIXO (4/6).</t>
  </si>
  <si>
    <t>SEGURO APTO 12 (5/6)</t>
  </si>
  <si>
    <t>VIGÊNCIA DE NOVEMBRO DE 2023</t>
  </si>
  <si>
    <t>INTERMEDIAÇÕES DE OUTUBRO DE 2023</t>
  </si>
  <si>
    <t>IPTU (11/12). SEGURO (2/6). LIXO (5/6)</t>
  </si>
  <si>
    <t>IPTU (11/12). SEGURO (2/6). LIXO (5/6).</t>
  </si>
  <si>
    <t>ANTÔNIO GABRIEL DE OLIVEIRA COSTA</t>
  </si>
  <si>
    <t>IPTU (11/12). SEGURO (5/6). LIXO (5/6).</t>
  </si>
  <si>
    <t>IPTU (11/12). SEGURO QUITADO. LIXO (5/6).</t>
  </si>
  <si>
    <t>IPTU (11/12). SEGURO (4/6). LIXO (5/6).</t>
  </si>
  <si>
    <t>IPTU (11/12). SEGURO (6/6). LIXO (5/6).</t>
  </si>
  <si>
    <t>PROPORCIONAL DE 24 DIAS (07/11 A 30/11). IPTU (11/12). SEGURO (1/6). LIXO (5/6).</t>
  </si>
  <si>
    <t>INTERMEDIAÇÕES DE NOVEMBRO DE 2023</t>
  </si>
  <si>
    <t>IPTU (12/12). SEGURO (3/6). LIXO (6/6).</t>
  </si>
  <si>
    <t>IPTU (12/12). SEGURO (2/6). LIXO (6/6).</t>
  </si>
  <si>
    <t>IPTU (12/12). SEGURO (3/6). LIXO (6/6)</t>
  </si>
  <si>
    <t>IPTU (12/12). SEGURO (6/6). LIXO (6/6).</t>
  </si>
  <si>
    <t>IPTU (12/12). SEGURO QUITADO. LIXO (6/6).</t>
  </si>
  <si>
    <t>IPTU (12/12). SEGURO (5/6). LIXO (6/6).</t>
  </si>
  <si>
    <t>IPTU (12/12). SEGURO (1/6). LIXO (6/6).</t>
  </si>
  <si>
    <t>RESCISÃO. PROPORCIONAL DE 13 DIAS (01/12 A 13/12). IPTU (12/12). SEGURO QUITADO. LIXO (6/6).</t>
  </si>
  <si>
    <t>1X DE R$ 1.281.00</t>
  </si>
  <si>
    <t>MULTA POR RESCISÃO ANTES DO PRAZO. PAGAMENTO DIA 13/12/2023.</t>
  </si>
  <si>
    <t>RESCISÃO. PROPORCIONAL DE 20 DIAS (01/12 A 20/12). IPTU (12/12). SEGURO QUITADO. LIXO (6/6).</t>
  </si>
  <si>
    <t>LIMPEZA CANOS</t>
  </si>
  <si>
    <t>ACORDOS/RESCISÕES RECEBIDAS EM NOVEMBRO DE 2023</t>
  </si>
  <si>
    <t>IPTU ANUAL TOTAL 2024</t>
  </si>
  <si>
    <t>IPTU ANUAL 2024</t>
  </si>
  <si>
    <t>IPTU MENSAL 2024</t>
  </si>
  <si>
    <t>LIXO ANUAL 2024</t>
  </si>
  <si>
    <t>LIXO MENSAL 2024</t>
  </si>
  <si>
    <t>LIXO ANUAL TOTAL 2024</t>
  </si>
  <si>
    <t>FÁTIMA REGINA SOBREIRA DE LIMA E RAFAELA</t>
  </si>
  <si>
    <t>DANIEL RIBEIRO DE AQUINO E MARIA DA CONCEIÇÃO RIBEIRO DE SOUZA</t>
  </si>
  <si>
    <t>ANTONIO GABRIEL DE OLIVEIRA DA COSTA</t>
  </si>
  <si>
    <t>FRANCISCO MATHEUS LIMA GONÇALVES E JAÍNE</t>
  </si>
  <si>
    <t>LETYCIA SILVEIRA BIANA</t>
  </si>
  <si>
    <t>MATEUS DE ARAÚJO MORAES E RENAN</t>
  </si>
  <si>
    <t>JEAN SILVA CAVALCANTE E FRANCISCO EDUARDO COSTA CAVALCANTE</t>
  </si>
  <si>
    <t>ANA CELIA CORDEIRO PINHEIRO E ROBERTO HENRIQUE CORDEIRO</t>
  </si>
  <si>
    <t>ACORDOS/RESCISÕES RECEBIDAS EM DEZEMBRO DE 2023</t>
  </si>
  <si>
    <t>INTERMEDIAÇÕES DE DEZEMBRO DE 2023</t>
  </si>
  <si>
    <t>VIGÊNCIA DE DEZEMBRO DE 2023</t>
  </si>
  <si>
    <t>VIGÊNCIA DE JANEIRO DE 2024</t>
  </si>
  <si>
    <t>IPTU (1/12). SEGURO (3/6). LIXO (1/12).</t>
  </si>
  <si>
    <t>IPTU (1/12). SEGURO QUITADO. LIXO (1/12).</t>
  </si>
  <si>
    <t>IPTU (1/12). SEGURO QUITADO. LIXO (1/12). ALUGUEL E GARAGEM PAGOS ATÉ A VIGÊNCIA DE JUNHO.</t>
  </si>
  <si>
    <t>ACORDOS/RESCISÕES RECEBIDAS EM  JANEIRO DE 2024</t>
  </si>
  <si>
    <t>MARIA SIEBRA DA COSTA ALBANO</t>
  </si>
  <si>
    <t>IPTU (1/12). SEGURO (4/6). LIXO (1/12).</t>
  </si>
  <si>
    <t>IPTU (1/12). SEGURO (1/6). LIXO (1/12).</t>
  </si>
  <si>
    <t>IPTU (1/12). SEGURO (6/6). LIXO (1/12).</t>
  </si>
  <si>
    <t>IPTU (1/12). SEGURO (2/6). LIXO (1/12).</t>
  </si>
  <si>
    <t>RESCISÃO. PROPORCIONAL DE 02 DIAS (01/01/2024 A 02/01/2024). IPTU (1/12). SEGURO QUITADO. LIXO (1/12).</t>
  </si>
  <si>
    <t>RESCISÃO. PROPORCIONAL DE 20 DIAS (01/01/2024 A 20/01/2024). IPTU (1/12). SEGURO QUITADO. LIXO (1/12).</t>
  </si>
  <si>
    <t>RESCISÃO. PROPORCIONAL DE 19 DIAS (01/01 A 19/01). IPTU (1/12). SEGURO QUITADO. LIXO (1/12).</t>
  </si>
  <si>
    <t>FRANCIVALDO LIMA DE SOUSA</t>
  </si>
  <si>
    <t>PROPORCIONAL DE 13 DIAS (19/01/2024 A 31/01/2024). IPTU (1/12). SEGURO (1/6). LIXO (1/12).</t>
  </si>
  <si>
    <t>DESOCUPADO.</t>
  </si>
  <si>
    <t>TROCA BATERIA CONTROLE REMOTO DEGIVALDO</t>
  </si>
  <si>
    <t>LIMPEZA APTO 20</t>
  </si>
  <si>
    <t>PROPORCIONAL DE 02 DIAS (30/01/2024 A 31/01/2024). IPTU (1/12). SEGURO (1/6). LIXO (1/12).</t>
  </si>
  <si>
    <t>INTERMEDIAÇÕES DE JANEIRO DE 2024</t>
  </si>
  <si>
    <t>VIGÊNCIA DE FEVEREIRO DE 2024</t>
  </si>
  <si>
    <t>ACORDOS/RESCISÕES RECEBIDAS EM FEVEREIRO DE 2024</t>
  </si>
  <si>
    <t>IPTU (2/12). SEGURO (2/6). LIXO (2/12).</t>
  </si>
  <si>
    <t>IPTU (2/12). SEGURO QUITADO. LIXO (2/12). ALUGUEL E GARAGEM PAGOS ATÉ A VIGÊNCIA DE JUNHO.</t>
  </si>
  <si>
    <t>IPTU (2/12). SEGURO QUITADO. LIXO (2/12).</t>
  </si>
  <si>
    <t>IPTU (2/12). SEGURO (5/6). LIXO (2/12).</t>
  </si>
  <si>
    <t>IPTU (2/12). SEGURO (4/6). LIXO (2/12).</t>
  </si>
  <si>
    <t>IPTU (2/12). SEGURO (3/6). LIXO (2/12).</t>
  </si>
  <si>
    <t>FEVEREIRO</t>
  </si>
  <si>
    <t>PROPORCIONAL DE 28 DIAS (02/02 A 29/02). IPTU (2/12). SEGURO (1/6). LIXO (2/12).</t>
  </si>
  <si>
    <t>RONI VIAL CIRIBELLI JUNIOR</t>
  </si>
  <si>
    <t>RESCISÃO. PROPORCIONAL DE 15 DIAS (01/02 A 15/02). IPTU (2/12). SEGURO (5/6). LIXO (2/12).</t>
  </si>
  <si>
    <t>MULTA POR RESCISÃO ANTES DO PRAZO. PAGAMENTO DIA 15/02/2024.</t>
  </si>
  <si>
    <t>1X DE R$ 1.768,00</t>
  </si>
  <si>
    <t>LÂMPADAS, SENSOR DE PRESENÇA E MATERIAIS PARA TROCAR O SENSOR DE PRESENÇA</t>
  </si>
  <si>
    <t>INTERMEDIAÇÕES DE FEVEREIRO DE 2024</t>
  </si>
  <si>
    <t>VIGÊNCIA DE MARÇO DE 2024</t>
  </si>
  <si>
    <t>ACORDOS/RESCISÕES RECEBIDAS EM MARÇO DE 2024</t>
  </si>
  <si>
    <t>IPTU (3/12). SEGURO (3/6). LIXO (3/12).</t>
  </si>
  <si>
    <t>IPTU (3/12). SEGURO (2/6). LIXO (3/12).</t>
  </si>
  <si>
    <t>HUDSON MELO DA SILVA SANTOS</t>
  </si>
  <si>
    <t>IPTU (3/12). SEGURO (1/1). LIXO (3/12).</t>
  </si>
  <si>
    <t>IPTU (3/12). SEGURO QUITADO. LIXO (3/12). ALUGUEL E GARAGEM PAGOS ATÉ A VIGÊNCIA DE JUNHO.</t>
  </si>
  <si>
    <t>IPTU (3/12). SEGURO QUITADO. LIXO (3/12).</t>
  </si>
  <si>
    <t>IPTU (3/12). SEGURO (6/6). LIXO (3/12).</t>
  </si>
  <si>
    <t>IPTU (3/12). SEGURO (5/6). LIXO (3/12).</t>
  </si>
  <si>
    <t>IPTU (3/12). SEGURO (4/6). LIXO (3/12).</t>
  </si>
  <si>
    <t>SEGURO APTO 12 (1/1)</t>
  </si>
  <si>
    <t>DEDETIZAÇÃO</t>
  </si>
  <si>
    <t>50% REPAROS APTO 11</t>
  </si>
  <si>
    <t>VIDRO BANHEIRO ESTACIONAMENTO (R$ 50,00) + SILICONE (R$ 8,00)</t>
  </si>
  <si>
    <t>MATERIAL PARA INSTALAÇÃO DA LIXEIRA</t>
  </si>
  <si>
    <t>INTERMEDIAÇÕES DE MARÇO DE 2024</t>
  </si>
  <si>
    <t>VIGÊNCIA DE ABRIL DE 2024</t>
  </si>
  <si>
    <t>ACORDOS/RESCISÕES RECEBIDAS EM ABRIL DE 2024</t>
  </si>
  <si>
    <t>IPTU (4/12). SEGURO (3/6). LIXO (4/12).</t>
  </si>
  <si>
    <t>IPTU (4/12). SEGURO QUITADO. LIXO (4/12).</t>
  </si>
  <si>
    <t>IPTU (4/12). SEGURO QUITADO. LIXO (4/12). ALUGUEL E GARAGEM PAGOS ATÉ A VIGÊNCIA DE JUNHO.</t>
  </si>
  <si>
    <t>IPTU (4/12). SEGURO (4/6). LIXO (4/12).</t>
  </si>
  <si>
    <t>IPTU (4/12). SEGURO (6/6). LIXO (4/12).</t>
  </si>
  <si>
    <t>IPTU (4/12). SEGURO (5/6). LIXO (4/12).</t>
  </si>
  <si>
    <t>ANA KATIELLY SERAFIM DO NASCIMENTO</t>
  </si>
  <si>
    <t>ABRIL</t>
  </si>
  <si>
    <t>PROPORCIONAL DE 27 DIAS (04/04 A 30/04). IPTU (4/12). SEGURO (1/1). LIXO (4/12).</t>
  </si>
  <si>
    <t>SEGURO APTO 22 (1/1)</t>
  </si>
  <si>
    <t>RESCISÃO. PRPORCIONAL DE 26 DIAS (01/04 A 26/04). IPTU (4/12). SEGURO QUITADO. LIXO (4/12).</t>
  </si>
  <si>
    <t>50% FINAL REPAROS APTO 11</t>
  </si>
  <si>
    <t>CERÂMICA APTO 11</t>
  </si>
  <si>
    <t>INTERMEDIAÇÕES DE ABRIL DE 2024</t>
  </si>
  <si>
    <t>VIGÊNCIA DE MAIO DE 2024</t>
  </si>
  <si>
    <t>ACORDOS/RESCISÕES RECEBIDAS EM MAIO DE 2024</t>
  </si>
  <si>
    <t>IPTU (5/12). SEGURO QUITADO. LIXO (5/12). ALUGUEL E GARAGEM PAGOS ATÉ A VIGÊNCIA DE JUNHO.</t>
  </si>
  <si>
    <t>IPTU (5/12). SEGURO QUITADO. LIXO (5/12).</t>
  </si>
  <si>
    <t>IPTU (5/12). SEGURO (5/6). LIXO (5/12).</t>
  </si>
  <si>
    <t>IPTU (5/12). SEGURO (6/6). LIXO (5/12).</t>
  </si>
  <si>
    <t>IPTU (5/12). SEGURO (4/6). LIXO (5/12).</t>
  </si>
  <si>
    <t>LILIAN DE AMORIM PEREIRA</t>
  </si>
  <si>
    <t xml:space="preserve">LIXO R$ POR M² </t>
  </si>
  <si>
    <t>PROPORCIONAL DE 24 DIAS (08/05 A 31/05). IPTU (5/12). SEGURO (1/1). LIXO (5/12).</t>
  </si>
  <si>
    <t>RESCISÃO. PROPORCIONAL DE 11 DIAS (01/05 A 11/05). IPTU (5/12). SEGURO QUITADO. LIXO (5/12).</t>
  </si>
  <si>
    <t>VIGÊNCIA PROPORCIONAL DE MAIO E MULTA POR RESCISÃO ANTES DO PRAZO. IPTU (5/12). LIXO (5/12).</t>
  </si>
  <si>
    <t>IPTU (5/12). SEGURO (1/1). LIXO (5/12).</t>
  </si>
  <si>
    <t>SEGURO APTO 13 (1/1)</t>
  </si>
  <si>
    <t>SEGURO APTO 15 (1/1)</t>
  </si>
  <si>
    <t>SEGURO APTO 23 (1/1)</t>
  </si>
  <si>
    <t>SEGURO APTO 26 (1/1)</t>
  </si>
  <si>
    <t>SEGURO APTO 27 (1/1)</t>
  </si>
  <si>
    <t>SEGURO APTO 11 (1/1)</t>
  </si>
  <si>
    <t>GABRIELA APARECIDA SOARES ALVES</t>
  </si>
  <si>
    <t>PROPORCIONAL DE 03 DIAS (29/05 A 31/05). IPTU (5/12). SEGURO (1/1). LIXO (5/12).</t>
  </si>
  <si>
    <t>SEGURO APTO 16 (1/1)</t>
  </si>
  <si>
    <t>SERVIÇO CHAVEIRO CONSERTO MIOLO FECHADURA TETRA</t>
  </si>
  <si>
    <t>RESCISÃO. PROPORCIONAL DE 07 DIAS. IPTU (5/12). LIXO (5/12). INADIMPLÊNCIA.</t>
  </si>
  <si>
    <t>INTERMEDIAÇÕES DE MAIO DE 2024</t>
  </si>
  <si>
    <t>VIGÊNCIA DE JUNHO DE 2024</t>
  </si>
  <si>
    <t>ACORDOS/RESCISÕES RECEBIDAS EM JUNHO DE 2024</t>
  </si>
  <si>
    <t>IPTU (6/12). SEGURO QUITADO. LIXO (6/12).</t>
  </si>
  <si>
    <t>IPTU (6/12). SEGURO QUIITADO. LIXO (6/12).</t>
  </si>
  <si>
    <t>IPTU (6/12). SEGURO QUITADO. LIXO (6/12). ALUGUEL E GARAGEM PAGOS ATÉ A VIGÊNCIA DE JUNHO.</t>
  </si>
  <si>
    <t>IPTU (6/12). SEGURO (6/6). LIXO (6/12).</t>
  </si>
  <si>
    <t>IPTU (6/12). SEGURO (5/6). LIXO (6/12).</t>
  </si>
  <si>
    <t>RESCISÃO. PROPORCIONAL DE 09 DIAS (01/06 A 09/06) IPTU (6/12). SEGURO QUITADO. LIXO (6/12).</t>
  </si>
  <si>
    <t>IPTU (6/12). SEGURO (1/1). LIXO (6/12).</t>
  </si>
  <si>
    <t>SEGURO APTO 10 (1/1)</t>
  </si>
  <si>
    <t>RESCISÃO. PROPORCIONAL DE 06 DIAS (01/06 A 06/06). IPTU (6/12). SEGURO QUITADO. LIXO (6/12).</t>
  </si>
  <si>
    <t>MULTA POR RESCISÃO ANTES DO PRAZO - SALDO CAUÇÃO</t>
  </si>
  <si>
    <t>SALDO CAUÇÃO UTILIZADO COMO PARTE DA MULTA POR RESCISÃO ANTES DO PRAZO</t>
  </si>
  <si>
    <t>RESCISÃO. ACORDO FIRMADO. IPTU (6/12). SEGURO (6/6). LIXO (6/12).</t>
  </si>
  <si>
    <t>INTERMEDIAÇÕES DE JUNHO DE 2024</t>
  </si>
  <si>
    <t>VIGÊNCIA DE JULHO DE 2024</t>
  </si>
  <si>
    <t>ACORDOS/RESCISÕES RECEBIDAS EM JULHO DE 2024</t>
  </si>
  <si>
    <t>IPTU (7/12). SEGURO QUIITADO. LIXO (7/12).</t>
  </si>
  <si>
    <t>IPTU (7/12). SEGURO QUITADO. LIXO (7/12).</t>
  </si>
  <si>
    <t>IPTU (7/12). SEGURO (6/6). LIXO (7/12).</t>
  </si>
  <si>
    <t>IPTU (7/12). SEGURO (1/1). LIXO (7/12).</t>
  </si>
  <si>
    <t>PEDRO HENRIQUE SANTOS</t>
  </si>
  <si>
    <t>FRANCISCO SANTIAGO</t>
  </si>
  <si>
    <t>PROPORCIONAL DE 27 DIAS (05/07 A 31/07). IPTU (7/12). SEGURO (1/1). LIXO (7/12).</t>
  </si>
  <si>
    <t>GEISA SILVA MOURA</t>
  </si>
  <si>
    <t>PROPORCIONAL DE 12 DIAS (20/07 A 31/07). IPTU (7/12). SEGURO (1/1). LIXO (7/12).</t>
  </si>
  <si>
    <t>PROPORCIONAL DE 23 DIAS (09/07 A 31/07). IPTU (7/12). SEGURO (1/1). LIXO (7/12).</t>
  </si>
  <si>
    <t>RESCISÃO. PROPORCIONAL DE 05 DIAS (01/07 A 05/07). IPTU (7/12). SEGURO QUITADO. LIXO (7/12).</t>
  </si>
  <si>
    <t>06 PARCELAS DE R$ 300,00 + 01 PARCELA DE R$ 280,41</t>
  </si>
  <si>
    <t>MARIA ROSANGELA DA SILVA</t>
  </si>
  <si>
    <t>PROPORCIONAL DE 14 DIAS (18/07 A 31/07). IPTU (7/12). SEGURO (1/1). LIXO (7/12).</t>
  </si>
  <si>
    <t>RESCISÃO. PROPORCIONAL DE 07 DIAS (01/07 A 07/07). IPTU (7/12). SEGURO QUITADO. LIXO (7/12).</t>
  </si>
  <si>
    <t>VIGÊNCIA DE JULHO 2024. IPTU (7/12). SEGURO QUITADO. LIXO (7/12).</t>
  </si>
  <si>
    <t>LIMPEZA FOSSA E CANOS</t>
  </si>
  <si>
    <t>SEGURO APTO 03 (1/1)</t>
  </si>
  <si>
    <t>SEGURO APTO 07 (1/1)</t>
  </si>
  <si>
    <t>SEGURO APTO 02 (1/1)</t>
  </si>
  <si>
    <t>SEGURO APTO 19 (1/1)</t>
  </si>
  <si>
    <t>SEGURO APTO 21 (1/1)</t>
  </si>
  <si>
    <t>SEGURO APTO 25 (1/1)</t>
  </si>
  <si>
    <t>MULTA POR RESCISÃO ANTECIPADA</t>
  </si>
  <si>
    <t>01 PARCELA DE R$ 83,24 + 03 PARCELAS DE R$ 317,92</t>
  </si>
  <si>
    <t>INTERMEDIAÇÕES DE JULHO DE 2024</t>
  </si>
  <si>
    <t>VIGÊNCIA DE AGOSTO DE 2024</t>
  </si>
  <si>
    <t>ACORDOS/RESCISÕES RECEBIDAS EM AGOSTO DE 2024</t>
  </si>
  <si>
    <t>IPTU (8/12). SEGURO QUITADO. LIXO (8/12).</t>
  </si>
  <si>
    <t>ANDRÉ CASSIANO ALCANTARA</t>
  </si>
  <si>
    <t>FRANCISCO HUGO DA COSTA PEREIRA</t>
  </si>
  <si>
    <t>PROPORCIONAL DE 27 DIAS (05/08 A 31/08). IPTU (8/12). SEGURO (1/1). LIXO (8/12).</t>
  </si>
  <si>
    <t>SEGURO APTO 17 (1/1)</t>
  </si>
  <si>
    <t>SEGURO APTO 18 (1/1)</t>
  </si>
  <si>
    <t>IPTU (8/12). SEGURO QUITADO. LIXO (8/12). VAGA DE GARAGEM PARA MOTO.</t>
  </si>
  <si>
    <t>IPTU (8/12). SEGURO QUITADO. LIXO (8/12). VAGA DE GARAGEM PARA CARRO.</t>
  </si>
  <si>
    <t>PROPORCIONAL DE 11 DIAS (21/08 A 31/08). IPTU (8/12). SEGURO (1/1). LIXO (8/12). VAGA DE GARAGEM PARA CARRO.</t>
  </si>
  <si>
    <t>MULTA POR RESCISÃO ANTECIPADA (1/3)</t>
  </si>
  <si>
    <t>PARCELA 01//07</t>
  </si>
  <si>
    <t>ACORDO RESCISÃO. PARCELA (2/7)</t>
  </si>
  <si>
    <t>INADIMPLÊNCIA. ACORDO RESCISÃO. PARCELA (2/7)</t>
  </si>
  <si>
    <t>SERVIÇO CONSERTO CHAVES TETRAS</t>
  </si>
  <si>
    <t>INTERMEDIAÇÕES DE AGOSTO DE 2024</t>
  </si>
  <si>
    <t>VIGÊNCIA DE SETEMBRO DE 2024</t>
  </si>
  <si>
    <t>ACORDOS/RESCISÕES RECEBIDAS EM SETEMBRO DE 2024</t>
  </si>
  <si>
    <t>IPTU (9/12). SEGURO QUITADO. LIXO (9/12).</t>
  </si>
  <si>
    <t>IPTU (9/12). SEGURO QUITADO. LIXO (9/12). VAGA DE GARAGEM PARA CARRO.</t>
  </si>
  <si>
    <t>IPTU (9/12). SEGURO QUITADO. LIXO (9/12). VAGA DE GARAGEM PARA MOTO.</t>
  </si>
  <si>
    <t>MULTA POR RESCISÃO ANTECIPADA (2/3)</t>
  </si>
  <si>
    <t>ACORDO RESCISÃO. PARCELA (3/7)</t>
  </si>
  <si>
    <t>VIGÊNCIA DE SETEMBRO 2024. IPTU (9/12). SEGURO QUITADO. LIXO (9/12).</t>
  </si>
  <si>
    <t>INADIMPLENCIA</t>
  </si>
  <si>
    <t>RESCISÃO. PROPORCIONAL DE 06 DIAS (01/09 A 06/09). IPTU (9/12). SEGURO QUITADO. LIXO (9/12). VAGA DE GARAGEM PARA CARRO.</t>
  </si>
  <si>
    <t>INTERMEDIAÇÕES DE SETEMBRO DE 2024</t>
  </si>
  <si>
    <t>VIGÊNCIA DE OUTUBRO DE 2024</t>
  </si>
  <si>
    <t>IPTU (10/12). SEGURO QUITADO. LIXO (10/12).</t>
  </si>
  <si>
    <t>IPTU (10/12). SEGURO (1/1). LIXO (10/12). VAGA DE GARAGEM PARA CARRO.</t>
  </si>
  <si>
    <t>IPTU (10/12). SEGURO QUITADO. LIXO (10/12). VAGA DE GARAGEM PARA CARRO.</t>
  </si>
  <si>
    <t>IPTU (10/12). SEGURO QUITADO. LIXO (10/12). VAGA DE GARAGEM PARA MOTO.</t>
  </si>
  <si>
    <t>ACORDOS/RESCISÕES RECEBIDAS EM OUTUBRO DE 2024</t>
  </si>
  <si>
    <t>MULTA POR RESCISÃO ANTECIPADA (3/3)</t>
  </si>
  <si>
    <t>ACORDO (1/8).</t>
  </si>
  <si>
    <t>VIGÊNCIA DE OUTUBRO 2024. IPTU (10/12). SEGURO QUITADO. LIXO (10/12).</t>
  </si>
  <si>
    <t>SEGURO APTO 04 (1/1)</t>
  </si>
  <si>
    <t>SEGURO APTO 14 (1/1)</t>
  </si>
  <si>
    <t>INTERMEDIAÇÕES DE OUTUBRO DE 2024</t>
  </si>
  <si>
    <t>VIGÊNCIA DE NOVEMBRO DE 2024</t>
  </si>
  <si>
    <t>IPTU (11/12). SEGURO QUITADO. LIXO (11/12).</t>
  </si>
  <si>
    <t>IPTU (11/12). SEGURO QUITADO. LIXO (11/12). VAGA DE GARAGEM PARA CARRO.</t>
  </si>
  <si>
    <t>IPTU (11/12). SEGURO (1/1). LIXO (11/12).</t>
  </si>
  <si>
    <t>IPTU (11/12). SEGURO QUITADO. LIXO (11/12). VAGA DE GARAGEM PARA MOTO.</t>
  </si>
  <si>
    <t>ACORDOS/RESCISÕES RECEBIDAS EM NOVEMBRO DE 2024</t>
  </si>
  <si>
    <t>ACORDO (2/8).</t>
  </si>
  <si>
    <t>VIGÊNCIA DE NOVEMBRO 2024. IPTU (7/12). SEGURO QUITADO. LIXO (7/12).</t>
  </si>
  <si>
    <t>VIGÊNCIA DE NOVEMBRO 2024. IPTU (11/12). SEGURO QUITADO. LIXO (11/12).</t>
  </si>
  <si>
    <t>VIGÊNCIA DE OUTUBRO 2024. IPTU (7/12). SEGURO QUITADO. LIXO (7/12).</t>
  </si>
  <si>
    <t>SEGURO APTO 09 (1/1)</t>
  </si>
  <si>
    <t>INTERMEDIAÇÕES DE NOVEMBRO DE 2024</t>
  </si>
  <si>
    <t>VIGÊNCIA DE DEZEMBRO DE 2024</t>
  </si>
  <si>
    <t>GENIVALDO DOS SANTOS SODRE</t>
  </si>
  <si>
    <t>PROPORCIONAL DE 29 DIAS (03/12 A 31/12). IPTU (12/12). SEGURO (1/1). LIXO (12/12).</t>
  </si>
  <si>
    <t>IPTU (12/12). SEGURO QUITADO. LIXO (12/12).</t>
  </si>
  <si>
    <t>RESCISÃO. PROPORCIONAL DE 06 DIAS (01/12 A 06/12). IPTU (12/12). SEGURO QUITADO. LIXO (12/12). VAGA DE GARAGEM PARA CARRO.</t>
  </si>
  <si>
    <t>IPTU (12/12). SEGURO QUITADO. LIXO (12/12). VAGA DE GARAGEM PARA CARRO.</t>
  </si>
  <si>
    <t>IPTU (12/12). SEGURO QUITADO. LIXO (12]/12). VAGA DE GARAGEM PARA CARRO.</t>
  </si>
  <si>
    <t>CARLA MICAELE DO NASCIMENTO</t>
  </si>
  <si>
    <t>PROPORCIONAL DE 27 DIAS (05/12 A 31/12). IPTU (12/12). SEGURO (1/1). LIXO (12/12). VAGA DE GARAGEM PARA MOTO.</t>
  </si>
  <si>
    <t xml:space="preserve"> ANA RYLLARY SILVA RIBEIRO</t>
  </si>
  <si>
    <t>PROPORCIONAL DE 21 DIAS (11/12 A 31/12). IPTU (12/12). SEGURO (1/1). LIXO (12/12).</t>
  </si>
  <si>
    <t>IPTU (12/12). SEGURO QUITADO. LIXO (12/12). VAGA DE GARAGEM PARA MOTO.</t>
  </si>
  <si>
    <t>ACORDOS/RESCISÕES RECEBIDAS EM DEZEMBRO DE 2024</t>
  </si>
  <si>
    <t>ACORDO (3/8).</t>
  </si>
  <si>
    <t>VIGÊNCIA DE DEZEMBRO 2024. IPTU (12/12). SEGURO QUITADO. LIXO (12/12).</t>
  </si>
  <si>
    <t>VIGÊNCIA DE NOVEMBRO 2024. IPTU (12/12). SEGURO QUITADO. LIXO (12/12).</t>
  </si>
  <si>
    <t>SEGURO APTO 01 (1/1)</t>
  </si>
  <si>
    <t>SEGURO APTO 08 (1/1)</t>
  </si>
  <si>
    <t>CHAVEIRO 12/12</t>
  </si>
  <si>
    <t>CHAVEIRO 23/12</t>
  </si>
  <si>
    <t>INTERMEDIAÇÕES DE DEZEMBRO DE 2024</t>
  </si>
  <si>
    <t>IPTU (1/12). SEGURO QUITADO. VAGA DE GARAGEM PARA CARRO</t>
  </si>
  <si>
    <t>IPTU (1/12). SEGURO QUITADO. VAGA DE GARAGEM PARA MOTO.</t>
  </si>
  <si>
    <t>IPTU (1/12). SEGURO QUITADO. VAGA DE GARAGEM PARA CARRO.</t>
  </si>
  <si>
    <t>VIGÊNCIA DE JANEIRO DE 2025</t>
  </si>
  <si>
    <t>IPTU (1/12). SEGURO (1/1). VAGA DE GARAGEM PARA CARRO.</t>
  </si>
  <si>
    <t xml:space="preserve">IPTU (1/12). SEGURO QUITADO. </t>
  </si>
  <si>
    <t>ACORDOS/RESCISÕES RECEBIDAS EM JANEIRO DE 2025</t>
  </si>
  <si>
    <t>ACORDO (4/8).</t>
  </si>
  <si>
    <t>VIGÊNCIA DE JANEIRO 2025. IPTU (1/12). SEGURO QUITADO.</t>
  </si>
  <si>
    <t>VIGÊNCIA DE JANEIRO 2025. IPTU (1/12). SEGURO QUITADO. GARAGEM PARA CARRO.</t>
  </si>
  <si>
    <t>SEGURO APTO 05 (1/1)</t>
  </si>
  <si>
    <t>SEGURO APTO 06 (1/1)</t>
  </si>
  <si>
    <t>IPTU ANUAL TOTAL 2025</t>
  </si>
  <si>
    <t>INTERMEDIAÇÕES DE JANEIRO DE 2025</t>
  </si>
  <si>
    <t>VIGÊNCIA DE FEVEREIRO DE 2025</t>
  </si>
  <si>
    <t>IPTU (2/12). SEGURO QUITADO. VAGA DE GARAGEM PARA CARRO</t>
  </si>
  <si>
    <t>IPTU (2/12). SEGURO QUITADO. VAGA DE GARAGEM PARA CARRO.</t>
  </si>
  <si>
    <t>RESCISÃO. PROPORCIONAL DE 05 DIAS (01/02 A 05/02). IPTU (2/12). SEGURO QUITADO. VAGA DE GARAGEM PARA CARRO.</t>
  </si>
  <si>
    <t>IPTU (2/12). SEGURO QUITADO. VAGA DE GARAGEM PARA MOTO.</t>
  </si>
  <si>
    <t>RESCISÃO. PROPORCIONAL DE 05 DIAS (01/02 A 05/02). IPTU (2/12). SEGURO QUITADO. VAGA DE GARAGEM PARA MOTO.</t>
  </si>
  <si>
    <t xml:space="preserve">IPTU (2/12). SEGURO QUITADO. </t>
  </si>
  <si>
    <t>ACORDOS/RESCISÕES RECEBIDAS EM FEVEREIRO DE 2025</t>
  </si>
  <si>
    <t>ACORDO (5/8).</t>
  </si>
  <si>
    <t>MULTA POR RESCISÃO ANTES DO PRAZO. PAGAMENTO DIA 05/02.</t>
  </si>
  <si>
    <t>VIGÊNCIA DE OUTUBRO 2024.</t>
  </si>
  <si>
    <t>VIGÊNCIA DE OUTUBRO 2024. PAGAMENTO DIA 18/02.</t>
  </si>
  <si>
    <t>VIGÊNCIA DE NOVEMBRO 2024.</t>
  </si>
  <si>
    <t>VIGÊNCIA DE NOVEMBRO 2024. PAGAMENTO DIA 18/02.</t>
  </si>
  <si>
    <t>VIGÊNCIA DE DEZEMBRO 2024.</t>
  </si>
  <si>
    <t>VIGÊNCIA DE DEZEMBRO 2024. PAGAMENTO DIA 18/02.</t>
  </si>
  <si>
    <t>VIGÊNCIA DE JANEIRO 2025.</t>
  </si>
  <si>
    <t>VIGÊNCIA DE JANEIRO 2025. PAGAMENTO DIA 18/02.</t>
  </si>
  <si>
    <t>VIGÊNCIA DE MARÇO DE 2025</t>
  </si>
  <si>
    <t>IPTU (3/12). SEGURO QUITADO. VAGA DE GARAGEM PARA CARRO</t>
  </si>
  <si>
    <t>SHANGELA RITA ANGELO SILVA</t>
  </si>
  <si>
    <t>PROPORCIONAL DE 26 DIAS (06/03 A 31/03). IPTU (3/12). SEGURO (1/1). VAGA DE GARAGEM PARA CARRO.</t>
  </si>
  <si>
    <t>IPTU (3/12). SEGURO QUITADO. VAGA DE GARAGEM PARA CARRO.</t>
  </si>
  <si>
    <t>LUANA ALINE BATISTA</t>
  </si>
  <si>
    <t>PROPORCIONAL DE 27 DIAS (05/03 A 31/03). IPTU (3/12). SEGURO (1/1).</t>
  </si>
  <si>
    <t>IPTU (3/12). SEGURO QUITADO. VAGA DE GARAGEM PARA MOTO.</t>
  </si>
  <si>
    <t xml:space="preserve">IPTU (3/12). SEGURO QUITADO. </t>
  </si>
  <si>
    <t>ACORDOS/RESCISÕES RECEBIDAS EM MARÇO DE 2025</t>
  </si>
  <si>
    <t>ACORDO (6/8).</t>
  </si>
  <si>
    <t>R$ 610,00 (ALUGUEL) + R$ 61,70 (ÁGUA) + R$ 1,37 (IPTU 3/12)</t>
  </si>
  <si>
    <t>VIGÊNCIA DE MARÇO 2025</t>
  </si>
  <si>
    <t>INTERMEDIAÇÕES DE MARÇO DE 2025</t>
  </si>
  <si>
    <t>IPTU (4/12). SEGURO QUITADO. VAGA DE GARAGEM PARA CARRO.</t>
  </si>
  <si>
    <t>IPTU (4/12). SEGURO QUITADO.</t>
  </si>
  <si>
    <t>VIGÊNCIA DE ABRIL DE 2025</t>
  </si>
  <si>
    <t>IPTU (4/12). SEGURO QUITADO. VAGA DE GARAGEM PARA CARRO</t>
  </si>
  <si>
    <t>IPTU (4/12). SEGURO QUITADO. VAGA DE GARAGEM PARA MOTO.</t>
  </si>
  <si>
    <t>RESCISÃO. IPTU (4/12). SEGURO QUITADO. VAGA DE GARAGEM PARA CARRO.</t>
  </si>
  <si>
    <t>IPTU (4/12). SEGURO (1/1).</t>
  </si>
  <si>
    <t>RESCISÃO. PROPORCIONAL DE 02 DIAS (01/04 A 02/04). IPTU (4/12). SEGURO QUITADO.</t>
  </si>
  <si>
    <t xml:space="preserve">IPTU (4/12). SEGURO QUITADO. </t>
  </si>
  <si>
    <t>ACORDOS/RESCISÕES RECEBIDAS EM ABRIL DE 2025</t>
  </si>
  <si>
    <t>ACORDO (7/8).</t>
  </si>
  <si>
    <t>R$ 640,00 (ALUGUEL) + R$ 93,70 (ÁGUA) + R$ 1,37 (IPTU 4/12)</t>
  </si>
  <si>
    <t>VIGÊNCIA DE ABRIL 2025. IPTU (4/12). SEGURO QUITADO. VAGA DE GARAGEM PARA MOTO.</t>
  </si>
  <si>
    <t>VIGÊNCIA PROPORCIONAL DE MAIO E MULTA RESCISÃO ANTES DO PRAZO. IPTU (5/12). LIXO (5/12).</t>
  </si>
  <si>
    <t>INTERMEDIAÇÕES DE MAIO DE 2025</t>
  </si>
  <si>
    <t>VIGÊNCIA DE MAIO DE 2025</t>
  </si>
  <si>
    <t>IPTU (5/12). SEGURO QUITADO. VAGA DE GARAGEM PARA CARRO</t>
  </si>
  <si>
    <t>RESCISÃO. PROPORCIONAL DE 01 DIA (01/05/2025). IPTU (5/12). SEGURO QUITADO.</t>
  </si>
  <si>
    <t>IPTU (5/12). SEGURO QUITADO. VAGA DE GARAGEM PARA CARRO.</t>
  </si>
  <si>
    <t>IPTU (5/12). SEGURO QUITADO. VAGA DE GARAGEM PARA MOTO.</t>
  </si>
  <si>
    <t>RESCISÃO. PROPORCIONAL DE 26 DIAS (01/05/2025 A 26/05/2025). IPTU (5/12). SEGURO QUITADO.</t>
  </si>
  <si>
    <t>IPTU (5/12). SEGURO (1/1).</t>
  </si>
  <si>
    <t>IPTU (5/12). SEGURO (1/1). VAGA DE GARAGEM PARA CARRO.</t>
  </si>
  <si>
    <t>IPTU (5/12). SEGURO (1/1). VAGA DE GARAGEM PARA MOTO.</t>
  </si>
  <si>
    <t>EDY CARLOS DE MORAIS ALVES</t>
  </si>
  <si>
    <t>PROPORCIONAL DE 09 DIAS (23/05 A 31/05). IPTU (5/12). SEGURO (1/1). VAGA DE GARAGEM PARA CARRO E MOTO.</t>
  </si>
  <si>
    <t>DEIVID SILVA</t>
  </si>
  <si>
    <t>IPTU (5/12). SEGURO SEGURO (1/1). VAGA DE GARAGEM PARA MOTO.</t>
  </si>
  <si>
    <t>ACORDOS/RESCISÕES RECEBIDAS EM MAIO DE 2025</t>
  </si>
  <si>
    <t>VIGÊNCIA DE MARÇO. R$ 610,00 (ALUGUEL) + R$ 61,70 (ÁGUA) + R$ 1,37 (IPTU 3/12).</t>
  </si>
  <si>
    <t>ACORDO (8/8).</t>
  </si>
  <si>
    <t>R$ 610,00 (ALUGUEL) + R$ 61,70 (ÁGUA) + R$ 1,37 (IPTU 4/12)</t>
  </si>
  <si>
    <t>VIGÊNCIA DE MAIO 2025</t>
  </si>
  <si>
    <t>SEGURO APTO 13</t>
  </si>
  <si>
    <t>SEGURO APTO 14</t>
  </si>
  <si>
    <t>SEGURO APTO 15</t>
  </si>
  <si>
    <t>SEGURO APTO 23</t>
  </si>
  <si>
    <t>SEGURO APTO 24</t>
  </si>
  <si>
    <t>SEGURO APTO 26</t>
  </si>
  <si>
    <t>SEGURO APTO 27</t>
  </si>
  <si>
    <t>MATERIAL VAZAMENTO APTO 23 PARA 14 ANEL DE VEDAÇÃO</t>
  </si>
  <si>
    <t>SERVIÇO VAZAMENTO APTO 23 PARA 14 E REJUNTE APTO 14</t>
  </si>
  <si>
    <t>IPTU (6/12). SEGURO QUITADO. VAGA DE GARAGEM PARA CARRO E MOTO.</t>
  </si>
  <si>
    <t>IPTU (6/12). SEGURO QUITADO. VAGA DE GARAGEM PARA CARRO.</t>
  </si>
  <si>
    <t>VIGÊNCIA DE JUNHO DE 2025</t>
  </si>
  <si>
    <t>IPTU (6/12). SEGURO QUITADO. VAGA DE GARAGEM PARA CARRO</t>
  </si>
  <si>
    <t>IPTU (6/12). SEGURO (1/1). VAGA DE GARAGEM PARA MOTO.</t>
  </si>
  <si>
    <t>ALFREDO BEZERRA DE HOLANDA NETO</t>
  </si>
  <si>
    <t>PROPORCIONAL DE 22 DIAS (09/06 A 30/06). IPTU (6/12). SEGURO (1/1). VAGA DE GARAGEM PARA MOTO.</t>
  </si>
  <si>
    <t>IPTU (6/12). SEGURO QUITADO. VAGA DE GARAGEM PARA MOTO.</t>
  </si>
  <si>
    <t>FABRÍCIO DOS SANTOS GOMES</t>
  </si>
  <si>
    <t>PROPORCIONAL DE 26 DIAS (05/06 A 30/06). IPTU (6/12). SEGURO (1/1).</t>
  </si>
  <si>
    <t>ACORDOS/RESCISÕES RECEBIDAS EM JUNHO DE 2025</t>
  </si>
  <si>
    <t>MULTA POR RESCISÃO ANTES DO PRAZO (1/4).</t>
  </si>
  <si>
    <t>VIGÊNCIA DE MAIO 2025. IPTU (5/12). SEGURO QUITADO.</t>
  </si>
  <si>
    <t>R$ 610,00 (ALUGUEL) + R$ 61,70 (ÁGUA) + R$ 1,37 (IPTU 6/12)</t>
  </si>
  <si>
    <t>VIGÊNCIA DE JUNHO 2025</t>
  </si>
  <si>
    <t>SEGURO APTO 10</t>
  </si>
  <si>
    <t>SEGURO APTO 11</t>
  </si>
  <si>
    <t>SEGURO APTO 16</t>
  </si>
  <si>
    <t>INTERMEDIAÇÕES DE JUNHO DE 2025</t>
  </si>
  <si>
    <t>IPTU (7/12). SEGURO QUITADO. VAGA DE GARAGEM PARA MOTO.</t>
  </si>
  <si>
    <t>IPTU (7/12). SEGURO QUITADO.</t>
  </si>
  <si>
    <t>VIGÊNCIA DE JULHO DE 2025</t>
  </si>
  <si>
    <t>IPTU (7/12). SEGURO QUITADO. VAGA DE GARAGEM PARA CARRO</t>
  </si>
  <si>
    <t>LUIS AUGUSTO ATAIDE BORGES</t>
  </si>
  <si>
    <t>PROPORCIONAL DE 30 DIAS (02/07 A 31/07). IPTU (7/12). SEGURO (1/1). VAGA DE GARAGEM PARA CARRO.</t>
  </si>
  <si>
    <t>IPTU (7/12). SEGURO QUITADO. VAGA DE GARAGEM PARA CARRO.</t>
  </si>
  <si>
    <t>IPTU (7/12). SEGURO (1/1). VAGA DE GARAGEM PARA CARRO.</t>
  </si>
  <si>
    <t>DHENE CASTRO RODRIGUES</t>
  </si>
  <si>
    <t>PROPORCIONAL DE 23 DIAS (09/07 A 31/07). IPTU (7/12). SEGURO (1/1). VAGA DE GARAGEM PARA CARRO.</t>
  </si>
  <si>
    <t>IPTU (7/12). SEGURO (1/1). VAGA DE GARAGEM PARA MOTO.</t>
  </si>
  <si>
    <t>IPTU (7/12). SEGURO QUITADO. VAGA DE GARAGEM PARA CARRO E MOTO.</t>
  </si>
  <si>
    <t>ACORDOS/RESCISÕES RECEBIDAS EM JULHO DE 2025</t>
  </si>
  <si>
    <t>VIGÊNCIA DE JUNHO 2025. IPTU (6/12). SEGURO QUITADO.</t>
  </si>
  <si>
    <t>MULTA POR RESCISÃO ANTES DO PRAZO (2/4).</t>
  </si>
  <si>
    <t>R$ 690,00 (ALUGUEL) + R$ 61,70 (ÁGUA) + R$ 1,37 (IPTU 7/12)</t>
  </si>
  <si>
    <t>VIGÊNCIA DE JULHO 2025. IPTU (7/12). SEGURO QUITADO.</t>
  </si>
  <si>
    <t>R$ 636,76 (ALUGUEL) + R$ 61,70 (ÁGUA) + R$ 1,37 (IPTU 7/12) + R$ 133,17 (SEGURO 1/1)</t>
  </si>
  <si>
    <t>VIGÊNCIA DE JULHO 2025. IPTU (7/12). SEGURO (1/1).</t>
  </si>
  <si>
    <t>SEGURO APTO 02</t>
  </si>
  <si>
    <t>SEGURO APTO 03</t>
  </si>
  <si>
    <t>SEGURO APTO 19</t>
  </si>
  <si>
    <t>SEGURO APTO 20</t>
  </si>
  <si>
    <t>SEGURO APTO 21</t>
  </si>
  <si>
    <t>SEGURO APTO 25</t>
  </si>
  <si>
    <t>IPTU (8/12). SEGURO QUITADO. VAGA DE GARAGEM PARA CARRO.</t>
  </si>
  <si>
    <t>IPTU (8/12). SEGURO QUITADO. VAGA DE GARAGEM PARA CARRO</t>
  </si>
  <si>
    <t>IPTU (8/12). SEGURO QUITADO.</t>
  </si>
  <si>
    <t>IPTU (8/12). SEGURO QUITADO. VAGA DE GARAGEM PARA MOTO.</t>
  </si>
  <si>
    <t>IPTU (8/12). SEGURO (1/1). VAGA DE GARAGEM PARA CARRO.</t>
  </si>
  <si>
    <t>IPTU (8/12). SEGURO (1/1).</t>
  </si>
  <si>
    <t>IPTU (8/12). SEGURO QUITADO. VAGA DE GARAGEM PARA CARRO E MOTO.</t>
  </si>
  <si>
    <t>RESCISÃO. IPTU (8/12). SEGURO QUITADO. VAGA DE GARAGEM PARA MOTO.</t>
  </si>
  <si>
    <t xml:space="preserve">VIGÊNCIA DE JULHO 2025. ALUGUEL R$ 636,76 + R$ 61,70 ÁGUA + R$ 1,37 IPTU (7/12). SEGURO R$ 133,17 (1/1). </t>
  </si>
  <si>
    <t>VIGÊNCIA DE JULHO 2025. ALUGUEL R$ 690,00 + R$ 61,70 ÁGUA + R$ 1,37 IPTU (7/12). SEGURO QUITADO.</t>
  </si>
  <si>
    <t>MULTA POR RESCISÃO ANTES DO PRAZO (3/4).</t>
  </si>
  <si>
    <t>VIGÊNCIA DE AGOSTO 2025. IPTU (8/12). SEGURO QUITADO.</t>
  </si>
  <si>
    <t>SEGURO APTO 17</t>
  </si>
  <si>
    <t>SEGURO APTO 18</t>
  </si>
  <si>
    <t>INTERMEDIAÇÕES DE AGOSTO DE 2025</t>
  </si>
  <si>
    <t>VIGÊNCIA DE SETEMBRO DE 2025</t>
  </si>
  <si>
    <t>IPTU (9/12). SEGURO QUITADO. VAGA DE GARAGEM PARA CARRO</t>
  </si>
  <si>
    <t>IPTU (9/12). SEGURO QUITADO. VAGA DE GARAGEM PARA CARRO.</t>
  </si>
  <si>
    <t>IPTU (9/12). SEGURO QUITADO.</t>
  </si>
  <si>
    <t>IPTU (9/12). SEGURO QUITADO. VAGA DE GARAGEM PARA MOTO.</t>
  </si>
  <si>
    <t>IPTU (9/12). SEGURO QUITADO. VAGA DE GARAGEM PARA CARRO E MOTO.</t>
  </si>
  <si>
    <t>CIBELLY RIANE FERREIRA CARVALHO</t>
  </si>
  <si>
    <t>SETEMBRO</t>
  </si>
  <si>
    <t>PROPORCIONAL DE 16 DIAS (15/09 A 30/09). IPTU (9/12). SEGURO (1/1).</t>
  </si>
  <si>
    <t>ACORDOS/RESCISÕES RECEBIDAS EM SETEMBRO DE 2025</t>
  </si>
  <si>
    <t>VIGÊNCIA DE AGOSTO 2025. ALUGUEL R$ 690,00 + R$ 61,70 ÁGUA + R$ 1,37 IPTU (8/12). SEGURO QUITADO.</t>
  </si>
  <si>
    <t>MULTA POR RESCISÃO ANTES DO PRAZO (4/4).</t>
  </si>
  <si>
    <t>VIGÊNCIA DE SETEMBRO 2025. IPTU (9/12). SEGURO QUITADO.</t>
  </si>
  <si>
    <t>R$ 636,76 (ALUGUEL) + R$ 61,70 (ÁGUA) + R$ 1,37 (IPTU 8/12)</t>
  </si>
  <si>
    <t>R$ 636,76 (ALUGUEL) + R$ 61,70 (ÁGUA) + R$ 1,37 (IPTU 9/12)</t>
  </si>
  <si>
    <t>INTERMEDIAÇÕES DE SETEMBRO DE 2025</t>
  </si>
  <si>
    <t>IPTU (10/12). SEGURO QUITADO.</t>
  </si>
  <si>
    <t>VIGÊNCIA DE OUTUBRO DE 2025</t>
  </si>
  <si>
    <t>IPTU (10/12). SEGURO QUITADO. VAGA DE GARAGEM PARA CARRO</t>
  </si>
  <si>
    <t>IPTU (10/12). SEGURO QUITADO. VAGA DE GARAGEM PARA CARRO.</t>
  </si>
  <si>
    <t>IPTU (10/12). SEGURO QUITADO. VAGA DE GARAGEM PARA MOTO.</t>
  </si>
  <si>
    <t>RESCISÃO. PROPORCIONAL DE 03 DIAS (01/10 A 03/10). IPTU (10/12). SEGURO QUITADO. VAGA DE GARAGEM PARA CARRO.</t>
  </si>
  <si>
    <t>IPTU (10/12). SEGURO QUITADO. VAGA DE GARAGEM PARA CARRO E MOTO.</t>
  </si>
  <si>
    <t>ACORDOS/RESCISÕES RECEBIDAS EM OUTUBRO DE 2025</t>
  </si>
  <si>
    <t>1X DE R$ 855,17</t>
  </si>
  <si>
    <t>MULTA POR RESCISÃO ANTES DO PRAZO</t>
  </si>
  <si>
    <t>VIGÊNCIA DE SETEMBRO 2025. IPTU (8/12). SEGURO QUITADO.</t>
  </si>
  <si>
    <t>VIGÊNCIA DE SETEMBRO 2025. ALUGUEL R$ 690,00 + R$ 61,70 ÁGUA + R$ 1,37 IPTU (9/12). SEGURO QUITADO.</t>
  </si>
  <si>
    <t>VIGÊNCIA DE OUTUBRO 2025. IPTU (10/12). SEGURO QUITADO.</t>
  </si>
  <si>
    <t>INTERMEDIAÇÕES DE OUTUBRO DE 2025</t>
  </si>
  <si>
    <t>VIGÊNCIA DE NOVEMBRO DE 2025</t>
  </si>
  <si>
    <t>IPTU (11/12). SEGURO QUITADO. VAGA DE GARAGEM PARA CARRO</t>
  </si>
  <si>
    <t>IPTU (11/12). SEGURO QUITADO. VAGA DE GARAGEM PARA CARRO.</t>
  </si>
  <si>
    <t>IPTU (11/12). SEGURO QUITADO.</t>
  </si>
  <si>
    <t>IPTU (11/12). SEGURO (1/1).</t>
  </si>
  <si>
    <t>IPTU (11/12). SEGURO QUITADO. VAGA DE GARAGEM PARA MOTO.</t>
  </si>
  <si>
    <t>NATANAEL ROCHA FREIRE</t>
  </si>
  <si>
    <t>PROPORCIONAL DE 12 DIAS (19/11 A 30/11). IPTU (11/12). SEGURO (1/1). VAGA DE GARAGEM PARA CARRO.</t>
  </si>
  <si>
    <t>IPTU (11/12). SEGURO QUITADO. VAGA DE GARAGEM PARA CARRO E MOTO.</t>
  </si>
  <si>
    <t>ACORDOS/RESCISÕES RECEBIDAS EM NOVEMBRO DE 2025</t>
  </si>
  <si>
    <t>1X DE R$ 788,94</t>
  </si>
  <si>
    <t>VIGÊNCIA DE AGOSTO 2025. ALUGUEL R$ 636,76 + R$ 1,37 IPTU (8/12) + R$ 61,70 ÁGUA. SEGURO QUITADO.</t>
  </si>
  <si>
    <t>1X DE R$ 781,94</t>
  </si>
  <si>
    <t>VIGÊNCIA DE SETEMBRO 2025. ALUGUEL R$ 636,76 + R$ 1,37 IPTU (9/12) + R$ 61,70 ÁGUA. SEGURO QUITADO.</t>
  </si>
  <si>
    <t>1X DE R$ 774,71</t>
  </si>
  <si>
    <t>VIGÊNCIA DE OUTUBRO 2025. ALUGUEL R$ 636,76 + R$ 1,37 IPTU (10/12) + R$ 61,70 ÁGUA. SEGURO QUITADO.</t>
  </si>
  <si>
    <t>VIGÊNCIA DE OUTUBRO 2025. ALUGUEL R$ 690,00 + R$ 61,70 ÁGUA + R$ 1,37 IPTU (10/12). SEGURO QUITADO.</t>
  </si>
  <si>
    <t>MULTA RESCISÃO ANTES PRAZO. R$ 1.191,38 - R$ 297,85 (VIG JUN/25) - R$ 200,00 (VIG NOV/25) = R$ 693,53</t>
  </si>
  <si>
    <t>MULTA POR RESCISÃO ANTES DO PRAZO. R$ 1.191,38 - R$ 297,85 (VIG JUN/25) - R$ 200,00 (VIG NOV/25) = R$ 693,53</t>
  </si>
  <si>
    <t>VIGÊNCIA DE NOVEMBRO 2025. IPTU (11/12). SEGURO QUITADO.</t>
  </si>
  <si>
    <t>MÊS DE JULHO ATUALIZADO, AGOSTO, MULTA RESCISÃO DO PRAZO E REPAROS</t>
  </si>
  <si>
    <t>VIG PROPORCIONAL DE MAIO E MULTA RESCISÃO ANTES DO PRAZO. IPTU (5/12). LIXO (5/12).</t>
  </si>
  <si>
    <t>SEGURO APTO 09</t>
  </si>
  <si>
    <t>IPTU (12/12). SEGURO QUITADO. VAGA DE GARAGEM PARA CARRO.</t>
  </si>
  <si>
    <t>IPTU (12/12). SEGURO (1/1). VAGA DE GARAGEM PARA CARRO</t>
  </si>
  <si>
    <t>IPTU (12/12). SEGURO QUITADO.</t>
  </si>
  <si>
    <t>IPTU (12/12). SEGURO (1/1).</t>
  </si>
  <si>
    <t>IPTU (12/12). SEGURO QUITADO. VAGA DE GARAGEM PARA MOTO.</t>
  </si>
  <si>
    <t>IPTU (12/12). SEGURO (1/1). VAGA DE GARAGEM PARA CARRO.</t>
  </si>
  <si>
    <t>IPTU (12/12). SEGURO QUITADO. VAGA DE GARAGEM PARA CARRO PROPORCIONAL DE 23 DIAS (09/12 A 31/12).</t>
  </si>
  <si>
    <t>IPTU (12/12). SEGURO QUITADO. VAGA DE GARAGEM PARA CARRO E MOTO.</t>
  </si>
  <si>
    <t>R$ 636,76 (ALUGUEL) + R$ 62,10 (ÁGUA) + R$ 1,37 (IPTU 8/12)</t>
  </si>
  <si>
    <t>VIGÊNCIA DE NOVEMBRO 2025. IPTU (12/12). SEGURO QUITADO.</t>
  </si>
  <si>
    <t>R$ 636,76 (ALUGUEL) + R$ 67,70 (ÁGUA) + R$ 1,37 (IPTU 8/12)</t>
  </si>
  <si>
    <t>VIGÊNCIA DE DEZEMBRO 2025. IPTU (12/12). SEGURO QUITADO.</t>
  </si>
  <si>
    <t>SEGURO APTO 01</t>
  </si>
  <si>
    <t>SEGURO APTO 08</t>
  </si>
  <si>
    <t>SEGURO APTO 12</t>
  </si>
  <si>
    <t>INTERMEDIAÇÕES DE DEZEMBRO DE 2025</t>
  </si>
  <si>
    <t>VIGÊNCIA DE JANEIRO DE 2026</t>
  </si>
  <si>
    <t>IPTU (1/12). SEGURO QUITAÇÃO. VAGA DE GARAGEM PARA CARRO</t>
  </si>
  <si>
    <t>RESCISÃO. PROPORCIONAL DE 08 DIAS. IPTU (1/12). SEGURO QUITADO. VAGA DE GARAGEM PARA CARRO.</t>
  </si>
  <si>
    <t>LARISSA LUZIA FERREIRA DE QUEIROZ</t>
  </si>
  <si>
    <t>PROPORCIONAL DE 10 DIAS (23/01 A 31/01). IPTU (1/12). SEGURO (1/1). VAGA DE GARAGEM PARA MOTO.</t>
  </si>
  <si>
    <t>IPTU (1/12). SEGURO QUITADO. VAGA DE GARAGEM PARA CARRO E MOTO.</t>
  </si>
  <si>
    <t>ACORDOS/RESCISÕES RECEBIDAS EM JANEIRO DE 2026</t>
  </si>
  <si>
    <t>VIGÊNCIA DE NOVEMBRO 2025. ALUGUEL R$ 636,76 + R$ 61,70 ÁGUA + R$ 1,37 IPTU (11/12). SEGURO QUITADO.</t>
  </si>
  <si>
    <t>VIGÊNCIA DE DEZEMBRO 2025. ALUGUEL R$ 636,76 + R$ 61,70 ÁGUA + R$ 1,37 IPTU (12/12). SEGURO QUITADO.</t>
  </si>
  <si>
    <t>MULTA POR RESCISÃO ANTES DO PRAZO. R$ 1.972,00 - R$ 453,77 (VIG JAN/26) = R$ 1.518,23.</t>
  </si>
  <si>
    <t>VIGÊNCIA DE JANEIRO DE 2025. IPTU (1/12). SEGURO QUITADO.</t>
  </si>
  <si>
    <t>ENEL VIG DEZ</t>
  </si>
  <si>
    <t>ENEL VIG JAN</t>
  </si>
  <si>
    <t>SEGURO APTO 05</t>
  </si>
  <si>
    <t>SEGURO APTO 06</t>
  </si>
  <si>
    <t>IPTU 2026 (1/5): R$ 96,93 - R$ 38,30 (VALOR RECEBIDO PELOS LOCATÁRIOS)</t>
  </si>
  <si>
    <t>INTERMEDIAÇÕES DE JANEIRO 2026</t>
  </si>
  <si>
    <t>VIGÊNCIA DE FEVEREIRO DE 2026</t>
  </si>
  <si>
    <t>IPTU (2/12). SEGURO QUITAÇÃO. VAGA DE GARAGEM PARA CARRO</t>
  </si>
  <si>
    <t>IPTU (2/12). SEGURO QUITADO. VAGA DE GARAGEM PARA CARRO E MOTO.</t>
  </si>
  <si>
    <t>ACORDOS/RESCISÕES RECEBIDAS EM FEVEREIRO DE 2026</t>
  </si>
  <si>
    <t>VIGÊNCIA DE JANEIRO DE 2026. ALUGUEL R$ 636,76 + R$ 67,70 ÁGUA + R$ 1,43 IPTU (1/12). SEGURO QUITADO.</t>
  </si>
  <si>
    <t>R$ 636,76 (ALUGUEL) + R$ 67,70 (ÁGUA) + R$ 1,43 (IPTU 2/12)</t>
  </si>
  <si>
    <t>VIGÊNCIA DE FEVEREIRO DE 2026. IPTU (2/12). SEGURO QUITADO.</t>
  </si>
  <si>
    <t>IPTU 2026 (2/5)</t>
  </si>
  <si>
    <t>INTERMEDIAÇÕES DE FEVEREIRO 2026</t>
  </si>
  <si>
    <t>VIGÊNCIA DE MARÇO DE 2026</t>
  </si>
  <si>
    <t>IPTU (3/12). SEGURO QUITAÇÃO. VAGA DE GARAGEM PARA CARRO</t>
  </si>
  <si>
    <t>IPTU (3/12). SEGURO (1/1). VAGA DE GARAGEM PARA CARRO.</t>
  </si>
  <si>
    <t>IPTU (3/12). SEGURO (1/1).</t>
  </si>
  <si>
    <t>IPTU (3/12). SEGURO QUITADO. VAGA DE GARAGEM PARA CARRO E MOTO.</t>
  </si>
  <si>
    <t>ACORDOS/RESCISÕES RECEBIDAS EM MARÇO DE 2026</t>
  </si>
  <si>
    <t>VIGÊNCIA DE FEVEREIRO DE 2026. ALUGUEL R$ 636,76 + R$ 67,70 ÁGUA + R$ 1,43 IPTU (2/12). SEGURO QUITADO.</t>
  </si>
  <si>
    <t>R$ 636,76 (ALUGUEL) + R$ 67,70 (ÁGUA) + R$ 1,43 (IPTU 3/12)</t>
  </si>
  <si>
    <t>VIGÊNCIA DE MARÇO DE 2026. IPTU (3/12). SEGURO QUITADO.</t>
  </si>
  <si>
    <t>IPTU 2026 (3/5)</t>
  </si>
  <si>
    <t>SEGURO APTO 04</t>
  </si>
  <si>
    <t>SEGURO APTO 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</si>
</sst>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9C65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0"/>
      <name val="Times New Roman"/>
      <family val="1"/>
    </font>
    <font>
      <sz val="11"/>
      <color theme="0"/>
      <name val="Times New Roman"/>
      <family val="1"/>
    </font>
    <font>
      <sz val="12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3" borderId="0" applyNumberFormat="0" applyBorder="0" applyAlignment="0" applyProtection="0"/>
    <xf numFmtId="44" fontId="1" fillId="0" borderId="0" applyFont="0" applyFill="0" applyBorder="0" applyAlignment="0" applyProtection="0"/>
  </cellStyleXfs>
  <cellXfs count="608">
    <xf numFmtId="0" fontId="0" fillId="0" borderId="0" xfId="0"/>
    <xf numFmtId="44" fontId="5" fillId="2" borderId="1" xfId="1" applyFont="1" applyFill="1" applyBorder="1" applyAlignment="1">
      <alignment horizontal="center" vertical="center" wrapText="1"/>
    </xf>
    <xf numFmtId="44" fontId="4" fillId="2" borderId="1" xfId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44" fontId="4" fillId="2" borderId="1" xfId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2" borderId="0" xfId="2" applyFont="1" applyFill="1" applyBorder="1" applyAlignment="1">
      <alignment horizontal="center" vertical="center" wrapText="1"/>
    </xf>
    <xf numFmtId="0" fontId="3" fillId="2" borderId="0" xfId="2" applyFont="1" applyFill="1" applyBorder="1" applyAlignment="1">
      <alignment horizontal="center" vertical="center" wrapText="1"/>
    </xf>
    <xf numFmtId="0" fontId="3" fillId="2" borderId="0" xfId="2" applyFont="1" applyFill="1" applyBorder="1" applyAlignment="1">
      <alignment horizontal="center" vertical="center"/>
    </xf>
    <xf numFmtId="0" fontId="4" fillId="2" borderId="0" xfId="2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2" applyFont="1" applyFill="1" applyBorder="1" applyAlignment="1">
      <alignment horizontal="center" vertical="center" wrapText="1"/>
    </xf>
    <xf numFmtId="44" fontId="4" fillId="2" borderId="0" xfId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44" fontId="5" fillId="2" borderId="0" xfId="1" applyFont="1" applyFill="1" applyBorder="1" applyAlignment="1">
      <alignment horizontal="center" vertical="center" wrapText="1"/>
    </xf>
    <xf numFmtId="44" fontId="5" fillId="2" borderId="0" xfId="1" applyFont="1" applyFill="1" applyBorder="1" applyAlignment="1">
      <alignment horizontal="center" vertical="center"/>
    </xf>
    <xf numFmtId="0" fontId="6" fillId="2" borderId="0" xfId="2" applyFont="1" applyFill="1" applyBorder="1" applyAlignment="1">
      <alignment horizontal="center" vertical="center"/>
    </xf>
    <xf numFmtId="44" fontId="3" fillId="2" borderId="0" xfId="1" applyFont="1" applyFill="1" applyBorder="1" applyAlignment="1">
      <alignment horizontal="center" vertical="center"/>
    </xf>
    <xf numFmtId="44" fontId="6" fillId="2" borderId="0" xfId="1" applyFont="1" applyFill="1" applyBorder="1" applyAlignment="1">
      <alignment horizontal="center" vertical="center"/>
    </xf>
    <xf numFmtId="44" fontId="6" fillId="2" borderId="0" xfId="2" applyNumberFormat="1" applyFont="1" applyFill="1" applyBorder="1" applyAlignment="1">
      <alignment horizontal="center" vertical="center"/>
    </xf>
    <xf numFmtId="0" fontId="6" fillId="3" borderId="0" xfId="2" applyFont="1" applyAlignment="1">
      <alignment horizontal="center" vertical="center"/>
    </xf>
    <xf numFmtId="44" fontId="6" fillId="3" borderId="0" xfId="1" applyFont="1" applyFill="1" applyAlignment="1">
      <alignment horizontal="center" vertical="center"/>
    </xf>
    <xf numFmtId="44" fontId="6" fillId="3" borderId="0" xfId="2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3" borderId="0" xfId="2" applyFont="1" applyBorder="1" applyAlignment="1">
      <alignment horizontal="center" vertical="center"/>
    </xf>
    <xf numFmtId="44" fontId="5" fillId="0" borderId="0" xfId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0" borderId="1" xfId="0" applyFont="1" applyBorder="1"/>
    <xf numFmtId="44" fontId="7" fillId="0" borderId="1" xfId="1" applyFont="1" applyBorder="1"/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4" fontId="7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 wrapText="1"/>
    </xf>
    <xf numFmtId="44" fontId="4" fillId="2" borderId="1" xfId="1" applyFont="1" applyFill="1" applyBorder="1" applyAlignment="1">
      <alignment vertical="center" wrapText="1"/>
    </xf>
    <xf numFmtId="44" fontId="7" fillId="2" borderId="1" xfId="1" applyFont="1" applyFill="1" applyBorder="1"/>
    <xf numFmtId="44" fontId="7" fillId="2" borderId="1" xfId="0" applyNumberFormat="1" applyFont="1" applyFill="1" applyBorder="1" applyAlignment="1">
      <alignment horizontal="center" vertical="center"/>
    </xf>
    <xf numFmtId="44" fontId="7" fillId="2" borderId="1" xfId="1" applyFont="1" applyFill="1" applyBorder="1" applyAlignment="1">
      <alignment horizontal="center" vertical="center"/>
    </xf>
    <xf numFmtId="44" fontId="9" fillId="8" borderId="8" xfId="1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44" fontId="5" fillId="2" borderId="1" xfId="1" applyFont="1" applyFill="1" applyBorder="1" applyAlignment="1">
      <alignment horizontal="center" vertical="center"/>
    </xf>
    <xf numFmtId="44" fontId="3" fillId="2" borderId="8" xfId="1" applyFont="1" applyFill="1" applyBorder="1" applyAlignment="1">
      <alignment horizontal="center" vertical="center" wrapText="1"/>
    </xf>
    <xf numFmtId="44" fontId="3" fillId="2" borderId="8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4" fillId="2" borderId="1" xfId="1" applyNumberFormat="1" applyFont="1" applyFill="1" applyBorder="1" applyAlignment="1">
      <alignment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0" xfId="2" applyFont="1" applyFill="1" applyBorder="1" applyAlignment="1">
      <alignment horizontal="center" vertical="center" wrapText="1"/>
    </xf>
    <xf numFmtId="0" fontId="4" fillId="2" borderId="11" xfId="2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44" fontId="3" fillId="2" borderId="12" xfId="1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44" fontId="4" fillId="2" borderId="10" xfId="1" applyFont="1" applyFill="1" applyBorder="1" applyAlignment="1">
      <alignment horizontal="center" vertical="center" wrapText="1"/>
    </xf>
    <xf numFmtId="0" fontId="4" fillId="2" borderId="10" xfId="1" applyNumberFormat="1" applyFont="1" applyFill="1" applyBorder="1" applyAlignment="1">
      <alignment horizontal="center" vertical="center" wrapText="1"/>
    </xf>
    <xf numFmtId="0" fontId="4" fillId="2" borderId="0" xfId="1" applyNumberFormat="1" applyFont="1" applyFill="1" applyBorder="1" applyAlignment="1">
      <alignment vertical="center" wrapText="1"/>
    </xf>
    <xf numFmtId="0" fontId="4" fillId="2" borderId="0" xfId="1" applyNumberFormat="1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vertical="center" wrapText="1"/>
    </xf>
    <xf numFmtId="0" fontId="5" fillId="2" borderId="12" xfId="0" applyFont="1" applyFill="1" applyBorder="1" applyAlignment="1">
      <alignment horizontal="center" vertical="center" wrapText="1"/>
    </xf>
    <xf numFmtId="44" fontId="5" fillId="2" borderId="13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0" xfId="2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44" fontId="4" fillId="2" borderId="4" xfId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44" fontId="3" fillId="2" borderId="1" xfId="1" applyFont="1" applyFill="1" applyBorder="1" applyAlignment="1">
      <alignment horizontal="center" vertical="center"/>
    </xf>
    <xf numFmtId="44" fontId="5" fillId="2" borderId="17" xfId="1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 wrapText="1"/>
    </xf>
    <xf numFmtId="44" fontId="4" fillId="4" borderId="6" xfId="1" applyFont="1" applyFill="1" applyBorder="1" applyAlignment="1">
      <alignment horizontal="center" vertical="center" wrapText="1"/>
    </xf>
    <xf numFmtId="0" fontId="4" fillId="4" borderId="6" xfId="1" applyNumberFormat="1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44" fontId="4" fillId="4" borderId="1" xfId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1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44" fontId="3" fillId="9" borderId="1" xfId="1" applyFont="1" applyFill="1" applyBorder="1" applyAlignment="1">
      <alignment horizontal="center" vertical="center" wrapText="1"/>
    </xf>
    <xf numFmtId="44" fontId="3" fillId="9" borderId="1" xfId="1" applyFont="1" applyFill="1" applyBorder="1" applyAlignment="1">
      <alignment horizontal="center" vertical="center"/>
    </xf>
    <xf numFmtId="0" fontId="3" fillId="9" borderId="1" xfId="2" applyFont="1" applyFill="1" applyBorder="1" applyAlignment="1">
      <alignment horizontal="center" vertical="center" wrapText="1"/>
    </xf>
    <xf numFmtId="44" fontId="3" fillId="2" borderId="0" xfId="1" applyFont="1" applyFill="1" applyBorder="1" applyAlignment="1">
      <alignment horizontal="center" vertical="center" wrapText="1"/>
    </xf>
    <xf numFmtId="0" fontId="4" fillId="2" borderId="1" xfId="1" applyNumberFormat="1" applyFont="1" applyFill="1" applyBorder="1" applyAlignment="1">
      <alignment horizontal="center" vertical="center" wrapText="1"/>
    </xf>
    <xf numFmtId="44" fontId="3" fillId="2" borderId="10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44" fontId="5" fillId="0" borderId="0" xfId="0" applyNumberFormat="1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44" fontId="7" fillId="2" borderId="1" xfId="0" applyNumberFormat="1" applyFont="1" applyFill="1" applyBorder="1"/>
    <xf numFmtId="0" fontId="4" fillId="2" borderId="4" xfId="2" applyFont="1" applyFill="1" applyBorder="1" applyAlignment="1">
      <alignment horizontal="center" vertical="center" wrapText="1"/>
    </xf>
    <xf numFmtId="44" fontId="7" fillId="0" borderId="1" xfId="1" applyFont="1" applyBorder="1" applyAlignment="1">
      <alignment vertical="center"/>
    </xf>
    <xf numFmtId="44" fontId="7" fillId="0" borderId="0" xfId="1" applyFont="1" applyBorder="1"/>
    <xf numFmtId="0" fontId="5" fillId="0" borderId="1" xfId="0" applyFont="1" applyBorder="1" applyAlignment="1">
      <alignment horizontal="center"/>
    </xf>
    <xf numFmtId="44" fontId="7" fillId="0" borderId="0" xfId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44" fontId="11" fillId="2" borderId="1" xfId="1" applyFont="1" applyFill="1" applyBorder="1" applyAlignment="1">
      <alignment horizontal="center" vertical="center"/>
    </xf>
    <xf numFmtId="44" fontId="7" fillId="2" borderId="1" xfId="0" applyNumberFormat="1" applyFont="1" applyFill="1" applyBorder="1" applyAlignment="1">
      <alignment vertical="center"/>
    </xf>
    <xf numFmtId="14" fontId="7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44" fontId="7" fillId="2" borderId="1" xfId="1" applyFont="1" applyFill="1" applyBorder="1" applyAlignment="1">
      <alignment horizontal="center"/>
    </xf>
    <xf numFmtId="44" fontId="3" fillId="2" borderId="1" xfId="1" applyFont="1" applyFill="1" applyBorder="1" applyAlignment="1">
      <alignment horizontal="center" vertical="center" wrapText="1"/>
    </xf>
    <xf numFmtId="0" fontId="11" fillId="2" borderId="1" xfId="1" applyNumberFormat="1" applyFont="1" applyFill="1" applyBorder="1" applyAlignment="1">
      <alignment horizontal="center" vertical="center" wrapText="1"/>
    </xf>
    <xf numFmtId="44" fontId="12" fillId="2" borderId="1" xfId="1" applyFont="1" applyFill="1" applyBorder="1" applyAlignment="1">
      <alignment horizontal="center" vertical="center" wrapText="1"/>
    </xf>
    <xf numFmtId="44" fontId="3" fillId="2" borderId="4" xfId="1" applyFont="1" applyFill="1" applyBorder="1" applyAlignment="1">
      <alignment horizontal="center" vertical="center" wrapText="1"/>
    </xf>
    <xf numFmtId="44" fontId="4" fillId="2" borderId="8" xfId="1" applyFont="1" applyFill="1" applyBorder="1" applyAlignment="1">
      <alignment horizontal="center" vertical="center" wrapText="1"/>
    </xf>
    <xf numFmtId="44" fontId="3" fillId="2" borderId="1" xfId="0" applyNumberFormat="1" applyFont="1" applyFill="1" applyBorder="1" applyAlignment="1">
      <alignment horizontal="center" vertical="center" wrapText="1"/>
    </xf>
    <xf numFmtId="44" fontId="7" fillId="0" borderId="0" xfId="0" applyNumberFormat="1" applyFont="1"/>
    <xf numFmtId="0" fontId="3" fillId="2" borderId="1" xfId="1" applyNumberFormat="1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4" fontId="5" fillId="0" borderId="1" xfId="1" applyFont="1" applyBorder="1" applyAlignment="1">
      <alignment horizontal="center" vertical="center"/>
    </xf>
    <xf numFmtId="0" fontId="4" fillId="2" borderId="21" xfId="2" applyFont="1" applyFill="1" applyBorder="1" applyAlignment="1">
      <alignment horizontal="center" vertical="center" wrapText="1"/>
    </xf>
    <xf numFmtId="44" fontId="4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3" xfId="2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44" fontId="3" fillId="4" borderId="1" xfId="1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/>
    </xf>
    <xf numFmtId="0" fontId="3" fillId="4" borderId="1" xfId="2" applyFont="1" applyFill="1" applyBorder="1" applyAlignment="1">
      <alignment horizontal="center" vertical="center" wrapText="1"/>
    </xf>
    <xf numFmtId="0" fontId="5" fillId="2" borderId="1" xfId="1" applyNumberFormat="1" applyFont="1" applyFill="1" applyBorder="1" applyAlignment="1">
      <alignment horizontal="center" vertical="center"/>
    </xf>
    <xf numFmtId="44" fontId="12" fillId="2" borderId="1" xfId="1" applyFont="1" applyFill="1" applyBorder="1" applyAlignment="1">
      <alignment horizontal="center" vertical="center"/>
    </xf>
    <xf numFmtId="44" fontId="4" fillId="2" borderId="12" xfId="1" applyFont="1" applyFill="1" applyBorder="1" applyAlignment="1">
      <alignment horizontal="center" vertical="center" wrapText="1"/>
    </xf>
    <xf numFmtId="44" fontId="4" fillId="2" borderId="12" xfId="0" applyNumberFormat="1" applyFont="1" applyFill="1" applyBorder="1" applyAlignment="1">
      <alignment horizontal="center" vertical="center" wrapText="1"/>
    </xf>
    <xf numFmtId="44" fontId="3" fillId="2" borderId="24" xfId="1" applyFont="1" applyFill="1" applyBorder="1" applyAlignment="1">
      <alignment horizontal="center" vertical="center" wrapText="1"/>
    </xf>
    <xf numFmtId="44" fontId="9" fillId="8" borderId="0" xfId="1" applyFont="1" applyFill="1" applyBorder="1" applyAlignment="1">
      <alignment horizontal="center" vertical="center" wrapText="1"/>
    </xf>
    <xf numFmtId="44" fontId="0" fillId="2" borderId="1" xfId="1" applyFont="1" applyFill="1" applyBorder="1" applyAlignment="1">
      <alignment horizontal="center" vertical="center"/>
    </xf>
    <xf numFmtId="0" fontId="4" fillId="2" borderId="25" xfId="2" applyFont="1" applyFill="1" applyBorder="1" applyAlignment="1">
      <alignment horizontal="center" vertical="center" wrapText="1"/>
    </xf>
    <xf numFmtId="0" fontId="4" fillId="2" borderId="5" xfId="2" applyFont="1" applyFill="1" applyBorder="1" applyAlignment="1">
      <alignment horizontal="center" vertical="center" wrapText="1"/>
    </xf>
    <xf numFmtId="0" fontId="4" fillId="2" borderId="1" xfId="1" applyNumberFormat="1" applyFont="1" applyFill="1" applyBorder="1" applyAlignment="1">
      <alignment horizontal="center" vertical="center"/>
    </xf>
    <xf numFmtId="44" fontId="14" fillId="2" borderId="1" xfId="1" applyFont="1" applyFill="1" applyBorder="1" applyAlignment="1">
      <alignment horizontal="center" vertical="center"/>
    </xf>
    <xf numFmtId="44" fontId="4" fillId="2" borderId="0" xfId="1" applyFont="1" applyFill="1" applyBorder="1" applyAlignment="1">
      <alignment horizontal="center" vertical="center"/>
    </xf>
    <xf numFmtId="44" fontId="4" fillId="2" borderId="13" xfId="1" applyFont="1" applyFill="1" applyBorder="1" applyAlignment="1">
      <alignment horizontal="center" vertical="center"/>
    </xf>
    <xf numFmtId="44" fontId="4" fillId="2" borderId="0" xfId="2" applyNumberFormat="1" applyFont="1" applyFill="1" applyBorder="1" applyAlignment="1">
      <alignment horizontal="center" vertical="center"/>
    </xf>
    <xf numFmtId="0" fontId="4" fillId="3" borderId="0" xfId="2" applyFont="1" applyBorder="1" applyAlignment="1">
      <alignment horizontal="center" vertical="center"/>
    </xf>
    <xf numFmtId="44" fontId="4" fillId="3" borderId="0" xfId="1" applyFont="1" applyFill="1" applyAlignment="1">
      <alignment horizontal="center" vertical="center"/>
    </xf>
    <xf numFmtId="44" fontId="4" fillId="3" borderId="0" xfId="2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0" xfId="2" applyFont="1" applyAlignment="1">
      <alignment horizontal="center" vertical="center"/>
    </xf>
    <xf numFmtId="44" fontId="4" fillId="0" borderId="0" xfId="1" applyFont="1" applyAlignment="1">
      <alignment horizontal="center" vertical="center"/>
    </xf>
    <xf numFmtId="44" fontId="3" fillId="4" borderId="8" xfId="0" applyNumberFormat="1" applyFont="1" applyFill="1" applyBorder="1" applyAlignment="1">
      <alignment horizontal="center" vertical="center" wrapText="1"/>
    </xf>
    <xf numFmtId="44" fontId="4" fillId="4" borderId="8" xfId="0" applyNumberFormat="1" applyFont="1" applyFill="1" applyBorder="1" applyAlignment="1">
      <alignment horizontal="center" vertical="center" wrapText="1"/>
    </xf>
    <xf numFmtId="44" fontId="3" fillId="4" borderId="8" xfId="0" applyNumberFormat="1" applyFont="1" applyFill="1" applyBorder="1" applyAlignment="1">
      <alignment vertical="center" wrapText="1"/>
    </xf>
    <xf numFmtId="44" fontId="7" fillId="0" borderId="1" xfId="0" applyNumberFormat="1" applyFont="1" applyBorder="1"/>
    <xf numFmtId="0" fontId="4" fillId="2" borderId="26" xfId="2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44" fontId="7" fillId="10" borderId="1" xfId="1" applyFont="1" applyFill="1" applyBorder="1" applyAlignment="1">
      <alignment horizontal="center" vertical="center"/>
    </xf>
    <xf numFmtId="44" fontId="7" fillId="10" borderId="1" xfId="0" applyNumberFormat="1" applyFont="1" applyFill="1" applyBorder="1" applyAlignment="1">
      <alignment horizontal="center" vertical="center"/>
    </xf>
    <xf numFmtId="44" fontId="7" fillId="10" borderId="1" xfId="1" applyFont="1" applyFill="1" applyBorder="1"/>
    <xf numFmtId="14" fontId="7" fillId="10" borderId="1" xfId="0" applyNumberFormat="1" applyFont="1" applyFill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44" fontId="7" fillId="0" borderId="1" xfId="1" applyFont="1" applyBorder="1" applyAlignment="1">
      <alignment horizontal="center" vertical="center"/>
    </xf>
    <xf numFmtId="44" fontId="4" fillId="2" borderId="1" xfId="0" applyNumberFormat="1" applyFont="1" applyFill="1" applyBorder="1" applyAlignment="1">
      <alignment horizontal="center" vertical="center"/>
    </xf>
    <xf numFmtId="44" fontId="7" fillId="10" borderId="1" xfId="0" applyNumberFormat="1" applyFont="1" applyFill="1" applyBorder="1"/>
    <xf numFmtId="44" fontId="11" fillId="10" borderId="1" xfId="1" applyFont="1" applyFill="1" applyBorder="1" applyAlignment="1">
      <alignment horizontal="center" vertical="center"/>
    </xf>
    <xf numFmtId="44" fontId="7" fillId="10" borderId="1" xfId="0" applyNumberFormat="1" applyFont="1" applyFill="1" applyBorder="1" applyAlignment="1">
      <alignment vertical="center"/>
    </xf>
    <xf numFmtId="0" fontId="0" fillId="2" borderId="0" xfId="0" applyFill="1"/>
    <xf numFmtId="0" fontId="7" fillId="2" borderId="1" xfId="0" applyFont="1" applyFill="1" applyBorder="1" applyAlignment="1">
      <alignment horizontal="center" vertical="center" wrapText="1"/>
    </xf>
    <xf numFmtId="44" fontId="7" fillId="2" borderId="1" xfId="1" applyFont="1" applyFill="1" applyBorder="1" applyAlignment="1">
      <alignment horizontal="center" vertical="center" wrapText="1"/>
    </xf>
    <xf numFmtId="44" fontId="7" fillId="2" borderId="1" xfId="0" applyNumberFormat="1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14" fontId="7" fillId="2" borderId="1" xfId="1" applyNumberFormat="1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44" fontId="0" fillId="2" borderId="0" xfId="1" applyFont="1" applyFill="1" applyBorder="1" applyAlignment="1">
      <alignment horizontal="center" vertical="center"/>
    </xf>
    <xf numFmtId="44" fontId="0" fillId="0" borderId="0" xfId="1" applyFont="1" applyBorder="1"/>
    <xf numFmtId="44" fontId="14" fillId="2" borderId="0" xfId="1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4" fillId="5" borderId="18" xfId="0" applyFont="1" applyFill="1" applyBorder="1" applyAlignment="1">
      <alignment vertical="center" wrapText="1"/>
    </xf>
    <xf numFmtId="0" fontId="4" fillId="5" borderId="16" xfId="0" applyFont="1" applyFill="1" applyBorder="1" applyAlignment="1">
      <alignment vertical="center" wrapText="1"/>
    </xf>
    <xf numFmtId="44" fontId="4" fillId="4" borderId="12" xfId="1" applyFont="1" applyFill="1" applyBorder="1" applyAlignment="1">
      <alignment horizontal="center" vertical="center" wrapText="1"/>
    </xf>
    <xf numFmtId="44" fontId="4" fillId="4" borderId="1" xfId="0" applyNumberFormat="1" applyFont="1" applyFill="1" applyBorder="1" applyAlignment="1">
      <alignment horizontal="center" vertical="center" wrapText="1"/>
    </xf>
    <xf numFmtId="44" fontId="0" fillId="2" borderId="0" xfId="1" applyFont="1" applyFill="1" applyBorder="1"/>
    <xf numFmtId="44" fontId="4" fillId="4" borderId="0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0" xfId="1" applyNumberFormat="1" applyFont="1" applyFill="1" applyBorder="1" applyAlignment="1">
      <alignment horizontal="center" vertical="center" wrapText="1"/>
    </xf>
    <xf numFmtId="44" fontId="4" fillId="2" borderId="0" xfId="0" applyNumberFormat="1" applyFont="1" applyFill="1" applyAlignment="1">
      <alignment horizontal="center" vertical="center"/>
    </xf>
    <xf numFmtId="44" fontId="0" fillId="2" borderId="0" xfId="0" applyNumberFormat="1" applyFill="1" applyAlignment="1">
      <alignment horizontal="center" vertical="center"/>
    </xf>
    <xf numFmtId="44" fontId="3" fillId="0" borderId="1" xfId="1" applyFont="1" applyFill="1" applyBorder="1" applyAlignment="1">
      <alignment horizontal="center" vertical="center" wrapText="1"/>
    </xf>
    <xf numFmtId="44" fontId="4" fillId="0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1" applyNumberFormat="1" applyFont="1" applyFill="1" applyBorder="1" applyAlignment="1">
      <alignment horizontal="center" vertical="center" wrapText="1"/>
    </xf>
    <xf numFmtId="44" fontId="4" fillId="0" borderId="1" xfId="1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 wrapText="1"/>
    </xf>
    <xf numFmtId="0" fontId="3" fillId="0" borderId="0" xfId="2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2" applyFont="1" applyFill="1" applyBorder="1" applyAlignment="1">
      <alignment horizontal="center" vertical="center"/>
    </xf>
    <xf numFmtId="0" fontId="3" fillId="0" borderId="3" xfId="2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2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2" applyFont="1" applyFill="1" applyBorder="1" applyAlignment="1">
      <alignment horizontal="center" vertical="center" wrapText="1"/>
    </xf>
    <xf numFmtId="0" fontId="4" fillId="0" borderId="0" xfId="2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4" fontId="4" fillId="0" borderId="4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44" fontId="14" fillId="0" borderId="1" xfId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44" fontId="5" fillId="0" borderId="1" xfId="0" applyNumberFormat="1" applyFont="1" applyBorder="1"/>
    <xf numFmtId="14" fontId="5" fillId="0" borderId="1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44" fontId="4" fillId="0" borderId="4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4" fontId="7" fillId="0" borderId="0" xfId="1" applyFont="1" applyBorder="1" applyAlignment="1">
      <alignment vertical="center"/>
    </xf>
    <xf numFmtId="44" fontId="0" fillId="0" borderId="0" xfId="0" applyNumberFormat="1"/>
    <xf numFmtId="0" fontId="11" fillId="0" borderId="1" xfId="1" applyNumberFormat="1" applyFont="1" applyFill="1" applyBorder="1" applyAlignment="1">
      <alignment horizontal="center" vertical="center" wrapText="1"/>
    </xf>
    <xf numFmtId="44" fontId="0" fillId="2" borderId="0" xfId="1" applyFont="1" applyFill="1" applyAlignment="1">
      <alignment horizontal="center" vertical="center"/>
    </xf>
    <xf numFmtId="44" fontId="4" fillId="0" borderId="0" xfId="1" applyFont="1" applyFill="1" applyBorder="1" applyAlignment="1">
      <alignment horizontal="center" vertical="center" wrapText="1"/>
    </xf>
    <xf numFmtId="0" fontId="4" fillId="0" borderId="0" xfId="1" applyNumberFormat="1" applyFont="1" applyFill="1" applyBorder="1" applyAlignment="1">
      <alignment horizontal="center" vertical="center" wrapText="1"/>
    </xf>
    <xf numFmtId="44" fontId="4" fillId="0" borderId="0" xfId="0" applyNumberFormat="1" applyFont="1" applyAlignment="1">
      <alignment horizontal="center" vertical="center"/>
    </xf>
    <xf numFmtId="0" fontId="3" fillId="0" borderId="1" xfId="2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4" fontId="4" fillId="2" borderId="4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15" fillId="0" borderId="0" xfId="0" applyFont="1"/>
    <xf numFmtId="0" fontId="0" fillId="0" borderId="1" xfId="0" applyBorder="1"/>
    <xf numFmtId="44" fontId="4" fillId="0" borderId="23" xfId="1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 wrapText="1"/>
    </xf>
    <xf numFmtId="44" fontId="5" fillId="0" borderId="1" xfId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4" fontId="0" fillId="2" borderId="1" xfId="1" applyFont="1" applyFill="1" applyBorder="1"/>
    <xf numFmtId="44" fontId="11" fillId="2" borderId="1" xfId="1" applyFont="1" applyFill="1" applyBorder="1" applyAlignment="1">
      <alignment horizontal="center" vertical="center" wrapText="1"/>
    </xf>
    <xf numFmtId="44" fontId="7" fillId="0" borderId="1" xfId="1" applyFont="1" applyFill="1" applyBorder="1" applyAlignment="1">
      <alignment horizontal="center" vertical="center"/>
    </xf>
    <xf numFmtId="44" fontId="16" fillId="2" borderId="1" xfId="1" applyFont="1" applyFill="1" applyBorder="1" applyAlignment="1">
      <alignment horizontal="center" vertical="center" wrapText="1"/>
    </xf>
    <xf numFmtId="44" fontId="16" fillId="2" borderId="24" xfId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4" fontId="14" fillId="0" borderId="0" xfId="1" applyFont="1" applyFill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44" fontId="0" fillId="0" borderId="0" xfId="1" applyFont="1" applyFill="1" applyAlignment="1">
      <alignment horizontal="center" vertical="center"/>
    </xf>
    <xf numFmtId="44" fontId="0" fillId="0" borderId="0" xfId="1" applyFont="1" applyFill="1" applyBorder="1"/>
    <xf numFmtId="44" fontId="0" fillId="0" borderId="0" xfId="1" applyFont="1" applyFill="1" applyBorder="1" applyAlignment="1">
      <alignment horizontal="center" vertical="center"/>
    </xf>
    <xf numFmtId="44" fontId="11" fillId="0" borderId="1" xfId="1" applyFont="1" applyFill="1" applyBorder="1" applyAlignment="1">
      <alignment horizontal="center" vertical="center" wrapText="1"/>
    </xf>
    <xf numFmtId="44" fontId="7" fillId="0" borderId="1" xfId="1" applyFont="1" applyFill="1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5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4" fontId="3" fillId="0" borderId="1" xfId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44" fontId="3" fillId="2" borderId="1" xfId="1" applyFont="1" applyFill="1" applyBorder="1" applyAlignment="1">
      <alignment horizontal="center" vertical="center" wrapText="1"/>
    </xf>
    <xf numFmtId="44" fontId="3" fillId="4" borderId="1" xfId="1" applyFont="1" applyFill="1" applyBorder="1" applyAlignment="1">
      <alignment horizontal="center" vertical="center" wrapText="1"/>
    </xf>
    <xf numFmtId="4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4" fontId="4" fillId="0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4" fontId="4" fillId="2" borderId="1" xfId="1" applyFont="1" applyFill="1" applyBorder="1" applyAlignment="1">
      <alignment horizontal="center" vertical="center" wrapText="1"/>
    </xf>
    <xf numFmtId="44" fontId="4" fillId="0" borderId="1" xfId="1" applyFont="1" applyBorder="1" applyAlignment="1">
      <alignment horizontal="center" vertical="center"/>
    </xf>
    <xf numFmtId="44" fontId="4" fillId="2" borderId="2" xfId="1" applyFont="1" applyFill="1" applyBorder="1" applyAlignment="1">
      <alignment horizontal="center" vertical="center"/>
    </xf>
    <xf numFmtId="44" fontId="4" fillId="2" borderId="3" xfId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4" fontId="3" fillId="2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4" fontId="3" fillId="4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4" fontId="3" fillId="2" borderId="1" xfId="0" applyNumberFormat="1" applyFont="1" applyFill="1" applyBorder="1" applyAlignment="1">
      <alignment horizontal="center" vertical="center" wrapText="1"/>
    </xf>
    <xf numFmtId="44" fontId="3" fillId="0" borderId="1" xfId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4" fontId="4" fillId="0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4" fontId="4" fillId="2" borderId="1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10" borderId="0" xfId="0" applyFont="1" applyFill="1" applyAlignment="1">
      <alignment vertical="center" wrapText="1"/>
    </xf>
    <xf numFmtId="0" fontId="4" fillId="10" borderId="0" xfId="0" applyFont="1" applyFill="1" applyAlignment="1">
      <alignment horizontal="center" vertical="center"/>
    </xf>
    <xf numFmtId="0" fontId="4" fillId="10" borderId="0" xfId="2" applyFont="1" applyFill="1" applyBorder="1" applyAlignment="1">
      <alignment horizontal="center" vertical="center"/>
    </xf>
    <xf numFmtId="0" fontId="4" fillId="10" borderId="0" xfId="2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4" fontId="3" fillId="0" borderId="1" xfId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44" fontId="3" fillId="2" borderId="1" xfId="1" applyFont="1" applyFill="1" applyBorder="1" applyAlignment="1">
      <alignment horizontal="center" vertical="center" wrapText="1"/>
    </xf>
    <xf numFmtId="44" fontId="3" fillId="4" borderId="1" xfId="1" applyFont="1" applyFill="1" applyBorder="1" applyAlignment="1">
      <alignment horizontal="center" vertical="center" wrapText="1"/>
    </xf>
    <xf numFmtId="4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4" fontId="4" fillId="0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4" fontId="4" fillId="2" borderId="1" xfId="1" applyFont="1" applyFill="1" applyBorder="1" applyAlignment="1">
      <alignment horizontal="center" vertical="center" wrapText="1"/>
    </xf>
    <xf numFmtId="44" fontId="3" fillId="0" borderId="1" xfId="1" applyFont="1" applyFill="1" applyBorder="1" applyAlignment="1">
      <alignment horizontal="center" vertical="center"/>
    </xf>
    <xf numFmtId="44" fontId="7" fillId="2" borderId="4" xfId="1" applyFont="1" applyFill="1" applyBorder="1"/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4" fontId="3" fillId="2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4" fontId="3" fillId="4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4" fontId="3" fillId="2" borderId="1" xfId="0" applyNumberFormat="1" applyFont="1" applyFill="1" applyBorder="1" applyAlignment="1">
      <alignment horizontal="center" vertical="center" wrapText="1"/>
    </xf>
    <xf numFmtId="44" fontId="3" fillId="0" borderId="1" xfId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4" fontId="4" fillId="0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4" fontId="4" fillId="2" borderId="1" xfId="1" applyFont="1" applyFill="1" applyBorder="1" applyAlignment="1">
      <alignment horizontal="center" vertical="center" wrapText="1"/>
    </xf>
    <xf numFmtId="0" fontId="4" fillId="0" borderId="4" xfId="1" applyNumberFormat="1" applyFont="1" applyFill="1" applyBorder="1" applyAlignment="1">
      <alignment horizontal="center" vertical="center" wrapText="1"/>
    </xf>
    <xf numFmtId="44" fontId="3" fillId="0" borderId="4" xfId="1" applyFont="1" applyFill="1" applyBorder="1" applyAlignment="1">
      <alignment horizontal="center" vertical="center" wrapText="1"/>
    </xf>
    <xf numFmtId="0" fontId="4" fillId="0" borderId="25" xfId="2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44" fontId="4" fillId="0" borderId="6" xfId="1" applyFont="1" applyFill="1" applyBorder="1" applyAlignment="1">
      <alignment horizontal="center" vertical="center"/>
    </xf>
    <xf numFmtId="44" fontId="4" fillId="0" borderId="6" xfId="1" applyFont="1" applyFill="1" applyBorder="1" applyAlignment="1">
      <alignment horizontal="center" vertical="center" wrapText="1"/>
    </xf>
    <xf numFmtId="44" fontId="3" fillId="0" borderId="6" xfId="1" applyFont="1" applyFill="1" applyBorder="1" applyAlignment="1">
      <alignment horizontal="center" vertical="center" wrapText="1"/>
    </xf>
    <xf numFmtId="0" fontId="4" fillId="0" borderId="29" xfId="2" applyFont="1" applyFill="1" applyBorder="1" applyAlignment="1">
      <alignment horizontal="center" vertical="center" wrapText="1"/>
    </xf>
    <xf numFmtId="0" fontId="4" fillId="0" borderId="6" xfId="2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4" fontId="3" fillId="0" borderId="1" xfId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44" fontId="3" fillId="2" borderId="1" xfId="1" applyFont="1" applyFill="1" applyBorder="1" applyAlignment="1">
      <alignment horizontal="center" vertical="center" wrapText="1"/>
    </xf>
    <xf numFmtId="44" fontId="3" fillId="4" borderId="1" xfId="1" applyFont="1" applyFill="1" applyBorder="1" applyAlignment="1">
      <alignment horizontal="center" vertical="center" wrapText="1"/>
    </xf>
    <xf numFmtId="4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4" fontId="4" fillId="0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4" fontId="4" fillId="2" borderId="1" xfId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4" fontId="3" fillId="2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4" fontId="3" fillId="4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4" fontId="3" fillId="2" borderId="1" xfId="0" applyNumberFormat="1" applyFont="1" applyFill="1" applyBorder="1" applyAlignment="1">
      <alignment horizontal="center" vertical="center" wrapText="1"/>
    </xf>
    <xf numFmtId="44" fontId="3" fillId="0" borderId="1" xfId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4" fontId="4" fillId="0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4" fontId="4" fillId="2" borderId="1" xfId="1" applyFont="1" applyFill="1" applyBorder="1" applyAlignment="1">
      <alignment horizontal="center" vertical="center" wrapText="1"/>
    </xf>
    <xf numFmtId="0" fontId="4" fillId="0" borderId="1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4" fontId="3" fillId="0" borderId="1" xfId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44" fontId="3" fillId="2" borderId="1" xfId="1" applyFont="1" applyFill="1" applyBorder="1" applyAlignment="1">
      <alignment horizontal="center" vertical="center" wrapText="1"/>
    </xf>
    <xf numFmtId="44" fontId="3" fillId="4" borderId="1" xfId="1" applyFont="1" applyFill="1" applyBorder="1" applyAlignment="1">
      <alignment horizontal="center" vertical="center" wrapText="1"/>
    </xf>
    <xf numFmtId="4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4" fontId="4" fillId="0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4" fontId="4" fillId="2" borderId="1" xfId="1" applyFont="1" applyFill="1" applyBorder="1" applyAlignment="1">
      <alignment horizontal="center" vertical="center" wrapText="1"/>
    </xf>
    <xf numFmtId="44" fontId="4" fillId="0" borderId="0" xfId="1" applyFont="1" applyFill="1" applyAlignment="1">
      <alignment horizontal="center" vertical="center" wrapText="1"/>
    </xf>
    <xf numFmtId="0" fontId="4" fillId="0" borderId="1" xfId="2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4" fontId="3" fillId="2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4" fontId="3" fillId="4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4" fontId="3" fillId="2" borderId="1" xfId="0" applyNumberFormat="1" applyFont="1" applyFill="1" applyBorder="1" applyAlignment="1">
      <alignment horizontal="center" vertical="center" wrapText="1"/>
    </xf>
    <xf numFmtId="44" fontId="3" fillId="0" borderId="1" xfId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4" fontId="4" fillId="0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4" fontId="4" fillId="2" borderId="1" xfId="1" applyFont="1" applyFill="1" applyBorder="1" applyAlignment="1">
      <alignment horizontal="center" vertical="center" wrapText="1"/>
    </xf>
    <xf numFmtId="44" fontId="4" fillId="2" borderId="0" xfId="1" applyFont="1" applyFill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0" fontId="4" fillId="2" borderId="4" xfId="1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44" fontId="4" fillId="2" borderId="6" xfId="1" applyFont="1" applyFill="1" applyBorder="1" applyAlignment="1">
      <alignment horizontal="center" vertical="center"/>
    </xf>
    <xf numFmtId="44" fontId="4" fillId="2" borderId="6" xfId="1" applyFont="1" applyFill="1" applyBorder="1" applyAlignment="1">
      <alignment horizontal="center" vertical="center" wrapText="1"/>
    </xf>
    <xf numFmtId="44" fontId="3" fillId="2" borderId="6" xfId="1" applyFont="1" applyFill="1" applyBorder="1" applyAlignment="1">
      <alignment horizontal="center" vertical="center" wrapText="1"/>
    </xf>
    <xf numFmtId="0" fontId="4" fillId="2" borderId="29" xfId="2" applyFont="1" applyFill="1" applyBorder="1" applyAlignment="1">
      <alignment horizontal="center" vertical="center" wrapText="1"/>
    </xf>
    <xf numFmtId="0" fontId="4" fillId="2" borderId="6" xfId="2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4" fontId="3" fillId="0" borderId="1" xfId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44" fontId="3" fillId="2" borderId="1" xfId="1" applyFont="1" applyFill="1" applyBorder="1" applyAlignment="1">
      <alignment horizontal="center" vertical="center" wrapText="1"/>
    </xf>
    <xf numFmtId="44" fontId="3" fillId="4" borderId="1" xfId="1" applyFont="1" applyFill="1" applyBorder="1" applyAlignment="1">
      <alignment horizontal="center" vertical="center" wrapText="1"/>
    </xf>
    <xf numFmtId="4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4" fontId="4" fillId="0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4" fontId="4" fillId="2" borderId="1" xfId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4" fontId="3" fillId="2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4" fontId="3" fillId="4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4" fontId="3" fillId="2" borderId="1" xfId="0" applyNumberFormat="1" applyFont="1" applyFill="1" applyBorder="1" applyAlignment="1">
      <alignment horizontal="center" vertical="center" wrapText="1"/>
    </xf>
    <xf numFmtId="44" fontId="3" fillId="0" borderId="1" xfId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4" fontId="4" fillId="0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4" fontId="4" fillId="2" borderId="1" xfId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4" fontId="3" fillId="0" borderId="1" xfId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44" fontId="3" fillId="2" borderId="1" xfId="1" applyFont="1" applyFill="1" applyBorder="1" applyAlignment="1">
      <alignment horizontal="center" vertical="center" wrapText="1"/>
    </xf>
    <xf numFmtId="44" fontId="3" fillId="4" borderId="1" xfId="1" applyFont="1" applyFill="1" applyBorder="1" applyAlignment="1">
      <alignment horizontal="center" vertical="center" wrapText="1"/>
    </xf>
    <xf numFmtId="4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4" fontId="4" fillId="0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4" fontId="4" fillId="2" borderId="1" xfId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44" fontId="3" fillId="4" borderId="4" xfId="1" applyFont="1" applyFill="1" applyBorder="1" applyAlignment="1">
      <alignment horizontal="center" vertical="center" wrapText="1"/>
    </xf>
    <xf numFmtId="44" fontId="3" fillId="4" borderId="4" xfId="1" applyFont="1" applyFill="1" applyBorder="1" applyAlignment="1">
      <alignment horizontal="center" vertical="center"/>
    </xf>
    <xf numFmtId="0" fontId="3" fillId="4" borderId="4" xfId="2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44" fontId="4" fillId="2" borderId="6" xfId="1" applyFont="1" applyFill="1" applyBorder="1" applyAlignment="1">
      <alignment vertical="center" wrapText="1"/>
    </xf>
    <xf numFmtId="0" fontId="4" fillId="2" borderId="6" xfId="2" applyFont="1" applyFill="1" applyBorder="1" applyAlignment="1">
      <alignment horizontal="center" vertical="center"/>
    </xf>
    <xf numFmtId="44" fontId="7" fillId="0" borderId="1" xfId="1" applyFont="1" applyBorder="1" applyAlignment="1">
      <alignment wrapText="1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4" fontId="3" fillId="2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4" fontId="3" fillId="4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4" fontId="3" fillId="2" borderId="1" xfId="0" applyNumberFormat="1" applyFont="1" applyFill="1" applyBorder="1" applyAlignment="1">
      <alignment horizontal="center" vertical="center" wrapText="1"/>
    </xf>
    <xf numFmtId="44" fontId="3" fillId="0" borderId="1" xfId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4" fontId="4" fillId="0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4" fontId="4" fillId="2" borderId="1" xfId="1" applyFont="1" applyFill="1" applyBorder="1" applyAlignment="1">
      <alignment horizontal="center" vertical="center" wrapText="1"/>
    </xf>
    <xf numFmtId="0" fontId="4" fillId="0" borderId="3" xfId="2" applyFont="1" applyFill="1" applyBorder="1" applyAlignment="1">
      <alignment horizontal="center" vertical="center"/>
    </xf>
    <xf numFmtId="44" fontId="3" fillId="4" borderId="1" xfId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4" fontId="4" fillId="0" borderId="1" xfId="1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4" fontId="3" fillId="0" borderId="1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5" borderId="15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44" fontId="3" fillId="2" borderId="1" xfId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44" fontId="3" fillId="4" borderId="1" xfId="1" applyFont="1" applyFill="1" applyBorder="1" applyAlignment="1">
      <alignment horizontal="center" vertical="center" wrapText="1"/>
    </xf>
    <xf numFmtId="44" fontId="3" fillId="4" borderId="8" xfId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44" fontId="3" fillId="2" borderId="1" xfId="0" applyNumberFormat="1" applyFont="1" applyFill="1" applyBorder="1" applyAlignment="1">
      <alignment horizontal="center" vertical="center" wrapText="1"/>
    </xf>
    <xf numFmtId="44" fontId="3" fillId="2" borderId="8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4" fontId="4" fillId="0" borderId="1" xfId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44" fontId="4" fillId="2" borderId="2" xfId="1" applyFont="1" applyFill="1" applyBorder="1" applyAlignment="1">
      <alignment horizontal="center" vertical="center" wrapText="1"/>
    </xf>
    <xf numFmtId="44" fontId="4" fillId="2" borderId="23" xfId="1" applyFont="1" applyFill="1" applyBorder="1" applyAlignment="1">
      <alignment horizontal="center" vertical="center" wrapText="1"/>
    </xf>
    <xf numFmtId="44" fontId="4" fillId="2" borderId="3" xfId="1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44" fontId="4" fillId="0" borderId="2" xfId="1" applyFont="1" applyFill="1" applyBorder="1" applyAlignment="1">
      <alignment horizontal="center" vertical="center" wrapText="1"/>
    </xf>
    <xf numFmtId="44" fontId="4" fillId="0" borderId="3" xfId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44" fontId="3" fillId="4" borderId="2" xfId="1" applyFont="1" applyFill="1" applyBorder="1" applyAlignment="1">
      <alignment horizontal="center" vertical="center"/>
    </xf>
    <xf numFmtId="44" fontId="3" fillId="4" borderId="23" xfId="1" applyFont="1" applyFill="1" applyBorder="1" applyAlignment="1">
      <alignment horizontal="center" vertical="center"/>
    </xf>
    <xf numFmtId="44" fontId="3" fillId="4" borderId="3" xfId="1" applyFont="1" applyFill="1" applyBorder="1" applyAlignment="1">
      <alignment horizontal="center" vertical="center"/>
    </xf>
    <xf numFmtId="44" fontId="4" fillId="2" borderId="5" xfId="1" applyFont="1" applyFill="1" applyBorder="1" applyAlignment="1">
      <alignment horizontal="center" vertical="center" wrapText="1"/>
    </xf>
    <xf numFmtId="44" fontId="4" fillId="2" borderId="20" xfId="1" applyFont="1" applyFill="1" applyBorder="1" applyAlignment="1">
      <alignment horizontal="center" vertical="center" wrapText="1"/>
    </xf>
    <xf numFmtId="44" fontId="4" fillId="2" borderId="25" xfId="1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44" fontId="4" fillId="0" borderId="23" xfId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44" fontId="4" fillId="2" borderId="1" xfId="1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44" fontId="7" fillId="0" borderId="5" xfId="1" applyFont="1" applyBorder="1" applyAlignment="1">
      <alignment horizontal="center"/>
    </xf>
    <xf numFmtId="44" fontId="7" fillId="0" borderId="14" xfId="1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</cellXfs>
  <cellStyles count="4">
    <cellStyle name="Moeda" xfId="1" builtinId="4"/>
    <cellStyle name="Moeda 2" xfId="3" xr:uid="{2CB7E13A-A010-4A85-9D66-64A0101D8AC8}"/>
    <cellStyle name="Neutro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381000</xdr:colOff>
      <xdr:row>40</xdr:row>
      <xdr:rowOff>174625</xdr:rowOff>
    </xdr:from>
    <xdr:to>
      <xdr:col>25</xdr:col>
      <xdr:colOff>365125</xdr:colOff>
      <xdr:row>72</xdr:row>
      <xdr:rowOff>120045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596AE9B-378D-437B-A152-56F10245A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97125" y="9064625"/>
          <a:ext cx="5349875" cy="634304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eu%20Drive/2.%20IMOBILIARIA/CLIENTES%20ALIVE/LOCA&#199;&#195;O/ACR%20EMPREENDIMENTOS%20IMOBILI&#193;RIOS%20(MESSEJANA)/GM2/FINANCEIRO%20GM2/CAIXA%20ADMINISTRA&#199;&#195;O%20LOCA&#199;&#195;O%20-%20GM%20II%20INTERN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eu%20Drive/2.%20ALIVE%20IMOVEIS/ALIVE%20IMOVEIS/CLIENTES%20ALIVE/LOCA&#199;&#195;O/ACR%20EMPREENDIMENTOS%20IMOBILI&#193;RIOS%20(MESSEJANA)/GM2/FINANCEIRO%20GM2/CAIXA%20ADMINISTRA&#199;&#195;O%20LOCA&#199;&#195;O%20-%20GM%20II%20INTERN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GÊNCIA MAIO 2021"/>
      <sheetName val="VIGÊNCIA JUNHO 2021"/>
      <sheetName val="VIGÊNCIA JULHO 2021"/>
      <sheetName val="VIGÊNCIA AGOSTO 2021"/>
      <sheetName val="VIGÊNCIA SETEMBRO 2021"/>
      <sheetName val="VIGÊNCIA OUTUBRO 2021"/>
      <sheetName val="VIGÊNCIA NOVEMBRO 2021"/>
      <sheetName val="VIGÊNCIA DEZEMBRO 2021"/>
      <sheetName val="VIGÊNCIA JANEIRO 2022"/>
      <sheetName val="VIGÊNCIA FEVEREIRO 2022"/>
      <sheetName val="VIGÊNCIA MARÇO 2022"/>
      <sheetName val="VIGÊNCIA ABRIL 2022"/>
      <sheetName val="VIGÊNCIA MAIO 2022"/>
      <sheetName val="VIGÊNCIA JUNHO 2022"/>
      <sheetName val="VIGÊNCIA JULHO 2022"/>
      <sheetName val="VIGÊNCIA AGOSTO 2022"/>
      <sheetName val="VIGÊNCIA SETEMBRO 2022"/>
      <sheetName val="VIGÊNCIA OUTUBRO 2022"/>
      <sheetName val="VIGÊNCIA NOVEMBRO 2022"/>
      <sheetName val="VIGÊNCIA DEZEMBRO 2022"/>
      <sheetName val="VIGÊNCIA JANEIRO 2023"/>
      <sheetName val="VIGÊNCIA FEVEREIRO 2023"/>
      <sheetName val="VIGÊNCIA MARÇO 2023"/>
      <sheetName val="VIGÊNCIA ABRIL 2023"/>
      <sheetName val="VIGÊNCIA MAIO 2023"/>
      <sheetName val="VIGÊNCIA JUNHO 2023"/>
      <sheetName val="VIGÊNCIA JULHO 2023"/>
      <sheetName val="VIGÊNCIA AGOSTO 2023"/>
      <sheetName val="VIGÊNCIA SETEMBRO 2023"/>
      <sheetName val="VIGÊNCIA OUTUBRO 2023"/>
      <sheetName val="VIGÊNCIA NOVEMBRO 2023"/>
      <sheetName val="VIGÊNCIA DEZEMBRO 2023"/>
      <sheetName val="VIGÊNCIA JANEIRO 2024"/>
      <sheetName val="VIGÊNCIA FEVEREIRO 2024"/>
      <sheetName val="VIGÊNCIA MARÇO 2024"/>
      <sheetName val="VIGÊNCIA ABRIL 2024"/>
      <sheetName val="VIGÊNCIA MAIO 2024"/>
      <sheetName val="VIGÊNCIA JUNHO 2024"/>
      <sheetName val="VIGÊNCIA JULHO 2024"/>
      <sheetName val="VIGÊNCIA AGOSTO 2024"/>
      <sheetName val="VIGÊNCIA SETEMBRO 2024"/>
      <sheetName val="VIGÊNCIA OUTUBRO 2024"/>
      <sheetName val="VIGÊNCIA NOVEMBRO 2024"/>
      <sheetName val="VIGÊNCIA DEZEMBRO 2024"/>
      <sheetName val="GERAL 2024"/>
      <sheetName val="GERAL 2023"/>
      <sheetName val="GERAL 2022"/>
      <sheetName val="GERAL 20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6">
          <cell r="I6">
            <v>1.3105200945626476</v>
          </cell>
          <cell r="K6">
            <v>0.79837470449172576</v>
          </cell>
        </row>
        <row r="7">
          <cell r="I7">
            <v>1.3105200945626476</v>
          </cell>
          <cell r="K7">
            <v>0.79837470449172576</v>
          </cell>
        </row>
        <row r="8">
          <cell r="I8">
            <v>1.8347281323877069</v>
          </cell>
          <cell r="K8">
            <v>1.1177245862884162</v>
          </cell>
        </row>
        <row r="9">
          <cell r="I9">
            <v>1.3105200945626476</v>
          </cell>
          <cell r="K9">
            <v>0.79837470449172576</v>
          </cell>
        </row>
        <row r="11">
          <cell r="G11">
            <v>640</v>
          </cell>
          <cell r="I11">
            <v>1.3105200945626476</v>
          </cell>
          <cell r="K11">
            <v>0.79837470449172576</v>
          </cell>
        </row>
        <row r="15">
          <cell r="I15">
            <v>1.3105200945626476</v>
          </cell>
          <cell r="K15">
            <v>0.79837470449172576</v>
          </cell>
        </row>
        <row r="16">
          <cell r="I16">
            <v>1.3105200945626476</v>
          </cell>
          <cell r="K16">
            <v>0.79837470449172576</v>
          </cell>
        </row>
        <row r="17">
          <cell r="I17">
            <v>1.8347281323877069</v>
          </cell>
          <cell r="K17">
            <v>1.1177245862884162</v>
          </cell>
        </row>
        <row r="23">
          <cell r="I23">
            <v>1.3105200945626476</v>
          </cell>
          <cell r="K23">
            <v>0.79837470449172576</v>
          </cell>
        </row>
        <row r="25">
          <cell r="I25">
            <v>1.3105200945626476</v>
          </cell>
          <cell r="K25">
            <v>0.79837470449172576</v>
          </cell>
        </row>
        <row r="28">
          <cell r="I28">
            <v>1.3105200945626476</v>
          </cell>
        </row>
        <row r="29">
          <cell r="I29">
            <v>1.3105200945626476</v>
          </cell>
          <cell r="K29">
            <v>0.79837470449172576</v>
          </cell>
        </row>
        <row r="36">
          <cell r="G36">
            <v>780</v>
          </cell>
          <cell r="I36">
            <v>1.3105200945626476</v>
          </cell>
          <cell r="K36">
            <v>0.79837470449172576</v>
          </cell>
        </row>
        <row r="38">
          <cell r="G38">
            <v>610</v>
          </cell>
          <cell r="I38">
            <v>1.3105200945626476</v>
          </cell>
          <cell r="K38">
            <v>0.79837470449172576</v>
          </cell>
        </row>
        <row r="39">
          <cell r="G39">
            <v>610</v>
          </cell>
          <cell r="I39">
            <v>1.3105200945626476</v>
          </cell>
          <cell r="K39">
            <v>0.79837470449172576</v>
          </cell>
        </row>
        <row r="40">
          <cell r="G40">
            <v>640</v>
          </cell>
          <cell r="I40">
            <v>1.3105200945626476</v>
          </cell>
          <cell r="K40">
            <v>0.79837470449172576</v>
          </cell>
        </row>
        <row r="41">
          <cell r="G41">
            <v>610</v>
          </cell>
          <cell r="I41">
            <v>1.3105200945626476</v>
          </cell>
          <cell r="K41">
            <v>0.79837470449172576</v>
          </cell>
        </row>
        <row r="42">
          <cell r="G42">
            <v>610</v>
          </cell>
          <cell r="I42">
            <v>1.3105200945626476</v>
          </cell>
          <cell r="K42">
            <v>0.79837470449172576</v>
          </cell>
        </row>
        <row r="43">
          <cell r="G43">
            <v>640</v>
          </cell>
          <cell r="I43">
            <v>1.3105200945626476</v>
          </cell>
          <cell r="K43">
            <v>0.79837470449172576</v>
          </cell>
        </row>
        <row r="44">
          <cell r="G44">
            <v>580</v>
          </cell>
          <cell r="I44">
            <v>1.3105200945626476</v>
          </cell>
          <cell r="K44">
            <v>0.79837470449172576</v>
          </cell>
        </row>
        <row r="45">
          <cell r="G45">
            <v>610</v>
          </cell>
          <cell r="I45">
            <v>1.3105200945626476</v>
          </cell>
          <cell r="K45">
            <v>0.79837470449172576</v>
          </cell>
        </row>
        <row r="46">
          <cell r="G46">
            <v>640</v>
          </cell>
          <cell r="I46">
            <v>1.3105200945626476</v>
          </cell>
          <cell r="K46">
            <v>0.79837470449172576</v>
          </cell>
        </row>
        <row r="47">
          <cell r="G47">
            <v>610</v>
          </cell>
          <cell r="I47">
            <v>1.3105200945626476</v>
          </cell>
          <cell r="K47">
            <v>0.79837470449172576</v>
          </cell>
        </row>
        <row r="48">
          <cell r="G48">
            <v>640</v>
          </cell>
          <cell r="I48">
            <v>1.3105200945626476</v>
          </cell>
          <cell r="K48">
            <v>0.79837470449172576</v>
          </cell>
        </row>
        <row r="49">
          <cell r="G49">
            <v>610</v>
          </cell>
          <cell r="I49">
            <v>1.3105200945626476</v>
          </cell>
          <cell r="K49">
            <v>0.79837470449172576</v>
          </cell>
        </row>
      </sheetData>
      <sheetData sheetId="45">
        <row r="7">
          <cell r="G7">
            <v>580</v>
          </cell>
        </row>
        <row r="8">
          <cell r="G8">
            <v>680</v>
          </cell>
        </row>
        <row r="35">
          <cell r="G35">
            <v>610</v>
          </cell>
        </row>
        <row r="36">
          <cell r="G36">
            <v>680</v>
          </cell>
        </row>
        <row r="39">
          <cell r="G39">
            <v>580</v>
          </cell>
        </row>
      </sheetData>
      <sheetData sheetId="46">
        <row r="15">
          <cell r="G15">
            <v>550</v>
          </cell>
        </row>
        <row r="25">
          <cell r="G25">
            <v>550</v>
          </cell>
        </row>
        <row r="28">
          <cell r="G28">
            <v>560</v>
          </cell>
        </row>
        <row r="45">
          <cell r="G45">
            <v>580</v>
          </cell>
        </row>
      </sheetData>
      <sheetData sheetId="4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GÊNCIA MAIO 2021"/>
      <sheetName val="VIGÊNCIA JUNHO 2021"/>
      <sheetName val="VIGÊNCIA JULHO 2021"/>
      <sheetName val="VIGÊNCIA AGOSTO 2021"/>
      <sheetName val="VIGÊNCIA SETEMBRO 2021"/>
      <sheetName val="VIGÊNCIA OUTUBRO 2021"/>
      <sheetName val="VIGÊNCIA NOVEMBRO 2021"/>
      <sheetName val="VIGÊNCIA DEZEMBRO 2021"/>
      <sheetName val="VIGÊNCIA JANEIRO 2022"/>
      <sheetName val="VIGÊNCIA FEVEREIRO 2022"/>
      <sheetName val="VIGÊNCIA MARÇO 2022"/>
      <sheetName val="VIGÊNCIA ABRIL 2022"/>
      <sheetName val="VIGÊNCIA MAIO 2022"/>
      <sheetName val="VIGÊNCIA JUNHO 2022"/>
      <sheetName val="VIGÊNCIA JULHO 2022"/>
      <sheetName val="VIGÊNCIA AGOSTO 2022"/>
      <sheetName val="VIGÊNCIA SETEMBRO 2022"/>
      <sheetName val="VIGÊNCIA OUTUBRO 2022"/>
      <sheetName val="VIGÊNCIA NOVEMBRO 2022"/>
      <sheetName val="VIGÊNCIA DEZEMBRO 2022"/>
      <sheetName val="VIGÊNCIA JANEIRO 2023"/>
      <sheetName val="VIGÊNCIA FEVEREIRO 2023"/>
      <sheetName val="VIGÊNCIA MARÇO 2023"/>
      <sheetName val="VIGÊNCIA ABRIL 2023"/>
      <sheetName val="VIGÊNCIA MAIO 2023"/>
      <sheetName val="VIGÊNCIA JUNHO 2023"/>
      <sheetName val="VIGÊNCIA JULHO 2023"/>
      <sheetName val="VIGÊNCIA AGOSTO 2023"/>
      <sheetName val="VIGÊNCIA SETEMBRO 2023"/>
      <sheetName val="VIGÊNCIA OUTUBRO 2023"/>
      <sheetName val="VIGÊNCIA NOVEMBRO 2023"/>
      <sheetName val="VIGÊNCIA DEZEMBRO 2023"/>
      <sheetName val="VIGÊNCIA JANEIRO 2024"/>
      <sheetName val="VIGÊNCIA FEVEREIRO 2024"/>
      <sheetName val="VIGÊNCIA MARÇO 2024"/>
      <sheetName val="VIGÊNCIA ABRIL 2024"/>
      <sheetName val="VIGÊNCIA MAIO 2024"/>
      <sheetName val="VIGÊNCIA JUNHO 2024"/>
      <sheetName val="VIGÊNCIA JULHO 2024"/>
      <sheetName val="VIGÊNCIA AGOSTO 2024"/>
      <sheetName val="VIGÊNCIA SETEMBRO 2024"/>
      <sheetName val="VIGÊNCIA OUTUBRO 2024"/>
      <sheetName val="VIGÊNCIA NOVEMBRO 2024"/>
      <sheetName val="VIGÊNCIA DEZEMBRO 2024"/>
      <sheetName val="VIGÊNCIA JANEIRO 2025"/>
      <sheetName val="VIGÊNCIA FEVEREIRO 2025"/>
      <sheetName val="MAR 25"/>
      <sheetName val="ABR 25"/>
      <sheetName val="MAI 25"/>
      <sheetName val="JUN 25"/>
      <sheetName val="JUL 25"/>
      <sheetName val="AGO 25"/>
      <sheetName val="SET 25"/>
      <sheetName val="OUT 25"/>
      <sheetName val="NOV 25"/>
      <sheetName val="DEZ 25"/>
      <sheetName val="JAN 26"/>
      <sheetName val="FEV 26"/>
      <sheetName val="MAR 26"/>
      <sheetName val="GERAL 2026"/>
      <sheetName val="GERAL 2025"/>
      <sheetName val="GERAL 2024"/>
      <sheetName val="GERAL 2023"/>
      <sheetName val="GERAL 2022"/>
      <sheetName val="GERAL 20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3">
          <cell r="I3">
            <v>1.4318262411347515</v>
          </cell>
        </row>
        <row r="4">
          <cell r="I4">
            <v>1.4318262411347515</v>
          </cell>
        </row>
        <row r="6">
          <cell r="I6">
            <v>1.4318262411347515</v>
          </cell>
        </row>
        <row r="7">
          <cell r="I7">
            <v>1.4318262411347515</v>
          </cell>
        </row>
        <row r="8">
          <cell r="I8">
            <v>2.0045567375886524</v>
          </cell>
        </row>
        <row r="9">
          <cell r="I9">
            <v>1.4318262411347515</v>
          </cell>
        </row>
        <row r="10">
          <cell r="I10">
            <v>1.4318262411347515</v>
          </cell>
        </row>
        <row r="11">
          <cell r="I11">
            <v>1.4318262411347515</v>
          </cell>
        </row>
        <row r="12">
          <cell r="I12">
            <v>1.4318262411347515</v>
          </cell>
        </row>
        <row r="13">
          <cell r="I13">
            <v>1.4318262411347515</v>
          </cell>
        </row>
        <row r="14">
          <cell r="I14">
            <v>1.4318262411347515</v>
          </cell>
        </row>
        <row r="15">
          <cell r="I15">
            <v>1.4318262411347515</v>
          </cell>
        </row>
        <row r="16">
          <cell r="I16">
            <v>1.4318262411347515</v>
          </cell>
        </row>
        <row r="17">
          <cell r="I17">
            <v>2.0045567375886524</v>
          </cell>
        </row>
        <row r="18">
          <cell r="I18">
            <v>1.4318262411347515</v>
          </cell>
        </row>
        <row r="19">
          <cell r="I19">
            <v>1.4318262411347515</v>
          </cell>
        </row>
        <row r="20">
          <cell r="I20">
            <v>1.4318262411347515</v>
          </cell>
        </row>
        <row r="21">
          <cell r="I21">
            <v>1.4318262411347515</v>
          </cell>
        </row>
        <row r="22">
          <cell r="I22">
            <v>1.4318262411347515</v>
          </cell>
        </row>
        <row r="23">
          <cell r="I23">
            <v>1.4318262411347515</v>
          </cell>
        </row>
        <row r="24">
          <cell r="I24">
            <v>1.4318262411347515</v>
          </cell>
        </row>
        <row r="25">
          <cell r="I25">
            <v>1.4318262411347515</v>
          </cell>
        </row>
        <row r="26">
          <cell r="I26">
            <v>2.0045567375886524</v>
          </cell>
        </row>
        <row r="27">
          <cell r="I27">
            <v>1.4318262411347515</v>
          </cell>
        </row>
        <row r="28">
          <cell r="I28">
            <v>1.4318262411347515</v>
          </cell>
        </row>
        <row r="29">
          <cell r="I29">
            <v>1.4318262411347515</v>
          </cell>
        </row>
        <row r="34">
          <cell r="I34">
            <v>1.4318262411347515</v>
          </cell>
        </row>
      </sheetData>
      <sheetData sheetId="60">
        <row r="3">
          <cell r="G3">
            <v>610</v>
          </cell>
          <cell r="I3">
            <v>1.3720449172576832</v>
          </cell>
        </row>
        <row r="4">
          <cell r="I4">
            <v>1.3720449172576832</v>
          </cell>
        </row>
        <row r="5">
          <cell r="G5">
            <v>610</v>
          </cell>
          <cell r="I5">
            <v>1.3720449172576832</v>
          </cell>
        </row>
        <row r="7">
          <cell r="I7">
            <v>1.3720449172576832</v>
          </cell>
        </row>
        <row r="8">
          <cell r="I8">
            <v>1.9208628841607567</v>
          </cell>
        </row>
        <row r="9">
          <cell r="I9">
            <v>1.3720449172576832</v>
          </cell>
        </row>
        <row r="10">
          <cell r="G10">
            <v>640</v>
          </cell>
          <cell r="I10">
            <v>1.3720449172576832</v>
          </cell>
        </row>
        <row r="11">
          <cell r="I11">
            <v>1.3720449172576832</v>
          </cell>
        </row>
        <row r="12">
          <cell r="G12">
            <v>550</v>
          </cell>
          <cell r="I12">
            <v>1.3720449172576832</v>
          </cell>
        </row>
        <row r="13">
          <cell r="I13">
            <v>1.3720449172576832</v>
          </cell>
        </row>
        <row r="14">
          <cell r="G14">
            <v>610</v>
          </cell>
          <cell r="I14">
            <v>1.3720449172576832</v>
          </cell>
        </row>
        <row r="15">
          <cell r="I15">
            <v>1.3720449172576832</v>
          </cell>
        </row>
        <row r="16">
          <cell r="I16">
            <v>1.3720449172576832</v>
          </cell>
        </row>
        <row r="17">
          <cell r="I17">
            <v>1.9208628841607567</v>
          </cell>
        </row>
        <row r="18">
          <cell r="I18">
            <v>1.3720449172576832</v>
          </cell>
        </row>
        <row r="19">
          <cell r="I19">
            <v>1.3720449172576832</v>
          </cell>
        </row>
        <row r="20">
          <cell r="I20">
            <v>1.3720449172576832</v>
          </cell>
        </row>
        <row r="21">
          <cell r="I21">
            <v>1.3720449172576832</v>
          </cell>
        </row>
        <row r="22">
          <cell r="I22">
            <v>1.3720449172576832</v>
          </cell>
        </row>
        <row r="23">
          <cell r="I23">
            <v>1.3720449172576832</v>
          </cell>
        </row>
        <row r="24">
          <cell r="I24">
            <v>1.3720449172576832</v>
          </cell>
        </row>
        <row r="25">
          <cell r="I25">
            <v>1.3720449172576832</v>
          </cell>
        </row>
        <row r="27">
          <cell r="I27">
            <v>1.3720449172576832</v>
          </cell>
        </row>
        <row r="28">
          <cell r="I28">
            <v>1.3720449172576832</v>
          </cell>
        </row>
        <row r="29">
          <cell r="I29">
            <v>1.3720449172576832</v>
          </cell>
        </row>
        <row r="34">
          <cell r="G34">
            <v>660</v>
          </cell>
          <cell r="I34">
            <v>1.3720449172576832</v>
          </cell>
        </row>
        <row r="35">
          <cell r="G35">
            <v>690</v>
          </cell>
          <cell r="I35">
            <v>1.3720449172576832</v>
          </cell>
        </row>
        <row r="36">
          <cell r="I36">
            <v>1.9208628841607567</v>
          </cell>
        </row>
        <row r="37">
          <cell r="I37">
            <v>1.3720449172576832</v>
          </cell>
        </row>
        <row r="38">
          <cell r="I38">
            <v>1.3720449172576832</v>
          </cell>
        </row>
        <row r="39">
          <cell r="I39">
            <v>1.3720449172576832</v>
          </cell>
        </row>
        <row r="40">
          <cell r="I40">
            <v>1.3720449172576832</v>
          </cell>
        </row>
        <row r="41">
          <cell r="I41">
            <v>1.3720449172576832</v>
          </cell>
        </row>
        <row r="42">
          <cell r="I42">
            <v>1.3720449172576832</v>
          </cell>
        </row>
        <row r="43">
          <cell r="I43">
            <v>1.3720449172576832</v>
          </cell>
        </row>
      </sheetData>
      <sheetData sheetId="61">
        <row r="36">
          <cell r="G36">
            <v>780</v>
          </cell>
        </row>
        <row r="38">
          <cell r="G38">
            <v>610</v>
          </cell>
        </row>
        <row r="39">
          <cell r="G39">
            <v>610</v>
          </cell>
        </row>
        <row r="40">
          <cell r="G40">
            <v>640</v>
          </cell>
        </row>
        <row r="41">
          <cell r="G41">
            <v>610</v>
          </cell>
        </row>
        <row r="42">
          <cell r="G42">
            <v>610</v>
          </cell>
        </row>
        <row r="43">
          <cell r="G43">
            <v>640</v>
          </cell>
        </row>
        <row r="44">
          <cell r="G44">
            <v>580</v>
          </cell>
        </row>
        <row r="45">
          <cell r="G45">
            <v>610</v>
          </cell>
        </row>
        <row r="46">
          <cell r="G46">
            <v>640</v>
          </cell>
        </row>
        <row r="48">
          <cell r="G48">
            <v>640</v>
          </cell>
        </row>
        <row r="49">
          <cell r="G49">
            <v>610</v>
          </cell>
        </row>
      </sheetData>
      <sheetData sheetId="62">
        <row r="7">
          <cell r="G7">
            <v>580</v>
          </cell>
        </row>
        <row r="8">
          <cell r="G8">
            <v>680</v>
          </cell>
        </row>
        <row r="35">
          <cell r="G35">
            <v>610</v>
          </cell>
        </row>
        <row r="36">
          <cell r="G36">
            <v>680</v>
          </cell>
        </row>
        <row r="39">
          <cell r="G39">
            <v>580</v>
          </cell>
        </row>
      </sheetData>
      <sheetData sheetId="63">
        <row r="15">
          <cell r="G15">
            <v>550</v>
          </cell>
        </row>
        <row r="25">
          <cell r="G25">
            <v>550</v>
          </cell>
        </row>
        <row r="28">
          <cell r="G28">
            <v>560</v>
          </cell>
        </row>
        <row r="45">
          <cell r="G45">
            <v>580</v>
          </cell>
        </row>
      </sheetData>
      <sheetData sheetId="6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BF1048576"/>
  <sheetViews>
    <sheetView zoomScale="60" zoomScaleNormal="60" workbookViewId="0">
      <selection activeCell="A27" sqref="A27:XFD27"/>
    </sheetView>
  </sheetViews>
  <sheetFormatPr defaultColWidth="9.109375" defaultRowHeight="13.8" x14ac:dyDescent="0.3"/>
  <cols>
    <col min="1" max="1" width="19.88671875" style="29" bestFit="1" customWidth="1"/>
    <col min="2" max="2" width="11.5546875" style="29" customWidth="1"/>
    <col min="3" max="3" width="19" style="29" bestFit="1" customWidth="1"/>
    <col min="4" max="4" width="16.88671875" style="29" bestFit="1" customWidth="1"/>
    <col min="5" max="5" width="18.5546875" style="29" bestFit="1" customWidth="1"/>
    <col min="6" max="6" width="17.6640625" style="29" bestFit="1" customWidth="1"/>
    <col min="7" max="7" width="17.33203125" style="29" customWidth="1"/>
    <col min="8" max="8" width="17.109375" style="29" customWidth="1"/>
    <col min="9" max="9" width="18.109375" style="31" bestFit="1" customWidth="1"/>
    <col min="10" max="11" width="18.109375" style="31" customWidth="1"/>
    <col min="12" max="12" width="135.44140625" style="31" customWidth="1"/>
    <col min="13" max="13" width="8.88671875" style="31" bestFit="1" customWidth="1"/>
    <col min="14" max="14" width="19" style="29" bestFit="1" customWidth="1"/>
    <col min="15" max="15" width="10.5546875" style="22" bestFit="1" customWidth="1"/>
    <col min="16" max="45" width="9.109375" style="22"/>
    <col min="46" max="47" width="9.109375" style="32"/>
    <col min="48" max="16384" width="9.109375" style="29"/>
  </cols>
  <sheetData>
    <row r="1" spans="1:47" s="10" customFormat="1" x14ac:dyDescent="0.3">
      <c r="A1" s="521" t="s">
        <v>91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47" s="11" customFormat="1" ht="27.6" x14ac:dyDescent="0.3">
      <c r="A2" s="83" t="s">
        <v>3</v>
      </c>
      <c r="B2" s="83" t="s">
        <v>0</v>
      </c>
      <c r="C2" s="84" t="s">
        <v>1</v>
      </c>
      <c r="D2" s="84" t="s">
        <v>68</v>
      </c>
      <c r="E2" s="84" t="s">
        <v>69</v>
      </c>
      <c r="F2" s="85" t="s">
        <v>2</v>
      </c>
      <c r="G2" s="84" t="s">
        <v>6</v>
      </c>
      <c r="H2" s="84" t="s">
        <v>7</v>
      </c>
      <c r="I2" s="84" t="s">
        <v>4</v>
      </c>
      <c r="J2" s="84" t="s">
        <v>5</v>
      </c>
      <c r="K2" s="84" t="s">
        <v>70</v>
      </c>
      <c r="L2" s="83" t="s">
        <v>59</v>
      </c>
      <c r="M2" s="86" t="s">
        <v>8</v>
      </c>
      <c r="N2" s="86" t="s">
        <v>10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</row>
    <row r="3" spans="1:47" s="15" customFormat="1" x14ac:dyDescent="0.3">
      <c r="A3" s="88"/>
      <c r="B3" s="90">
        <v>1</v>
      </c>
      <c r="C3" s="2"/>
      <c r="D3" s="2"/>
      <c r="E3" s="2"/>
      <c r="F3" s="5"/>
      <c r="G3" s="2"/>
      <c r="H3" s="2"/>
      <c r="I3" s="109"/>
      <c r="J3" s="2"/>
      <c r="K3" s="2"/>
      <c r="L3" s="90"/>
      <c r="M3" s="3"/>
      <c r="N3" s="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</row>
    <row r="4" spans="1:47" s="50" customFormat="1" x14ac:dyDescent="0.3">
      <c r="A4" s="90"/>
      <c r="B4" s="4">
        <v>2</v>
      </c>
      <c r="C4" s="5"/>
      <c r="D4" s="5"/>
      <c r="E4" s="5"/>
      <c r="F4" s="5"/>
      <c r="G4" s="5"/>
      <c r="H4" s="5"/>
      <c r="I4" s="109"/>
      <c r="J4" s="2"/>
      <c r="K4" s="2"/>
      <c r="L4" s="90"/>
      <c r="M4" s="3"/>
      <c r="N4" s="3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16"/>
      <c r="AK4" s="17"/>
      <c r="AL4" s="17"/>
      <c r="AM4" s="17"/>
      <c r="AN4" s="17"/>
      <c r="AO4" s="96"/>
      <c r="AP4" s="96"/>
      <c r="AQ4" s="96"/>
      <c r="AR4" s="96"/>
      <c r="AS4" s="96"/>
      <c r="AT4" s="96"/>
      <c r="AU4" s="96"/>
    </row>
    <row r="5" spans="1:47" s="73" customFormat="1" x14ac:dyDescent="0.3">
      <c r="A5" s="12"/>
      <c r="B5" s="4">
        <v>3</v>
      </c>
      <c r="C5" s="5"/>
      <c r="D5" s="5"/>
      <c r="E5" s="5"/>
      <c r="F5" s="5"/>
      <c r="G5" s="5"/>
      <c r="H5" s="5"/>
      <c r="I5" s="109"/>
      <c r="J5" s="2"/>
      <c r="K5" s="2"/>
      <c r="L5" s="90"/>
      <c r="M5" s="3"/>
      <c r="N5" s="13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6"/>
      <c r="AP5" s="6"/>
      <c r="AQ5" s="6"/>
      <c r="AR5" s="6"/>
      <c r="AS5" s="6"/>
      <c r="AT5" s="6"/>
      <c r="AU5" s="6"/>
    </row>
    <row r="6" spans="1:47" s="51" customFormat="1" x14ac:dyDescent="0.3">
      <c r="A6" s="90"/>
      <c r="B6" s="90">
        <v>4</v>
      </c>
      <c r="C6" s="1"/>
      <c r="D6" s="1"/>
      <c r="E6" s="1"/>
      <c r="F6" s="2"/>
      <c r="G6" s="1"/>
      <c r="H6" s="1"/>
      <c r="I6" s="111"/>
      <c r="J6" s="2"/>
      <c r="K6" s="2"/>
      <c r="L6" s="90"/>
      <c r="M6" s="3"/>
      <c r="N6" s="67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15"/>
      <c r="AP6" s="15"/>
      <c r="AQ6" s="15"/>
      <c r="AR6" s="15"/>
      <c r="AS6" s="15"/>
      <c r="AT6" s="15"/>
      <c r="AU6" s="15"/>
    </row>
    <row r="7" spans="1:47" s="51" customFormat="1" ht="15.75" customHeight="1" x14ac:dyDescent="0.3">
      <c r="A7" s="90"/>
      <c r="B7" s="90">
        <v>5</v>
      </c>
      <c r="C7" s="2"/>
      <c r="D7" s="2"/>
      <c r="E7" s="2"/>
      <c r="F7" s="2"/>
      <c r="G7" s="2"/>
      <c r="H7" s="2"/>
      <c r="I7" s="109"/>
      <c r="J7" s="2"/>
      <c r="K7" s="2"/>
      <c r="L7" s="90"/>
      <c r="M7" s="3"/>
      <c r="N7" s="3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15"/>
      <c r="AP7" s="15"/>
      <c r="AQ7" s="15"/>
      <c r="AR7" s="15"/>
      <c r="AS7" s="15"/>
      <c r="AT7" s="15"/>
      <c r="AU7" s="15"/>
    </row>
    <row r="8" spans="1:47" s="52" customFormat="1" x14ac:dyDescent="0.3">
      <c r="A8" s="90"/>
      <c r="B8" s="90">
        <v>6</v>
      </c>
      <c r="C8" s="5"/>
      <c r="D8" s="5"/>
      <c r="E8" s="5"/>
      <c r="F8" s="2"/>
      <c r="G8" s="2"/>
      <c r="H8" s="2"/>
      <c r="I8" s="109"/>
      <c r="J8" s="2"/>
      <c r="K8" s="2"/>
      <c r="L8" s="90"/>
      <c r="M8" s="3"/>
      <c r="N8" s="3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</row>
    <row r="9" spans="1:47" s="51" customFormat="1" ht="14.25" customHeight="1" x14ac:dyDescent="0.3">
      <c r="A9" s="90"/>
      <c r="B9" s="90">
        <v>7</v>
      </c>
      <c r="C9" s="2"/>
      <c r="D9" s="2"/>
      <c r="E9" s="5"/>
      <c r="F9" s="2"/>
      <c r="G9" s="2"/>
      <c r="H9" s="2"/>
      <c r="I9" s="109"/>
      <c r="J9" s="2"/>
      <c r="K9" s="2"/>
      <c r="L9" s="90"/>
      <c r="M9" s="3"/>
      <c r="N9" s="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15"/>
      <c r="AP9" s="15"/>
      <c r="AQ9" s="15"/>
      <c r="AR9" s="15"/>
      <c r="AS9" s="15"/>
      <c r="AT9" s="15"/>
      <c r="AU9" s="15"/>
    </row>
    <row r="10" spans="1:47" s="51" customFormat="1" x14ac:dyDescent="0.3">
      <c r="A10" s="90"/>
      <c r="B10" s="90">
        <v>8</v>
      </c>
      <c r="C10" s="2"/>
      <c r="D10" s="2"/>
      <c r="E10" s="5"/>
      <c r="F10" s="2"/>
      <c r="G10" s="2"/>
      <c r="H10" s="2"/>
      <c r="I10" s="109"/>
      <c r="J10" s="2"/>
      <c r="K10" s="2"/>
      <c r="L10" s="90"/>
      <c r="M10" s="3"/>
      <c r="N10" s="3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15"/>
      <c r="AP10" s="15"/>
      <c r="AQ10" s="15"/>
      <c r="AR10" s="15"/>
      <c r="AS10" s="15"/>
      <c r="AT10" s="15"/>
      <c r="AU10" s="15"/>
    </row>
    <row r="11" spans="1:47" s="51" customFormat="1" ht="15.75" customHeight="1" x14ac:dyDescent="0.3">
      <c r="A11" s="90"/>
      <c r="B11" s="90">
        <v>9</v>
      </c>
      <c r="C11" s="2"/>
      <c r="D11" s="2"/>
      <c r="E11" s="5"/>
      <c r="F11" s="2"/>
      <c r="G11" s="2"/>
      <c r="H11" s="2"/>
      <c r="I11" s="109"/>
      <c r="J11" s="2"/>
      <c r="K11" s="2"/>
      <c r="L11" s="90"/>
      <c r="M11" s="3"/>
      <c r="N11" s="3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15"/>
      <c r="AP11" s="15"/>
      <c r="AQ11" s="15"/>
      <c r="AR11" s="15"/>
      <c r="AS11" s="15"/>
      <c r="AT11" s="15"/>
      <c r="AU11" s="15"/>
    </row>
    <row r="12" spans="1:47" s="32" customFormat="1" x14ac:dyDescent="0.3">
      <c r="A12" s="67" t="s">
        <v>92</v>
      </c>
      <c r="B12" s="67">
        <v>10</v>
      </c>
      <c r="C12" s="2">
        <v>600</v>
      </c>
      <c r="D12" s="2">
        <f>10%*C12</f>
        <v>60</v>
      </c>
      <c r="E12" s="5">
        <f>C12-D12</f>
        <v>540</v>
      </c>
      <c r="F12" s="2">
        <v>0</v>
      </c>
      <c r="G12" s="2">
        <f>B52</f>
        <v>8.5683215130023633</v>
      </c>
      <c r="H12" s="2">
        <v>0</v>
      </c>
      <c r="I12" s="109">
        <f>SUM(E12:H12)</f>
        <v>548.56832151300239</v>
      </c>
      <c r="J12" s="2">
        <f>I12*7%</f>
        <v>38.399782505910174</v>
      </c>
      <c r="K12" s="2">
        <f>I12-J12</f>
        <v>510.16853900709219</v>
      </c>
      <c r="L12" s="47" t="s">
        <v>93</v>
      </c>
      <c r="M12" s="3">
        <v>10</v>
      </c>
      <c r="N12" s="67">
        <v>11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69"/>
      <c r="AU12" s="69"/>
    </row>
    <row r="13" spans="1:47" s="32" customFormat="1" x14ac:dyDescent="0.3">
      <c r="A13" s="67"/>
      <c r="B13" s="67">
        <v>11</v>
      </c>
      <c r="C13" s="2"/>
      <c r="D13" s="2"/>
      <c r="E13" s="5"/>
      <c r="F13" s="2"/>
      <c r="G13" s="2"/>
      <c r="H13" s="2"/>
      <c r="I13" s="109"/>
      <c r="J13" s="2"/>
      <c r="K13" s="2"/>
      <c r="L13" s="47"/>
      <c r="M13" s="3"/>
      <c r="N13" s="67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69"/>
      <c r="AU13" s="69"/>
    </row>
    <row r="14" spans="1:47" s="51" customFormat="1" x14ac:dyDescent="0.3">
      <c r="A14" s="90"/>
      <c r="B14" s="90">
        <v>12</v>
      </c>
      <c r="C14" s="2"/>
      <c r="D14" s="2"/>
      <c r="E14" s="5"/>
      <c r="F14" s="5"/>
      <c r="G14" s="5"/>
      <c r="H14" s="5"/>
      <c r="I14" s="109"/>
      <c r="J14" s="2"/>
      <c r="K14" s="2"/>
      <c r="L14" s="90"/>
      <c r="M14" s="3"/>
      <c r="N14" s="3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15"/>
      <c r="AP14" s="15"/>
      <c r="AQ14" s="15"/>
      <c r="AR14" s="15"/>
      <c r="AS14" s="15"/>
      <c r="AT14" s="15"/>
      <c r="AU14" s="15"/>
    </row>
    <row r="15" spans="1:47" s="32" customFormat="1" x14ac:dyDescent="0.3">
      <c r="A15" s="67"/>
      <c r="B15" s="67">
        <v>13</v>
      </c>
      <c r="C15" s="2"/>
      <c r="D15" s="2"/>
      <c r="E15" s="5"/>
      <c r="F15" s="2"/>
      <c r="G15" s="2"/>
      <c r="H15" s="2"/>
      <c r="I15" s="109"/>
      <c r="J15" s="2"/>
      <c r="K15" s="2"/>
      <c r="L15" s="90"/>
      <c r="M15" s="3"/>
      <c r="N15" s="67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69"/>
      <c r="AU15" s="69"/>
    </row>
    <row r="16" spans="1:47" s="32" customFormat="1" x14ac:dyDescent="0.3">
      <c r="A16" s="67"/>
      <c r="B16" s="67">
        <v>15</v>
      </c>
      <c r="C16" s="2"/>
      <c r="D16" s="2"/>
      <c r="E16" s="5"/>
      <c r="F16" s="2"/>
      <c r="G16" s="2"/>
      <c r="H16" s="2"/>
      <c r="I16" s="109"/>
      <c r="J16" s="2"/>
      <c r="K16" s="2"/>
      <c r="L16" s="90"/>
      <c r="M16" s="3"/>
      <c r="N16" s="67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69"/>
      <c r="AU16" s="69"/>
    </row>
    <row r="17" spans="1:58" s="11" customFormat="1" ht="14.25" customHeight="1" x14ac:dyDescent="0.3">
      <c r="A17" s="90"/>
      <c r="B17" s="90">
        <v>15</v>
      </c>
      <c r="C17" s="41"/>
      <c r="D17" s="53"/>
      <c r="E17" s="53"/>
      <c r="F17" s="53"/>
      <c r="G17" s="53"/>
      <c r="H17" s="53"/>
      <c r="I17" s="109"/>
      <c r="J17" s="2"/>
      <c r="K17" s="2"/>
      <c r="L17" s="90"/>
      <c r="M17" s="3"/>
      <c r="N17" s="3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10"/>
      <c r="AH17" s="10"/>
      <c r="AI17" s="10"/>
      <c r="AJ17" s="10"/>
      <c r="AK17" s="10"/>
      <c r="AL17" s="10"/>
    </row>
    <row r="18" spans="1:58" s="52" customFormat="1" x14ac:dyDescent="0.3">
      <c r="A18" s="3"/>
      <c r="B18" s="3">
        <v>16</v>
      </c>
      <c r="C18" s="2"/>
      <c r="D18" s="2"/>
      <c r="E18" s="5"/>
      <c r="F18" s="2"/>
      <c r="G18" s="2"/>
      <c r="H18" s="2"/>
      <c r="I18" s="109"/>
      <c r="J18" s="2"/>
      <c r="K18" s="2"/>
      <c r="L18" s="90"/>
      <c r="M18" s="3"/>
      <c r="N18" s="3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1"/>
      <c r="AP18" s="11"/>
      <c r="AQ18" s="11"/>
      <c r="AR18" s="11"/>
      <c r="AS18" s="11"/>
      <c r="AT18" s="11"/>
      <c r="AU18" s="11"/>
    </row>
    <row r="19" spans="1:58" s="52" customFormat="1" x14ac:dyDescent="0.3">
      <c r="A19" s="88"/>
      <c r="B19" s="88">
        <v>17</v>
      </c>
      <c r="C19" s="2"/>
      <c r="D19" s="2"/>
      <c r="E19" s="5"/>
      <c r="F19" s="2"/>
      <c r="G19" s="2"/>
      <c r="H19" s="2"/>
      <c r="I19" s="109"/>
      <c r="J19" s="2"/>
      <c r="K19" s="2"/>
      <c r="L19" s="90"/>
      <c r="M19" s="3"/>
      <c r="N19" s="3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1"/>
      <c r="AP19" s="11"/>
      <c r="AQ19" s="11"/>
      <c r="AR19" s="11"/>
      <c r="AS19" s="11"/>
      <c r="AT19" s="11"/>
      <c r="AU19" s="11"/>
    </row>
    <row r="20" spans="1:58" s="52" customFormat="1" ht="14.25" customHeight="1" x14ac:dyDescent="0.3">
      <c r="A20" s="88"/>
      <c r="B20" s="90">
        <v>18</v>
      </c>
      <c r="C20" s="2"/>
      <c r="D20" s="2"/>
      <c r="E20" s="5"/>
      <c r="F20" s="2"/>
      <c r="G20" s="2"/>
      <c r="H20" s="2"/>
      <c r="I20" s="109"/>
      <c r="J20" s="2"/>
      <c r="K20" s="2"/>
      <c r="L20" s="90"/>
      <c r="M20" s="3"/>
      <c r="N20" s="3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1"/>
      <c r="AP20" s="11"/>
      <c r="AQ20" s="11"/>
      <c r="AR20" s="11"/>
      <c r="AS20" s="11"/>
      <c r="AT20" s="11"/>
      <c r="AU20" s="11"/>
    </row>
    <row r="21" spans="1:58" s="18" customFormat="1" x14ac:dyDescent="0.3">
      <c r="A21" s="95"/>
      <c r="B21" s="90">
        <v>19</v>
      </c>
      <c r="C21" s="2"/>
      <c r="D21" s="2"/>
      <c r="E21" s="5"/>
      <c r="F21" s="2"/>
      <c r="G21" s="2"/>
      <c r="H21" s="2"/>
      <c r="I21" s="109"/>
      <c r="J21" s="2"/>
      <c r="K21" s="2"/>
      <c r="L21" s="90"/>
      <c r="M21" s="3"/>
      <c r="N21" s="3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1"/>
      <c r="AP21" s="11"/>
      <c r="AQ21" s="11"/>
      <c r="AR21" s="11"/>
      <c r="AS21" s="11"/>
      <c r="AT21" s="11"/>
      <c r="AU21" s="11"/>
    </row>
    <row r="22" spans="1:58" s="52" customFormat="1" x14ac:dyDescent="0.3">
      <c r="A22" s="88"/>
      <c r="B22" s="90">
        <v>20</v>
      </c>
      <c r="C22" s="2"/>
      <c r="D22" s="2"/>
      <c r="E22" s="5"/>
      <c r="F22" s="2"/>
      <c r="G22" s="2"/>
      <c r="H22" s="2"/>
      <c r="I22" s="109"/>
      <c r="J22" s="2"/>
      <c r="K22" s="2"/>
      <c r="L22" s="90"/>
      <c r="M22" s="3"/>
      <c r="N22" s="3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1"/>
      <c r="AP22" s="11"/>
      <c r="AQ22" s="11"/>
      <c r="AR22" s="11"/>
      <c r="AS22" s="11"/>
      <c r="AT22" s="11"/>
      <c r="AU22" s="11"/>
    </row>
    <row r="23" spans="1:58" s="52" customFormat="1" ht="15" customHeight="1" x14ac:dyDescent="0.3">
      <c r="A23" s="88"/>
      <c r="B23" s="90">
        <v>21</v>
      </c>
      <c r="C23" s="2"/>
      <c r="D23" s="2"/>
      <c r="E23" s="5"/>
      <c r="F23" s="2"/>
      <c r="G23" s="2"/>
      <c r="H23" s="2"/>
      <c r="I23" s="109"/>
      <c r="J23" s="2"/>
      <c r="K23" s="2"/>
      <c r="L23" s="90"/>
      <c r="M23" s="3"/>
      <c r="N23" s="3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1"/>
      <c r="AP23" s="11"/>
      <c r="AQ23" s="11"/>
      <c r="AR23" s="11"/>
      <c r="AS23" s="11"/>
      <c r="AT23" s="11"/>
      <c r="AU23" s="11"/>
    </row>
    <row r="24" spans="1:58" s="52" customFormat="1" ht="15.75" customHeight="1" x14ac:dyDescent="0.3">
      <c r="A24" s="88"/>
      <c r="B24" s="90">
        <v>22</v>
      </c>
      <c r="C24" s="2"/>
      <c r="D24" s="2"/>
      <c r="E24" s="5"/>
      <c r="F24" s="2"/>
      <c r="G24" s="2"/>
      <c r="H24" s="2"/>
      <c r="I24" s="109"/>
      <c r="J24" s="2"/>
      <c r="K24" s="2"/>
      <c r="L24" s="90"/>
      <c r="M24" s="3"/>
      <c r="N24" s="3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1"/>
      <c r="AP24" s="11"/>
      <c r="AQ24" s="11"/>
      <c r="AR24" s="11"/>
      <c r="AS24" s="11"/>
      <c r="AT24" s="11"/>
      <c r="AU24" s="11"/>
    </row>
    <row r="25" spans="1:58" s="52" customFormat="1" x14ac:dyDescent="0.3">
      <c r="A25" s="88"/>
      <c r="B25" s="90">
        <v>23</v>
      </c>
      <c r="C25" s="2"/>
      <c r="D25" s="2"/>
      <c r="E25" s="5"/>
      <c r="F25" s="2"/>
      <c r="G25" s="2"/>
      <c r="H25" s="2"/>
      <c r="I25" s="109"/>
      <c r="J25" s="2"/>
      <c r="K25" s="2"/>
      <c r="L25" s="90"/>
      <c r="M25" s="3"/>
      <c r="N25" s="3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1"/>
      <c r="AP25" s="11"/>
      <c r="AQ25" s="11"/>
      <c r="AR25" s="11"/>
      <c r="AS25" s="11"/>
      <c r="AT25" s="11"/>
      <c r="AU25" s="11"/>
    </row>
    <row r="26" spans="1:58" s="52" customFormat="1" x14ac:dyDescent="0.3">
      <c r="A26" s="88"/>
      <c r="B26" s="90">
        <v>24</v>
      </c>
      <c r="C26" s="2"/>
      <c r="D26" s="2"/>
      <c r="E26" s="5"/>
      <c r="F26" s="2"/>
      <c r="G26" s="2"/>
      <c r="H26" s="2"/>
      <c r="I26" s="109"/>
      <c r="J26" s="2"/>
      <c r="K26" s="2"/>
      <c r="L26" s="90"/>
      <c r="M26" s="98"/>
      <c r="N26" s="3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1"/>
      <c r="AP26" s="11"/>
      <c r="AQ26" s="11"/>
      <c r="AR26" s="11"/>
      <c r="AS26" s="11"/>
      <c r="AT26" s="11"/>
      <c r="AU26" s="11"/>
    </row>
    <row r="27" spans="1:58" s="52" customFormat="1" ht="41.25" customHeight="1" x14ac:dyDescent="0.3">
      <c r="A27" s="11" t="s">
        <v>87</v>
      </c>
      <c r="B27" s="90">
        <v>25</v>
      </c>
      <c r="C27" s="2">
        <f>704/31*3</f>
        <v>68.129032258064512</v>
      </c>
      <c r="D27" s="2">
        <f>10%*C27</f>
        <v>6.8129032258064512</v>
      </c>
      <c r="E27" s="5">
        <f>C27-D27</f>
        <v>61.316129032258061</v>
      </c>
      <c r="F27" s="2">
        <f>30/31*3</f>
        <v>2.903225806451613</v>
      </c>
      <c r="G27" s="2">
        <f>D82</f>
        <v>8.5683215130023633</v>
      </c>
      <c r="H27" s="2">
        <v>0</v>
      </c>
      <c r="I27" s="109">
        <f>SUM(E27:H27)</f>
        <v>72.787676351712037</v>
      </c>
      <c r="J27" s="2">
        <f>7%*I27</f>
        <v>5.0951373446198431</v>
      </c>
      <c r="K27" s="2">
        <f>I27-J27</f>
        <v>67.692539007092194</v>
      </c>
      <c r="L27" s="71" t="s">
        <v>90</v>
      </c>
      <c r="M27" s="98">
        <v>10</v>
      </c>
      <c r="N27" s="3">
        <v>11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1"/>
      <c r="AP27" s="11"/>
      <c r="AQ27" s="11"/>
      <c r="AR27" s="11"/>
      <c r="AS27" s="11"/>
      <c r="AT27" s="11"/>
      <c r="AU27" s="11"/>
    </row>
    <row r="28" spans="1:58" s="52" customFormat="1" ht="41.25" customHeight="1" x14ac:dyDescent="0.3">
      <c r="A28" s="88"/>
      <c r="B28" s="90">
        <v>26</v>
      </c>
      <c r="C28" s="72"/>
      <c r="D28" s="72"/>
      <c r="E28" s="5"/>
      <c r="F28" s="72"/>
      <c r="G28" s="72"/>
      <c r="H28" s="72"/>
      <c r="I28" s="112"/>
      <c r="J28" s="72"/>
      <c r="K28" s="72"/>
      <c r="L28" s="71"/>
      <c r="M28" s="98"/>
      <c r="N28" s="3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1"/>
      <c r="AP28" s="11"/>
      <c r="AQ28" s="11"/>
      <c r="AR28" s="11"/>
      <c r="AS28" s="11"/>
      <c r="AT28" s="11"/>
      <c r="AU28" s="11"/>
    </row>
    <row r="29" spans="1:58" s="52" customFormat="1" x14ac:dyDescent="0.3">
      <c r="A29" s="88" t="s">
        <v>86</v>
      </c>
      <c r="B29" s="90">
        <v>27</v>
      </c>
      <c r="C29" s="72">
        <f>650/31*18</f>
        <v>377.41935483870969</v>
      </c>
      <c r="D29" s="72">
        <f>10%*C29</f>
        <v>37.741935483870968</v>
      </c>
      <c r="E29" s="5">
        <f>C29-D29</f>
        <v>339.67741935483872</v>
      </c>
      <c r="F29" s="72">
        <f>60/31*18</f>
        <v>34.838709677419359</v>
      </c>
      <c r="G29" s="72">
        <f>D86</f>
        <v>8.5683215130023633</v>
      </c>
      <c r="H29" s="72">
        <f>D85</f>
        <v>19.836666666666666</v>
      </c>
      <c r="I29" s="112">
        <f>SUM(E29:H29)</f>
        <v>402.92111721192708</v>
      </c>
      <c r="J29" s="72">
        <f>7%*I29</f>
        <v>28.204478204834899</v>
      </c>
      <c r="K29" s="72">
        <f>I29-J29</f>
        <v>374.71663900709217</v>
      </c>
      <c r="L29" s="71" t="s">
        <v>88</v>
      </c>
      <c r="M29" s="98">
        <v>10</v>
      </c>
      <c r="N29" s="3">
        <v>11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1"/>
      <c r="AP29" s="11"/>
      <c r="AQ29" s="11"/>
      <c r="AR29" s="11"/>
      <c r="AS29" s="11"/>
      <c r="AT29" s="11"/>
      <c r="AU29" s="11"/>
    </row>
    <row r="30" spans="1:58" s="52" customFormat="1" ht="14.4" thickBot="1" x14ac:dyDescent="0.35">
      <c r="A30" s="518" t="s">
        <v>4</v>
      </c>
      <c r="B30" s="518"/>
      <c r="C30" s="89">
        <f t="shared" ref="C30:K30" si="0">SUM(C3:C29)</f>
        <v>1045.5483870967741</v>
      </c>
      <c r="D30" s="89">
        <f t="shared" si="0"/>
        <v>104.55483870967743</v>
      </c>
      <c r="E30" s="74">
        <f t="shared" si="0"/>
        <v>940.99354838709678</v>
      </c>
      <c r="F30" s="89">
        <f t="shared" si="0"/>
        <v>37.741935483870975</v>
      </c>
      <c r="G30" s="89">
        <f t="shared" si="0"/>
        <v>25.70496453900709</v>
      </c>
      <c r="H30" s="89">
        <f t="shared" si="0"/>
        <v>19.836666666666666</v>
      </c>
      <c r="I30" s="89">
        <f t="shared" si="0"/>
        <v>1024.2771150766416</v>
      </c>
      <c r="J30" s="89">
        <f t="shared" si="0"/>
        <v>71.699398055364924</v>
      </c>
      <c r="K30" s="89">
        <f t="shared" si="0"/>
        <v>952.57771702127661</v>
      </c>
      <c r="L30" s="54"/>
      <c r="M30" s="55"/>
      <c r="N30" s="56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1"/>
      <c r="AP30" s="11"/>
      <c r="AQ30" s="11"/>
      <c r="AR30" s="11"/>
      <c r="AS30" s="11"/>
      <c r="AT30" s="11"/>
      <c r="AU30" s="11"/>
    </row>
    <row r="31" spans="1:58" s="19" customFormat="1" ht="14.4" thickBot="1" x14ac:dyDescent="0.35">
      <c r="A31" s="523"/>
      <c r="B31" s="524"/>
      <c r="C31" s="524"/>
      <c r="D31" s="524"/>
      <c r="E31" s="524"/>
      <c r="F31" s="524"/>
      <c r="G31" s="524"/>
      <c r="H31" s="524"/>
      <c r="I31" s="524"/>
      <c r="J31" s="524"/>
      <c r="K31" s="524"/>
      <c r="L31" s="524"/>
      <c r="M31" s="524"/>
      <c r="N31" s="525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</row>
    <row r="32" spans="1:58" s="40" customFormat="1" ht="15" customHeight="1" x14ac:dyDescent="0.3">
      <c r="A32" s="518" t="s">
        <v>9</v>
      </c>
      <c r="B32" s="518"/>
      <c r="C32" s="518"/>
      <c r="D32" s="518"/>
      <c r="E32" s="518"/>
      <c r="F32" s="518"/>
      <c r="G32" s="46"/>
      <c r="H32" s="46"/>
      <c r="I32" s="64"/>
      <c r="J32" s="46"/>
      <c r="K32" s="46"/>
      <c r="L32" s="513" t="s">
        <v>20</v>
      </c>
      <c r="M32" s="513"/>
      <c r="N32" s="526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10"/>
      <c r="AK32" s="10"/>
      <c r="AL32" s="10"/>
      <c r="AM32" s="10"/>
      <c r="AN32" s="10"/>
      <c r="AO32" s="10"/>
      <c r="AP32" s="10"/>
      <c r="AQ32" s="10"/>
      <c r="AR32" s="11"/>
      <c r="AS32" s="11"/>
      <c r="AT32" s="11"/>
      <c r="AU32" s="11"/>
    </row>
    <row r="33" spans="1:47" s="40" customFormat="1" x14ac:dyDescent="0.3">
      <c r="A33" s="76" t="s">
        <v>40</v>
      </c>
      <c r="B33" s="77"/>
      <c r="C33" s="78"/>
      <c r="D33" s="77"/>
      <c r="E33" s="78"/>
      <c r="F33" s="77"/>
      <c r="G33" s="11"/>
      <c r="H33" s="11"/>
      <c r="I33" s="87"/>
      <c r="J33" s="87"/>
      <c r="K33" s="87"/>
      <c r="L33" s="527" t="s">
        <v>94</v>
      </c>
      <c r="M33" s="527"/>
      <c r="N33" s="49">
        <f>J30</f>
        <v>71.699398055364924</v>
      </c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10"/>
      <c r="AK33" s="10"/>
      <c r="AL33" s="10"/>
      <c r="AM33" s="10"/>
      <c r="AN33" s="10"/>
      <c r="AO33" s="10"/>
      <c r="AP33" s="10"/>
      <c r="AQ33" s="10"/>
      <c r="AR33" s="11"/>
      <c r="AS33" s="11"/>
      <c r="AT33" s="11"/>
      <c r="AU33" s="11"/>
    </row>
    <row r="34" spans="1:47" s="40" customFormat="1" x14ac:dyDescent="0.3">
      <c r="A34" s="12" t="s">
        <v>46</v>
      </c>
      <c r="B34" s="2"/>
      <c r="C34" s="88"/>
      <c r="D34" s="2"/>
      <c r="E34" s="88"/>
      <c r="F34" s="88"/>
      <c r="G34" s="11"/>
      <c r="H34" s="11"/>
      <c r="I34" s="14"/>
      <c r="J34" s="14"/>
      <c r="K34" s="14"/>
      <c r="L34" s="520"/>
      <c r="M34" s="520"/>
      <c r="N34" s="528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10"/>
      <c r="AK34" s="10"/>
      <c r="AL34" s="10"/>
      <c r="AM34" s="10"/>
      <c r="AN34" s="10"/>
      <c r="AO34" s="10"/>
      <c r="AP34" s="10"/>
      <c r="AQ34" s="10"/>
      <c r="AR34" s="11"/>
      <c r="AS34" s="11"/>
      <c r="AT34" s="11"/>
      <c r="AU34" s="11"/>
    </row>
    <row r="35" spans="1:47" s="40" customFormat="1" x14ac:dyDescent="0.3">
      <c r="A35" s="79" t="s">
        <v>29</v>
      </c>
      <c r="B35" s="80"/>
      <c r="C35" s="82"/>
      <c r="D35" s="80"/>
      <c r="E35" s="78"/>
      <c r="F35" s="77"/>
      <c r="G35" s="11"/>
      <c r="H35" s="11"/>
      <c r="I35" s="14"/>
      <c r="J35" s="14"/>
      <c r="K35" s="14"/>
      <c r="L35" s="520"/>
      <c r="M35" s="520"/>
      <c r="N35" s="528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10"/>
      <c r="AK35" s="10"/>
      <c r="AL35" s="10"/>
      <c r="AM35" s="10"/>
      <c r="AN35" s="10"/>
      <c r="AO35" s="10"/>
      <c r="AP35" s="10"/>
      <c r="AQ35" s="10"/>
      <c r="AR35" s="11"/>
      <c r="AS35" s="11"/>
      <c r="AT35" s="11"/>
      <c r="AU35" s="11"/>
    </row>
    <row r="36" spans="1:47" s="40" customFormat="1" ht="15" customHeight="1" x14ac:dyDescent="0.3">
      <c r="A36" s="12" t="s">
        <v>30</v>
      </c>
      <c r="B36" s="2"/>
      <c r="C36" s="88"/>
      <c r="D36" s="2"/>
      <c r="E36" s="53"/>
      <c r="F36" s="53"/>
      <c r="G36" s="11"/>
      <c r="H36" s="11"/>
      <c r="I36" s="62"/>
      <c r="J36" s="62"/>
      <c r="K36" s="62"/>
      <c r="L36" s="529" t="s">
        <v>12</v>
      </c>
      <c r="M36" s="529"/>
      <c r="N36" s="530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10"/>
      <c r="AK36" s="10"/>
      <c r="AL36" s="10"/>
      <c r="AM36" s="10"/>
      <c r="AN36" s="10"/>
      <c r="AO36" s="10"/>
      <c r="AP36" s="10"/>
      <c r="AQ36" s="10"/>
      <c r="AR36" s="11"/>
      <c r="AS36" s="11"/>
      <c r="AT36" s="11"/>
      <c r="AU36" s="11"/>
    </row>
    <row r="37" spans="1:47" s="40" customFormat="1" x14ac:dyDescent="0.3">
      <c r="A37" s="79" t="s">
        <v>65</v>
      </c>
      <c r="B37" s="80"/>
      <c r="C37" s="82"/>
      <c r="D37" s="80"/>
      <c r="E37" s="78"/>
      <c r="F37" s="77"/>
      <c r="G37" s="11"/>
      <c r="H37" s="11"/>
      <c r="I37" s="14"/>
      <c r="J37" s="14"/>
      <c r="K37" s="14"/>
      <c r="L37" s="514" t="s">
        <v>89</v>
      </c>
      <c r="M37" s="514"/>
      <c r="N37" s="113">
        <f>D85</f>
        <v>19.836666666666666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10"/>
      <c r="AK37" s="10"/>
      <c r="AL37" s="10"/>
      <c r="AM37" s="10"/>
      <c r="AN37" s="10"/>
      <c r="AO37" s="10"/>
      <c r="AP37" s="10"/>
      <c r="AQ37" s="10"/>
      <c r="AR37" s="11"/>
      <c r="AS37" s="11"/>
      <c r="AT37" s="11"/>
      <c r="AU37" s="11"/>
    </row>
    <row r="38" spans="1:47" s="40" customFormat="1" x14ac:dyDescent="0.3">
      <c r="A38" s="12" t="s">
        <v>62</v>
      </c>
      <c r="B38" s="2"/>
      <c r="C38" s="88"/>
      <c r="D38" s="2"/>
      <c r="E38" s="88"/>
      <c r="F38" s="88"/>
      <c r="G38" s="11"/>
      <c r="H38" s="11"/>
      <c r="I38" s="63"/>
      <c r="J38" s="63"/>
      <c r="K38" s="63"/>
      <c r="L38" s="514" t="s">
        <v>95</v>
      </c>
      <c r="M38" s="514"/>
      <c r="N38" s="2">
        <f>100*5</f>
        <v>500</v>
      </c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10"/>
      <c r="AK38" s="10"/>
      <c r="AL38" s="10"/>
      <c r="AM38" s="10"/>
      <c r="AN38" s="10"/>
      <c r="AO38" s="10"/>
      <c r="AP38" s="10"/>
      <c r="AQ38" s="10"/>
      <c r="AR38" s="11"/>
      <c r="AS38" s="11"/>
      <c r="AT38" s="11"/>
      <c r="AU38" s="11"/>
    </row>
    <row r="39" spans="1:47" s="40" customFormat="1" x14ac:dyDescent="0.3">
      <c r="A39" s="79" t="s">
        <v>60</v>
      </c>
      <c r="B39" s="80"/>
      <c r="C39" s="82"/>
      <c r="D39" s="80"/>
      <c r="E39" s="78"/>
      <c r="F39" s="77"/>
      <c r="G39" s="11"/>
      <c r="H39" s="11"/>
      <c r="I39" s="14"/>
      <c r="J39" s="14"/>
      <c r="K39" s="14"/>
      <c r="L39" s="515"/>
      <c r="M39" s="515"/>
      <c r="N39" s="109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10"/>
      <c r="AK39" s="10"/>
      <c r="AL39" s="10"/>
      <c r="AM39" s="10"/>
      <c r="AN39" s="10"/>
      <c r="AO39" s="10"/>
      <c r="AP39" s="10"/>
      <c r="AQ39" s="10"/>
      <c r="AR39" s="11"/>
      <c r="AS39" s="11"/>
      <c r="AT39" s="11"/>
      <c r="AU39" s="11"/>
    </row>
    <row r="40" spans="1:47" s="40" customFormat="1" ht="15" customHeight="1" x14ac:dyDescent="0.3">
      <c r="A40" s="12" t="s">
        <v>61</v>
      </c>
      <c r="B40" s="2"/>
      <c r="C40" s="88"/>
      <c r="D40" s="2"/>
      <c r="E40" s="88"/>
      <c r="F40" s="88"/>
      <c r="G40" s="11"/>
      <c r="H40" s="11"/>
      <c r="I40" s="63"/>
      <c r="J40" s="63"/>
      <c r="K40" s="63"/>
      <c r="L40" s="515"/>
      <c r="M40" s="515"/>
      <c r="N40" s="114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10"/>
      <c r="AK40" s="10"/>
      <c r="AL40" s="10"/>
      <c r="AM40" s="10"/>
      <c r="AN40" s="10"/>
      <c r="AO40" s="10"/>
      <c r="AP40" s="10"/>
      <c r="AQ40" s="10"/>
      <c r="AR40" s="11"/>
      <c r="AS40" s="11"/>
      <c r="AT40" s="11"/>
      <c r="AU40" s="11"/>
    </row>
    <row r="41" spans="1:47" s="40" customFormat="1" ht="15" customHeight="1" x14ac:dyDescent="0.3">
      <c r="A41" s="79" t="s">
        <v>31</v>
      </c>
      <c r="B41" s="80"/>
      <c r="C41" s="82"/>
      <c r="D41" s="80"/>
      <c r="E41" s="78"/>
      <c r="F41" s="77"/>
      <c r="G41" s="11"/>
      <c r="H41" s="11"/>
      <c r="I41" s="14"/>
      <c r="J41" s="14"/>
      <c r="K41" s="14"/>
      <c r="L41" s="516"/>
      <c r="M41" s="517"/>
      <c r="N41" s="90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10"/>
      <c r="AK41" s="10"/>
      <c r="AL41" s="10"/>
      <c r="AM41" s="10"/>
      <c r="AN41" s="10"/>
      <c r="AO41" s="10"/>
      <c r="AP41" s="10"/>
      <c r="AQ41" s="10"/>
      <c r="AR41" s="11"/>
      <c r="AS41" s="11"/>
      <c r="AT41" s="11"/>
      <c r="AU41" s="11"/>
    </row>
    <row r="42" spans="1:47" s="40" customFormat="1" ht="15" customHeight="1" x14ac:dyDescent="0.3">
      <c r="A42" s="12" t="s">
        <v>32</v>
      </c>
      <c r="B42" s="2"/>
      <c r="C42" s="88"/>
      <c r="D42" s="2"/>
      <c r="E42" s="88"/>
      <c r="F42" s="88"/>
      <c r="G42" s="11"/>
      <c r="H42" s="11"/>
      <c r="I42" s="63"/>
      <c r="J42" s="63"/>
      <c r="K42" s="63"/>
      <c r="L42" s="518"/>
      <c r="M42" s="518"/>
      <c r="N42" s="109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11"/>
      <c r="AS42" s="11"/>
      <c r="AT42" s="11"/>
      <c r="AU42" s="11"/>
    </row>
    <row r="43" spans="1:47" s="40" customFormat="1" x14ac:dyDescent="0.3">
      <c r="A43" s="79" t="s">
        <v>57</v>
      </c>
      <c r="B43" s="80"/>
      <c r="C43" s="82"/>
      <c r="D43" s="80"/>
      <c r="E43" s="78"/>
      <c r="F43" s="77"/>
      <c r="G43" s="11"/>
      <c r="H43" s="11"/>
      <c r="I43" s="14"/>
      <c r="J43" s="14"/>
      <c r="K43" s="14"/>
      <c r="L43" s="518"/>
      <c r="M43" s="518"/>
      <c r="N43" s="109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11"/>
      <c r="AS43" s="11"/>
      <c r="AT43" s="11"/>
      <c r="AU43" s="11"/>
    </row>
    <row r="44" spans="1:47" s="40" customFormat="1" x14ac:dyDescent="0.3">
      <c r="A44" s="12" t="s">
        <v>58</v>
      </c>
      <c r="B44" s="2"/>
      <c r="C44" s="88"/>
      <c r="D44" s="2"/>
      <c r="E44" s="88"/>
      <c r="F44" s="88"/>
      <c r="G44" s="11"/>
      <c r="H44" s="11"/>
      <c r="I44" s="63"/>
      <c r="J44" s="63"/>
      <c r="K44" s="63"/>
      <c r="L44" s="518"/>
      <c r="M44" s="518"/>
      <c r="N44" s="109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11"/>
      <c r="AS44" s="11"/>
      <c r="AT44" s="11"/>
      <c r="AU44" s="11"/>
    </row>
    <row r="45" spans="1:47" s="40" customFormat="1" ht="15" customHeight="1" x14ac:dyDescent="0.3">
      <c r="A45" s="79" t="s">
        <v>63</v>
      </c>
      <c r="B45" s="80"/>
      <c r="C45" s="82"/>
      <c r="D45" s="80"/>
      <c r="E45" s="78"/>
      <c r="F45" s="77"/>
      <c r="G45" s="11"/>
      <c r="H45" s="11"/>
      <c r="I45" s="14"/>
      <c r="J45" s="14"/>
      <c r="K45" s="14"/>
      <c r="L45" s="520"/>
      <c r="M45" s="520"/>
      <c r="N45" s="90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11"/>
      <c r="AS45" s="11"/>
      <c r="AT45" s="11"/>
      <c r="AU45" s="11"/>
    </row>
    <row r="46" spans="1:47" s="40" customFormat="1" x14ac:dyDescent="0.3">
      <c r="A46" s="12" t="s">
        <v>64</v>
      </c>
      <c r="B46" s="2"/>
      <c r="C46" s="88"/>
      <c r="D46" s="2"/>
      <c r="E46" s="88"/>
      <c r="F46" s="88"/>
      <c r="G46" s="11"/>
      <c r="H46" s="11"/>
      <c r="I46" s="63"/>
      <c r="J46" s="63"/>
      <c r="K46" s="63"/>
      <c r="L46" s="520"/>
      <c r="M46" s="520"/>
      <c r="N46" s="91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11"/>
      <c r="AS46" s="11"/>
      <c r="AT46" s="11"/>
      <c r="AU46" s="11"/>
    </row>
    <row r="47" spans="1:47" s="40" customFormat="1" ht="18" customHeight="1" x14ac:dyDescent="0.3">
      <c r="A47" s="79" t="s">
        <v>33</v>
      </c>
      <c r="B47" s="80"/>
      <c r="C47" s="82"/>
      <c r="D47" s="80"/>
      <c r="E47" s="78"/>
      <c r="F47" s="77"/>
      <c r="G47" s="11"/>
      <c r="H47" s="11"/>
      <c r="I47" s="14"/>
      <c r="J47" s="14"/>
      <c r="K47" s="14"/>
      <c r="L47" s="520"/>
      <c r="M47" s="520"/>
      <c r="N47" s="91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11"/>
      <c r="AS47" s="11"/>
      <c r="AT47" s="11"/>
      <c r="AU47" s="11"/>
    </row>
    <row r="48" spans="1:47" s="40" customFormat="1" ht="18" customHeight="1" x14ac:dyDescent="0.3">
      <c r="A48" s="12" t="s">
        <v>34</v>
      </c>
      <c r="B48" s="2"/>
      <c r="C48" s="88"/>
      <c r="D48" s="2"/>
      <c r="E48" s="88"/>
      <c r="F48" s="88"/>
      <c r="G48" s="11"/>
      <c r="H48" s="11"/>
      <c r="I48" s="63"/>
      <c r="J48" s="63"/>
      <c r="K48" s="63"/>
      <c r="L48" s="518"/>
      <c r="M48" s="518"/>
      <c r="N48" s="48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11"/>
      <c r="AS48" s="11"/>
      <c r="AT48" s="11"/>
      <c r="AU48" s="11"/>
    </row>
    <row r="49" spans="1:45" s="11" customFormat="1" ht="15" customHeight="1" x14ac:dyDescent="0.3">
      <c r="A49" s="79" t="s">
        <v>41</v>
      </c>
      <c r="B49" s="80"/>
      <c r="C49" s="82"/>
      <c r="D49" s="80"/>
      <c r="E49" s="78"/>
      <c r="F49" s="77"/>
      <c r="L49" s="531" t="s">
        <v>26</v>
      </c>
      <c r="M49" s="531"/>
      <c r="N49" s="45">
        <f>SUM(N33:N48)</f>
        <v>591.5360647220316</v>
      </c>
    </row>
    <row r="50" spans="1:45" s="11" customFormat="1" x14ac:dyDescent="0.3">
      <c r="A50" s="12" t="s">
        <v>42</v>
      </c>
      <c r="B50" s="2"/>
      <c r="C50" s="88"/>
      <c r="D50" s="2"/>
      <c r="E50" s="88"/>
      <c r="F50" s="88"/>
      <c r="I50" s="63"/>
      <c r="J50" s="63"/>
      <c r="K50" s="63"/>
      <c r="L50" s="518"/>
      <c r="M50" s="518"/>
      <c r="N50" s="48"/>
    </row>
    <row r="51" spans="1:45" s="11" customFormat="1" ht="15" customHeight="1" x14ac:dyDescent="0.3">
      <c r="A51" s="79" t="s">
        <v>66</v>
      </c>
      <c r="B51" s="80"/>
      <c r="C51" s="81"/>
      <c r="D51" s="80"/>
      <c r="E51" s="82"/>
      <c r="F51" s="80"/>
      <c r="I51" s="14"/>
      <c r="J51" s="14"/>
      <c r="K51" s="14"/>
      <c r="L51" s="513" t="s">
        <v>11</v>
      </c>
      <c r="M51" s="513"/>
      <c r="N51" s="526"/>
    </row>
    <row r="52" spans="1:45" s="11" customFormat="1" x14ac:dyDescent="0.3">
      <c r="A52" s="12" t="s">
        <v>67</v>
      </c>
      <c r="B52" s="2">
        <f>'GERAL 2021'!J12</f>
        <v>8.5683215130023633</v>
      </c>
      <c r="C52" s="88"/>
      <c r="D52" s="2"/>
      <c r="E52" s="88"/>
      <c r="F52" s="88"/>
      <c r="I52" s="63"/>
      <c r="J52" s="63"/>
      <c r="K52" s="63"/>
      <c r="L52" s="532">
        <f>I30</f>
        <v>1024.2771150766416</v>
      </c>
      <c r="M52" s="532"/>
      <c r="N52" s="533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</row>
    <row r="53" spans="1:45" s="11" customFormat="1" x14ac:dyDescent="0.3">
      <c r="A53" s="79" t="s">
        <v>14</v>
      </c>
      <c r="B53" s="80"/>
      <c r="C53" s="82"/>
      <c r="D53" s="80"/>
      <c r="E53" s="82"/>
      <c r="F53" s="80"/>
      <c r="I53" s="14"/>
      <c r="J53" s="14"/>
      <c r="K53" s="14"/>
      <c r="L53" s="518"/>
      <c r="M53" s="518"/>
      <c r="N53" s="519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</row>
    <row r="54" spans="1:45" s="11" customFormat="1" x14ac:dyDescent="0.3">
      <c r="A54" s="12" t="s">
        <v>15</v>
      </c>
      <c r="B54" s="2"/>
      <c r="C54" s="88"/>
      <c r="D54" s="2"/>
      <c r="E54" s="88"/>
      <c r="F54" s="88"/>
      <c r="I54" s="87"/>
      <c r="J54" s="87"/>
      <c r="K54" s="87"/>
      <c r="L54" s="513" t="s">
        <v>13</v>
      </c>
      <c r="M54" s="513"/>
      <c r="N54" s="49">
        <f>L52-N49</f>
        <v>432.74105035461002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</row>
    <row r="55" spans="1:45" s="11" customFormat="1" ht="12.75" customHeight="1" x14ac:dyDescent="0.3">
      <c r="A55" s="79" t="s">
        <v>55</v>
      </c>
      <c r="B55" s="80"/>
      <c r="C55" s="82"/>
      <c r="D55" s="80"/>
      <c r="E55" s="82"/>
      <c r="F55" s="80"/>
      <c r="L55" s="513" t="s">
        <v>96</v>
      </c>
      <c r="M55" s="513"/>
      <c r="N55" s="58">
        <v>422.57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</row>
    <row r="56" spans="1:45" s="11" customFormat="1" x14ac:dyDescent="0.3">
      <c r="A56" s="12" t="s">
        <v>56</v>
      </c>
      <c r="B56" s="2"/>
      <c r="C56" s="88"/>
      <c r="D56" s="2"/>
      <c r="E56" s="88"/>
      <c r="F56" s="88"/>
      <c r="L56" s="513" t="s">
        <v>97</v>
      </c>
      <c r="M56" s="513"/>
      <c r="N56" s="114">
        <f>N54-N55</f>
        <v>10.171050354610031</v>
      </c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</row>
    <row r="57" spans="1:45" s="11" customFormat="1" ht="12.75" customHeight="1" x14ac:dyDescent="0.3">
      <c r="A57" s="79" t="s">
        <v>35</v>
      </c>
      <c r="B57" s="80"/>
      <c r="C57" s="82"/>
      <c r="D57" s="80"/>
      <c r="E57" s="82"/>
      <c r="F57" s="80"/>
      <c r="L57" s="15"/>
      <c r="N57" s="58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</row>
    <row r="58" spans="1:45" s="11" customFormat="1" x14ac:dyDescent="0.3">
      <c r="A58" s="12" t="s">
        <v>36</v>
      </c>
      <c r="B58" s="2"/>
      <c r="C58" s="88"/>
      <c r="D58" s="2"/>
      <c r="E58" s="88"/>
      <c r="F58" s="88"/>
      <c r="I58" s="14"/>
      <c r="J58" s="14"/>
      <c r="K58" s="14"/>
      <c r="N58" s="58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</row>
    <row r="59" spans="1:45" s="11" customFormat="1" ht="13.5" customHeight="1" x14ac:dyDescent="0.3">
      <c r="A59" s="79" t="s">
        <v>47</v>
      </c>
      <c r="B59" s="80"/>
      <c r="C59" s="82"/>
      <c r="D59" s="80"/>
      <c r="E59" s="82"/>
      <c r="F59" s="80"/>
      <c r="I59" s="15"/>
      <c r="J59" s="15"/>
      <c r="K59" s="15"/>
      <c r="M59" s="15"/>
      <c r="N59" s="58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</row>
    <row r="60" spans="1:45" s="11" customFormat="1" x14ac:dyDescent="0.3">
      <c r="A60" s="12" t="s">
        <v>48</v>
      </c>
      <c r="B60" s="2"/>
      <c r="C60" s="88"/>
      <c r="D60" s="2"/>
      <c r="E60" s="88"/>
      <c r="F60" s="88"/>
      <c r="I60" s="14"/>
      <c r="J60" s="14"/>
      <c r="K60" s="14"/>
      <c r="L60" s="14"/>
      <c r="M60" s="87"/>
      <c r="N60" s="58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</row>
    <row r="61" spans="1:45" s="11" customFormat="1" x14ac:dyDescent="0.3">
      <c r="A61" s="79" t="s">
        <v>16</v>
      </c>
      <c r="B61" s="80"/>
      <c r="C61" s="82"/>
      <c r="D61" s="80"/>
      <c r="E61" s="81"/>
      <c r="F61" s="81"/>
      <c r="I61" s="14"/>
      <c r="J61" s="14"/>
      <c r="K61" s="14"/>
      <c r="L61" s="15"/>
      <c r="M61" s="14"/>
      <c r="N61" s="5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</row>
    <row r="62" spans="1:45" s="11" customFormat="1" x14ac:dyDescent="0.3">
      <c r="A62" s="12" t="s">
        <v>17</v>
      </c>
      <c r="B62" s="2"/>
      <c r="C62" s="88"/>
      <c r="D62" s="2"/>
      <c r="E62" s="88"/>
      <c r="F62" s="88"/>
      <c r="I62" s="14"/>
      <c r="J62" s="14"/>
      <c r="K62" s="14"/>
      <c r="M62" s="15"/>
      <c r="N62" s="65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</row>
    <row r="63" spans="1:45" s="11" customFormat="1" x14ac:dyDescent="0.3">
      <c r="A63" s="79" t="s">
        <v>27</v>
      </c>
      <c r="B63" s="80"/>
      <c r="C63" s="82"/>
      <c r="D63" s="80"/>
      <c r="E63" s="81"/>
      <c r="F63" s="82"/>
      <c r="I63" s="14"/>
      <c r="J63" s="14"/>
      <c r="K63" s="14"/>
      <c r="N63" s="65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</row>
    <row r="64" spans="1:45" s="11" customFormat="1" x14ac:dyDescent="0.3">
      <c r="A64" s="12" t="s">
        <v>28</v>
      </c>
      <c r="B64" s="2"/>
      <c r="C64" s="88"/>
      <c r="D64" s="2"/>
      <c r="E64" s="88"/>
      <c r="F64" s="90"/>
      <c r="I64" s="20"/>
      <c r="J64" s="20"/>
      <c r="K64" s="20"/>
      <c r="L64" s="14"/>
      <c r="M64" s="14"/>
      <c r="N64" s="65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</row>
    <row r="65" spans="1:46" s="18" customFormat="1" x14ac:dyDescent="0.3">
      <c r="A65" s="79" t="s">
        <v>18</v>
      </c>
      <c r="B65" s="80"/>
      <c r="C65" s="82"/>
      <c r="D65" s="80"/>
      <c r="E65" s="82"/>
      <c r="F65" s="80"/>
      <c r="I65" s="20"/>
      <c r="J65" s="20"/>
      <c r="K65" s="20"/>
      <c r="L65" s="20"/>
      <c r="M65" s="15"/>
      <c r="N65" s="65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</row>
    <row r="66" spans="1:46" s="18" customFormat="1" x14ac:dyDescent="0.3">
      <c r="A66" s="12" t="s">
        <v>19</v>
      </c>
      <c r="B66" s="2"/>
      <c r="C66" s="88"/>
      <c r="D66" s="2"/>
      <c r="E66" s="88"/>
      <c r="F66" s="88"/>
      <c r="I66" s="20"/>
      <c r="J66" s="20"/>
      <c r="K66" s="20"/>
      <c r="L66" s="20"/>
      <c r="M66" s="11"/>
      <c r="N66" s="65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</row>
    <row r="67" spans="1:46" s="18" customFormat="1" x14ac:dyDescent="0.3">
      <c r="A67" s="79" t="s">
        <v>37</v>
      </c>
      <c r="B67" s="80"/>
      <c r="C67" s="82"/>
      <c r="D67" s="80"/>
      <c r="E67" s="81"/>
      <c r="F67" s="82"/>
      <c r="I67" s="20"/>
      <c r="J67" s="20"/>
      <c r="K67" s="20"/>
      <c r="L67" s="20"/>
      <c r="M67" s="11"/>
      <c r="N67" s="65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</row>
    <row r="68" spans="1:46" s="18" customFormat="1" x14ac:dyDescent="0.3">
      <c r="A68" s="12" t="s">
        <v>38</v>
      </c>
      <c r="B68" s="2"/>
      <c r="C68" s="88"/>
      <c r="D68" s="2"/>
      <c r="E68" s="88"/>
      <c r="F68" s="88"/>
      <c r="I68" s="20"/>
      <c r="J68" s="20"/>
      <c r="K68" s="20"/>
      <c r="M68" s="11"/>
      <c r="N68" s="65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</row>
    <row r="69" spans="1:46" s="18" customFormat="1" x14ac:dyDescent="0.3">
      <c r="A69" s="79" t="s">
        <v>45</v>
      </c>
      <c r="B69" s="80"/>
      <c r="C69" s="82"/>
      <c r="D69" s="80"/>
      <c r="E69" s="81"/>
      <c r="F69" s="82"/>
      <c r="I69" s="20"/>
      <c r="J69" s="20"/>
      <c r="K69" s="20"/>
      <c r="M69" s="14"/>
      <c r="N69" s="65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</row>
    <row r="70" spans="1:46" s="18" customFormat="1" x14ac:dyDescent="0.3">
      <c r="A70" s="12" t="s">
        <v>39</v>
      </c>
      <c r="B70" s="2"/>
      <c r="C70" s="88"/>
      <c r="D70" s="2"/>
      <c r="E70" s="88"/>
      <c r="F70" s="88"/>
      <c r="I70" s="20"/>
      <c r="J70" s="20"/>
      <c r="K70" s="20"/>
      <c r="M70" s="20"/>
      <c r="N70" s="65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</row>
    <row r="71" spans="1:46" s="18" customFormat="1" x14ac:dyDescent="0.3">
      <c r="A71" s="79" t="s">
        <v>49</v>
      </c>
      <c r="B71" s="80"/>
      <c r="C71" s="82"/>
      <c r="D71" s="80"/>
      <c r="E71" s="81"/>
      <c r="F71" s="82"/>
      <c r="I71" s="20"/>
      <c r="J71" s="20"/>
      <c r="K71" s="20"/>
      <c r="M71" s="20"/>
      <c r="N71" s="65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</row>
    <row r="72" spans="1:46" s="18" customFormat="1" x14ac:dyDescent="0.3">
      <c r="A72" s="12" t="s">
        <v>50</v>
      </c>
      <c r="B72" s="2"/>
      <c r="C72" s="88"/>
      <c r="D72" s="2"/>
      <c r="E72" s="88"/>
      <c r="F72" s="88"/>
      <c r="I72" s="20"/>
      <c r="J72" s="20"/>
      <c r="K72" s="20"/>
      <c r="M72" s="20"/>
      <c r="N72" s="65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</row>
    <row r="73" spans="1:46" s="18" customFormat="1" x14ac:dyDescent="0.3">
      <c r="A73" s="79" t="s">
        <v>43</v>
      </c>
      <c r="B73" s="80"/>
      <c r="C73" s="82"/>
      <c r="D73" s="80"/>
      <c r="E73" s="81"/>
      <c r="F73" s="82"/>
      <c r="I73" s="20"/>
      <c r="J73" s="20"/>
      <c r="K73" s="20"/>
      <c r="N73" s="65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</row>
    <row r="74" spans="1:46" s="18" customFormat="1" x14ac:dyDescent="0.3">
      <c r="A74" s="12" t="s">
        <v>44</v>
      </c>
      <c r="B74" s="2"/>
      <c r="C74" s="88"/>
      <c r="D74" s="2"/>
      <c r="E74" s="88"/>
      <c r="F74" s="88"/>
      <c r="I74" s="20"/>
      <c r="J74" s="20"/>
      <c r="K74" s="20"/>
      <c r="N74" s="65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</row>
    <row r="75" spans="1:46" s="32" customFormat="1" x14ac:dyDescent="0.3">
      <c r="A75" s="79" t="s">
        <v>51</v>
      </c>
      <c r="B75" s="80"/>
      <c r="C75" s="82"/>
      <c r="D75" s="80"/>
      <c r="E75" s="82"/>
      <c r="F75" s="80"/>
      <c r="I75" s="21"/>
      <c r="J75" s="21"/>
      <c r="K75" s="21"/>
      <c r="N75" s="65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</row>
    <row r="76" spans="1:46" s="32" customFormat="1" x14ac:dyDescent="0.3">
      <c r="A76" s="12" t="s">
        <v>52</v>
      </c>
      <c r="B76" s="2"/>
      <c r="C76" s="88"/>
      <c r="D76" s="2"/>
      <c r="E76" s="88"/>
      <c r="F76" s="67"/>
      <c r="G76" s="63"/>
      <c r="H76" s="63"/>
      <c r="M76" s="18"/>
      <c r="N76" s="65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</row>
    <row r="77" spans="1:46" s="32" customFormat="1" x14ac:dyDescent="0.3">
      <c r="A77" s="79" t="s">
        <v>53</v>
      </c>
      <c r="B77" s="80"/>
      <c r="C77" s="82"/>
      <c r="D77" s="80"/>
      <c r="E77" s="82"/>
      <c r="F77" s="82"/>
      <c r="G77" s="11"/>
      <c r="H77" s="63"/>
      <c r="I77" s="21"/>
      <c r="J77" s="21"/>
      <c r="K77" s="21"/>
      <c r="L77" s="21"/>
      <c r="M77" s="21"/>
      <c r="N77" s="65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</row>
    <row r="78" spans="1:46" s="32" customFormat="1" ht="14.4" thickBot="1" x14ac:dyDescent="0.35">
      <c r="A78" s="59" t="s">
        <v>54</v>
      </c>
      <c r="B78" s="60"/>
      <c r="C78" s="61"/>
      <c r="D78" s="60"/>
      <c r="E78" s="61"/>
      <c r="F78" s="67"/>
      <c r="G78" s="21"/>
      <c r="H78" s="21"/>
      <c r="I78" s="21"/>
      <c r="J78" s="21"/>
      <c r="K78" s="21"/>
      <c r="M78" s="18"/>
      <c r="N78" s="65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</row>
    <row r="79" spans="1:46" s="32" customFormat="1" x14ac:dyDescent="0.3">
      <c r="A79" s="79" t="s">
        <v>78</v>
      </c>
      <c r="B79" s="80"/>
      <c r="C79" s="82"/>
      <c r="D79" s="80"/>
      <c r="E79" s="82"/>
      <c r="F79" s="82"/>
      <c r="G79" s="11"/>
      <c r="H79" s="63"/>
      <c r="I79" s="21"/>
      <c r="J79" s="21"/>
      <c r="K79" s="21"/>
      <c r="L79" s="21"/>
      <c r="M79" s="21"/>
      <c r="N79" s="65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</row>
    <row r="80" spans="1:46" s="32" customFormat="1" ht="14.4" thickBot="1" x14ac:dyDescent="0.35">
      <c r="A80" s="59" t="s">
        <v>79</v>
      </c>
      <c r="B80" s="60"/>
      <c r="C80" s="61"/>
      <c r="D80" s="60"/>
      <c r="E80" s="61"/>
      <c r="F80" s="67"/>
      <c r="G80" s="21"/>
      <c r="H80" s="21"/>
      <c r="I80" s="21"/>
      <c r="J80" s="21"/>
      <c r="K80" s="21"/>
      <c r="M80" s="18"/>
      <c r="N80" s="65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</row>
    <row r="81" spans="1:45" s="32" customFormat="1" x14ac:dyDescent="0.3">
      <c r="A81" s="79" t="s">
        <v>80</v>
      </c>
      <c r="B81" s="80"/>
      <c r="C81" s="82"/>
      <c r="D81" s="80"/>
      <c r="E81" s="82"/>
      <c r="F81" s="82"/>
      <c r="G81" s="11"/>
      <c r="H81" s="63"/>
      <c r="I81" s="21"/>
      <c r="J81" s="21"/>
      <c r="K81" s="21"/>
      <c r="L81" s="21"/>
      <c r="M81" s="21"/>
      <c r="N81" s="65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</row>
    <row r="82" spans="1:45" s="32" customFormat="1" ht="14.4" thickBot="1" x14ac:dyDescent="0.35">
      <c r="A82" s="59" t="s">
        <v>81</v>
      </c>
      <c r="B82" s="60">
        <f>'GERAL 2021'!I27</f>
        <v>1.0710401891252954</v>
      </c>
      <c r="C82" s="61">
        <v>8</v>
      </c>
      <c r="D82" s="60">
        <f>B82*C82</f>
        <v>8.5683215130023633</v>
      </c>
      <c r="E82" s="61"/>
      <c r="F82" s="67"/>
      <c r="G82" s="21"/>
      <c r="H82" s="21"/>
      <c r="I82" s="21"/>
      <c r="J82" s="21"/>
      <c r="K82" s="21"/>
      <c r="M82" s="18"/>
      <c r="N82" s="65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</row>
    <row r="83" spans="1:45" s="32" customFormat="1" x14ac:dyDescent="0.3">
      <c r="A83" s="79" t="s">
        <v>82</v>
      </c>
      <c r="B83" s="80"/>
      <c r="C83" s="82"/>
      <c r="D83" s="80"/>
      <c r="E83" s="82"/>
      <c r="F83" s="82"/>
      <c r="G83" s="11"/>
      <c r="H83" s="63"/>
      <c r="I83" s="21"/>
      <c r="J83" s="21"/>
      <c r="K83" s="21"/>
      <c r="L83" s="21"/>
      <c r="M83" s="21"/>
      <c r="N83" s="65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</row>
    <row r="84" spans="1:45" s="32" customFormat="1" ht="14.4" thickBot="1" x14ac:dyDescent="0.35">
      <c r="A84" s="59" t="s">
        <v>83</v>
      </c>
      <c r="B84" s="60"/>
      <c r="C84" s="61"/>
      <c r="D84" s="60"/>
      <c r="E84" s="61"/>
      <c r="F84" s="67"/>
      <c r="G84" s="21"/>
      <c r="H84" s="21"/>
      <c r="I84" s="21"/>
      <c r="J84" s="21"/>
      <c r="K84" s="21"/>
      <c r="M84" s="18"/>
      <c r="N84" s="65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</row>
    <row r="85" spans="1:45" s="32" customFormat="1" x14ac:dyDescent="0.3">
      <c r="A85" s="79" t="s">
        <v>84</v>
      </c>
      <c r="B85" s="80">
        <f>'GERAL 2021'!K29</f>
        <v>119.02</v>
      </c>
      <c r="C85" s="82">
        <v>6</v>
      </c>
      <c r="D85" s="80">
        <f>B85/C85</f>
        <v>19.836666666666666</v>
      </c>
      <c r="E85" s="82"/>
      <c r="F85" s="82"/>
      <c r="G85" s="11"/>
      <c r="H85" s="63"/>
      <c r="I85" s="21"/>
      <c r="J85" s="21"/>
      <c r="K85" s="21"/>
      <c r="M85" s="18"/>
      <c r="N85" s="65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</row>
    <row r="86" spans="1:45" s="32" customFormat="1" ht="14.4" thickBot="1" x14ac:dyDescent="0.35">
      <c r="A86" s="59" t="s">
        <v>85</v>
      </c>
      <c r="B86" s="60">
        <f>'GERAL 2021'!I29</f>
        <v>1.0710401891252954</v>
      </c>
      <c r="C86" s="61">
        <v>8</v>
      </c>
      <c r="D86" s="60">
        <f>B86*C86</f>
        <v>8.5683215130023633</v>
      </c>
      <c r="E86" s="61"/>
      <c r="F86" s="67"/>
      <c r="G86" s="66"/>
      <c r="H86" s="66"/>
      <c r="I86" s="66"/>
      <c r="J86" s="66"/>
      <c r="K86" s="66"/>
      <c r="L86" s="66"/>
      <c r="M86" s="66"/>
      <c r="N86" s="75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</row>
    <row r="87" spans="1:45" s="22" customFormat="1" x14ac:dyDescent="0.3">
      <c r="A87" s="32"/>
      <c r="B87" s="32"/>
      <c r="C87" s="32"/>
      <c r="D87" s="32"/>
      <c r="E87" s="32"/>
      <c r="F87" s="32"/>
      <c r="G87" s="32"/>
      <c r="H87" s="32"/>
      <c r="I87" s="21"/>
      <c r="J87" s="21"/>
      <c r="K87" s="21"/>
      <c r="L87" s="32"/>
      <c r="M87" s="18"/>
      <c r="N87" s="18"/>
    </row>
    <row r="88" spans="1:45" s="22" customFormat="1" x14ac:dyDescent="0.3">
      <c r="A88" s="32"/>
      <c r="B88" s="522"/>
      <c r="C88" s="522"/>
      <c r="D88" s="522"/>
      <c r="E88" s="522"/>
      <c r="F88" s="522"/>
      <c r="G88" s="522"/>
      <c r="H88" s="522"/>
      <c r="I88" s="21"/>
      <c r="J88" s="21"/>
      <c r="K88" s="21"/>
      <c r="L88" s="32"/>
      <c r="M88" s="32"/>
      <c r="N88" s="32"/>
    </row>
    <row r="89" spans="1:45" s="22" customFormat="1" x14ac:dyDescent="0.3">
      <c r="A89" s="522"/>
      <c r="B89" s="522"/>
      <c r="C89" s="522"/>
      <c r="D89" s="522"/>
      <c r="E89" s="522"/>
      <c r="F89" s="522"/>
      <c r="G89" s="522"/>
      <c r="H89" s="32"/>
      <c r="I89" s="21"/>
      <c r="J89" s="21"/>
      <c r="K89" s="21"/>
      <c r="L89" s="32"/>
      <c r="M89" s="32"/>
      <c r="N89" s="32"/>
    </row>
    <row r="90" spans="1:45" s="22" customFormat="1" x14ac:dyDescent="0.3">
      <c r="A90" s="32"/>
      <c r="B90" s="32"/>
      <c r="C90" s="32"/>
      <c r="D90" s="32"/>
      <c r="E90" s="32"/>
      <c r="F90" s="32"/>
      <c r="G90" s="32"/>
      <c r="H90" s="32"/>
      <c r="I90" s="21"/>
      <c r="J90" s="21"/>
      <c r="K90" s="21"/>
      <c r="L90" s="32"/>
      <c r="M90" s="32"/>
      <c r="N90" s="32"/>
    </row>
    <row r="91" spans="1:45" s="22" customFormat="1" x14ac:dyDescent="0.3">
      <c r="A91" s="32"/>
      <c r="B91" s="32"/>
      <c r="C91" s="32"/>
      <c r="D91" s="32"/>
      <c r="E91" s="32"/>
      <c r="F91" s="32"/>
      <c r="G91" s="32"/>
      <c r="H91" s="32"/>
      <c r="I91" s="21"/>
      <c r="J91" s="21"/>
      <c r="K91" s="21"/>
      <c r="L91" s="32"/>
      <c r="M91" s="32"/>
      <c r="N91" s="32"/>
    </row>
    <row r="92" spans="1:45" s="22" customFormat="1" x14ac:dyDescent="0.3">
      <c r="A92" s="32"/>
      <c r="B92" s="32"/>
      <c r="C92" s="32"/>
      <c r="D92" s="32"/>
      <c r="E92" s="32"/>
      <c r="F92" s="32"/>
      <c r="G92" s="32"/>
      <c r="H92" s="32"/>
      <c r="I92" s="21"/>
      <c r="J92" s="21"/>
      <c r="K92" s="21"/>
      <c r="L92" s="32"/>
      <c r="M92" s="32"/>
      <c r="N92" s="32"/>
    </row>
    <row r="93" spans="1:45" s="22" customFormat="1" x14ac:dyDescent="0.3">
      <c r="A93" s="32"/>
      <c r="B93" s="32"/>
      <c r="C93" s="32"/>
      <c r="D93" s="32"/>
      <c r="E93" s="32"/>
      <c r="F93" s="32"/>
      <c r="G93" s="32"/>
      <c r="H93" s="32"/>
      <c r="I93" s="21"/>
      <c r="J93" s="21"/>
      <c r="K93" s="21"/>
      <c r="L93" s="32"/>
      <c r="M93" s="32"/>
      <c r="N93" s="32"/>
    </row>
    <row r="94" spans="1:45" s="22" customFormat="1" x14ac:dyDescent="0.3">
      <c r="A94" s="32"/>
      <c r="B94" s="32"/>
      <c r="C94" s="32"/>
      <c r="D94" s="32"/>
      <c r="E94" s="32"/>
      <c r="F94" s="32"/>
      <c r="G94" s="32"/>
      <c r="H94" s="32"/>
      <c r="I94" s="21"/>
      <c r="J94" s="21"/>
      <c r="K94" s="21"/>
      <c r="L94" s="32"/>
      <c r="M94" s="32"/>
      <c r="N94" s="32"/>
    </row>
    <row r="95" spans="1:45" s="22" customFormat="1" x14ac:dyDescent="0.3">
      <c r="A95" s="32"/>
      <c r="B95" s="32"/>
      <c r="C95" s="32"/>
      <c r="D95" s="32"/>
      <c r="E95" s="32"/>
      <c r="F95" s="32"/>
      <c r="G95" s="32"/>
      <c r="H95" s="32"/>
      <c r="I95" s="21"/>
      <c r="J95" s="21"/>
      <c r="K95" s="21"/>
      <c r="L95" s="32"/>
      <c r="M95" s="32"/>
      <c r="N95" s="32"/>
    </row>
    <row r="96" spans="1:45" s="22" customFormat="1" x14ac:dyDescent="0.3">
      <c r="A96" s="32"/>
      <c r="B96" s="32"/>
      <c r="C96" s="32"/>
      <c r="D96" s="32"/>
      <c r="E96" s="32"/>
      <c r="F96" s="32"/>
      <c r="G96" s="32"/>
      <c r="H96" s="32"/>
      <c r="I96" s="21"/>
      <c r="J96" s="21"/>
      <c r="K96" s="21"/>
      <c r="L96" s="32"/>
      <c r="M96" s="32"/>
      <c r="N96" s="32"/>
    </row>
    <row r="97" spans="1:46" s="22" customFormat="1" x14ac:dyDescent="0.3">
      <c r="A97" s="32"/>
      <c r="B97" s="32"/>
      <c r="C97" s="32"/>
      <c r="D97" s="32"/>
      <c r="E97" s="32"/>
      <c r="F97" s="32"/>
      <c r="G97" s="32"/>
      <c r="H97" s="32"/>
      <c r="I97" s="21"/>
      <c r="J97" s="21"/>
      <c r="K97" s="21"/>
      <c r="L97" s="32"/>
      <c r="M97" s="32"/>
      <c r="N97" s="32"/>
    </row>
    <row r="98" spans="1:46" s="22" customFormat="1" x14ac:dyDescent="0.3">
      <c r="A98" s="32"/>
      <c r="B98" s="32"/>
      <c r="C98" s="32"/>
      <c r="D98" s="32"/>
      <c r="E98" s="32"/>
      <c r="F98" s="32"/>
      <c r="G98" s="32"/>
      <c r="H98" s="32"/>
      <c r="I98" s="21"/>
      <c r="J98" s="21"/>
      <c r="K98" s="21"/>
      <c r="L98" s="32"/>
      <c r="M98" s="32"/>
      <c r="N98" s="32"/>
    </row>
    <row r="99" spans="1:46" s="22" customFormat="1" x14ac:dyDescent="0.3">
      <c r="A99" s="32"/>
      <c r="B99" s="32"/>
      <c r="C99" s="32"/>
      <c r="D99" s="32"/>
      <c r="E99" s="32"/>
      <c r="F99" s="32"/>
      <c r="G99" s="32"/>
      <c r="H99" s="32"/>
      <c r="I99" s="21"/>
      <c r="J99" s="21"/>
      <c r="K99" s="21"/>
      <c r="L99" s="32"/>
      <c r="M99" s="32"/>
      <c r="N99" s="32"/>
    </row>
    <row r="100" spans="1:46" s="22" customFormat="1" x14ac:dyDescent="0.3">
      <c r="A100" s="32"/>
      <c r="B100" s="32"/>
      <c r="C100" s="32"/>
      <c r="D100" s="32"/>
      <c r="E100" s="32"/>
      <c r="F100" s="32"/>
      <c r="G100" s="32"/>
      <c r="H100" s="32"/>
      <c r="I100" s="21"/>
      <c r="J100" s="21"/>
      <c r="K100" s="21"/>
      <c r="L100" s="32"/>
      <c r="M100" s="32"/>
      <c r="N100" s="32"/>
    </row>
    <row r="101" spans="1:46" s="22" customFormat="1" x14ac:dyDescent="0.3">
      <c r="A101" s="32"/>
      <c r="B101" s="32"/>
      <c r="C101" s="32"/>
      <c r="D101" s="32"/>
      <c r="E101" s="32"/>
      <c r="F101" s="32"/>
      <c r="G101" s="32"/>
      <c r="H101" s="32"/>
      <c r="I101" s="23"/>
      <c r="J101" s="23"/>
      <c r="K101" s="23"/>
      <c r="L101" s="32"/>
      <c r="M101" s="32"/>
      <c r="N101" s="32"/>
      <c r="O101" s="6"/>
      <c r="P101" s="6"/>
    </row>
    <row r="102" spans="1:46" s="22" customFormat="1" x14ac:dyDescent="0.3">
      <c r="A102" s="32"/>
      <c r="B102" s="32"/>
      <c r="C102" s="32"/>
      <c r="D102" s="32"/>
      <c r="E102" s="32"/>
      <c r="F102" s="32"/>
      <c r="G102" s="32"/>
      <c r="H102" s="32"/>
      <c r="I102" s="23"/>
      <c r="J102" s="23"/>
      <c r="K102" s="23"/>
      <c r="L102" s="32"/>
      <c r="M102" s="32"/>
      <c r="N102" s="32"/>
      <c r="O102" s="6"/>
      <c r="P102" s="6"/>
    </row>
    <row r="103" spans="1:46" s="22" customFormat="1" x14ac:dyDescent="0.3">
      <c r="A103" s="32"/>
      <c r="B103" s="32"/>
      <c r="C103" s="32"/>
      <c r="D103" s="32"/>
      <c r="E103" s="32"/>
      <c r="F103" s="32"/>
      <c r="G103" s="32"/>
      <c r="H103" s="32"/>
      <c r="I103" s="21"/>
      <c r="J103" s="21"/>
      <c r="K103" s="21"/>
      <c r="L103" s="6"/>
      <c r="M103" s="32"/>
      <c r="N103" s="32"/>
    </row>
    <row r="104" spans="1:46" s="22" customFormat="1" x14ac:dyDescent="0.3">
      <c r="A104" s="32"/>
      <c r="B104" s="32"/>
      <c r="C104" s="32"/>
      <c r="D104" s="32"/>
      <c r="E104" s="32"/>
      <c r="F104" s="32"/>
      <c r="G104" s="32"/>
      <c r="H104" s="32"/>
      <c r="I104" s="21"/>
      <c r="J104" s="21"/>
      <c r="K104" s="21"/>
      <c r="L104" s="6"/>
      <c r="M104" s="32"/>
      <c r="N104" s="32"/>
    </row>
    <row r="105" spans="1:46" s="22" customFormat="1" x14ac:dyDescent="0.3">
      <c r="A105" s="32"/>
      <c r="B105" s="32"/>
      <c r="C105" s="32"/>
      <c r="D105" s="32"/>
      <c r="E105" s="32"/>
      <c r="F105" s="32"/>
      <c r="G105" s="32"/>
      <c r="H105" s="32"/>
      <c r="I105" s="21"/>
      <c r="J105" s="21"/>
      <c r="K105" s="21"/>
      <c r="L105" s="32"/>
      <c r="M105" s="32"/>
      <c r="N105" s="32"/>
    </row>
    <row r="106" spans="1:46" s="22" customFormat="1" x14ac:dyDescent="0.3">
      <c r="A106" s="32"/>
      <c r="B106" s="32"/>
      <c r="C106" s="32"/>
      <c r="D106" s="32"/>
      <c r="E106" s="32"/>
      <c r="F106" s="32"/>
      <c r="G106" s="32"/>
      <c r="H106" s="32"/>
      <c r="I106" s="21"/>
      <c r="J106" s="21"/>
      <c r="K106" s="21"/>
      <c r="L106" s="32"/>
      <c r="M106" s="32"/>
      <c r="N106" s="6"/>
      <c r="AT106" s="32"/>
    </row>
    <row r="107" spans="1:46" s="22" customFormat="1" x14ac:dyDescent="0.3">
      <c r="A107" s="32"/>
      <c r="B107" s="32"/>
      <c r="C107" s="32"/>
      <c r="D107" s="32"/>
      <c r="E107" s="32"/>
      <c r="F107" s="32"/>
      <c r="G107" s="32"/>
      <c r="H107" s="32"/>
      <c r="I107" s="21"/>
      <c r="J107" s="21"/>
      <c r="K107" s="21"/>
      <c r="L107" s="32"/>
      <c r="M107" s="32"/>
      <c r="N107" s="6"/>
      <c r="AT107" s="32"/>
    </row>
    <row r="108" spans="1:46" s="22" customFormat="1" x14ac:dyDescent="0.3">
      <c r="A108" s="32"/>
      <c r="B108" s="32"/>
      <c r="C108" s="32"/>
      <c r="D108" s="32"/>
      <c r="E108" s="32"/>
      <c r="F108" s="32"/>
      <c r="G108" s="32"/>
      <c r="H108" s="32"/>
      <c r="I108" s="21"/>
      <c r="J108" s="21"/>
      <c r="K108" s="21"/>
      <c r="L108" s="32"/>
      <c r="M108" s="6"/>
      <c r="N108" s="32"/>
      <c r="AT108" s="32"/>
    </row>
    <row r="109" spans="1:46" s="22" customFormat="1" x14ac:dyDescent="0.3">
      <c r="A109" s="32"/>
      <c r="B109" s="32"/>
      <c r="C109" s="32"/>
      <c r="D109" s="32"/>
      <c r="E109" s="32"/>
      <c r="F109" s="32"/>
      <c r="G109" s="32"/>
      <c r="H109" s="32"/>
      <c r="I109" s="21"/>
      <c r="J109" s="21"/>
      <c r="K109" s="21"/>
      <c r="L109" s="32"/>
      <c r="M109" s="6"/>
      <c r="N109" s="32"/>
      <c r="AT109" s="32"/>
    </row>
    <row r="110" spans="1:46" s="22" customFormat="1" x14ac:dyDescent="0.3">
      <c r="A110" s="32"/>
      <c r="B110" s="32"/>
      <c r="C110" s="32"/>
      <c r="D110" s="32"/>
      <c r="E110" s="32"/>
      <c r="F110" s="32"/>
      <c r="G110" s="32"/>
      <c r="H110" s="32"/>
      <c r="I110" s="21"/>
      <c r="J110" s="21"/>
      <c r="K110" s="21"/>
      <c r="L110" s="32"/>
      <c r="M110" s="32"/>
      <c r="N110" s="32"/>
      <c r="AT110" s="32"/>
    </row>
    <row r="111" spans="1:46" s="22" customFormat="1" x14ac:dyDescent="0.3">
      <c r="A111" s="32"/>
      <c r="B111" s="32"/>
      <c r="C111" s="32"/>
      <c r="D111" s="32"/>
      <c r="E111" s="32"/>
      <c r="F111" s="32"/>
      <c r="G111" s="6"/>
      <c r="H111" s="6"/>
      <c r="I111" s="21"/>
      <c r="J111" s="21"/>
      <c r="K111" s="21"/>
      <c r="L111" s="32"/>
      <c r="M111" s="32"/>
      <c r="N111" s="32"/>
      <c r="AT111" s="32"/>
    </row>
    <row r="112" spans="1:46" s="22" customFormat="1" x14ac:dyDescent="0.3">
      <c r="A112" s="32"/>
      <c r="B112" s="32"/>
      <c r="C112" s="32"/>
      <c r="D112" s="32"/>
      <c r="E112" s="32"/>
      <c r="F112" s="32"/>
      <c r="G112" s="6"/>
      <c r="H112" s="6"/>
      <c r="I112" s="21"/>
      <c r="J112" s="21"/>
      <c r="K112" s="21"/>
      <c r="L112" s="32"/>
      <c r="M112" s="32"/>
      <c r="N112" s="32"/>
      <c r="AT112" s="32"/>
    </row>
    <row r="113" spans="1:46" s="22" customFormat="1" x14ac:dyDescent="0.3">
      <c r="A113" s="32"/>
      <c r="B113" s="32"/>
      <c r="C113" s="32"/>
      <c r="D113" s="32"/>
      <c r="E113" s="32"/>
      <c r="F113" s="32"/>
      <c r="G113" s="32"/>
      <c r="H113" s="32"/>
      <c r="I113" s="21"/>
      <c r="J113" s="21"/>
      <c r="K113" s="21"/>
      <c r="L113" s="32"/>
      <c r="M113" s="32"/>
      <c r="N113" s="32"/>
      <c r="AT113" s="32"/>
    </row>
    <row r="114" spans="1:46" s="22" customFormat="1" x14ac:dyDescent="0.3">
      <c r="A114" s="32"/>
      <c r="B114" s="32"/>
      <c r="C114" s="32"/>
      <c r="D114" s="32"/>
      <c r="E114" s="32"/>
      <c r="F114" s="32"/>
      <c r="G114" s="32"/>
      <c r="H114" s="32"/>
      <c r="I114" s="21"/>
      <c r="J114" s="21"/>
      <c r="K114" s="21"/>
      <c r="L114" s="32"/>
      <c r="M114" s="32"/>
      <c r="N114" s="32"/>
      <c r="AT114" s="32"/>
    </row>
    <row r="115" spans="1:46" s="22" customFormat="1" x14ac:dyDescent="0.3">
      <c r="A115" s="32"/>
      <c r="B115" s="32"/>
      <c r="C115" s="32"/>
      <c r="D115" s="32"/>
      <c r="E115" s="32"/>
      <c r="F115" s="32"/>
      <c r="G115" s="32"/>
      <c r="H115" s="32"/>
      <c r="I115" s="21"/>
      <c r="J115" s="21"/>
      <c r="K115" s="21"/>
      <c r="L115" s="32"/>
      <c r="M115" s="32"/>
      <c r="N115" s="32"/>
      <c r="AT115" s="32"/>
    </row>
    <row r="116" spans="1:46" s="22" customFormat="1" x14ac:dyDescent="0.3">
      <c r="A116" s="32"/>
      <c r="B116" s="32"/>
      <c r="C116" s="32"/>
      <c r="D116" s="32"/>
      <c r="E116" s="32"/>
      <c r="F116" s="32"/>
      <c r="G116" s="32"/>
      <c r="H116" s="32"/>
      <c r="I116" s="21"/>
      <c r="J116" s="21"/>
      <c r="K116" s="21"/>
      <c r="L116" s="32"/>
      <c r="M116" s="32"/>
      <c r="N116" s="32"/>
      <c r="AT116" s="32"/>
    </row>
    <row r="117" spans="1:46" s="22" customFormat="1" x14ac:dyDescent="0.3">
      <c r="A117" s="32"/>
      <c r="B117" s="32"/>
      <c r="C117" s="32"/>
      <c r="D117" s="32"/>
      <c r="E117" s="32"/>
      <c r="F117" s="32"/>
      <c r="G117" s="32"/>
      <c r="H117" s="32"/>
      <c r="I117" s="21"/>
      <c r="J117" s="21"/>
      <c r="K117" s="21"/>
      <c r="L117" s="32"/>
      <c r="M117" s="32"/>
      <c r="N117" s="32"/>
      <c r="AT117" s="32"/>
    </row>
    <row r="118" spans="1:46" s="22" customFormat="1" x14ac:dyDescent="0.3">
      <c r="A118" s="32"/>
      <c r="B118" s="32"/>
      <c r="C118" s="32"/>
      <c r="D118" s="32"/>
      <c r="E118" s="32"/>
      <c r="F118" s="32"/>
      <c r="G118" s="32"/>
      <c r="H118" s="32"/>
      <c r="I118" s="21"/>
      <c r="J118" s="21"/>
      <c r="K118" s="21"/>
      <c r="L118" s="32"/>
      <c r="M118" s="32"/>
      <c r="N118" s="32"/>
      <c r="AT118" s="32"/>
    </row>
    <row r="119" spans="1:46" s="22" customFormat="1" x14ac:dyDescent="0.3">
      <c r="A119" s="32"/>
      <c r="B119" s="32"/>
      <c r="C119" s="32"/>
      <c r="D119" s="32"/>
      <c r="E119" s="32"/>
      <c r="F119" s="32"/>
      <c r="G119" s="32"/>
      <c r="H119" s="32"/>
      <c r="I119" s="21"/>
      <c r="J119" s="21"/>
      <c r="K119" s="21"/>
      <c r="L119" s="32"/>
      <c r="M119" s="32"/>
      <c r="N119" s="32"/>
      <c r="AT119" s="32"/>
    </row>
    <row r="120" spans="1:46" s="22" customFormat="1" x14ac:dyDescent="0.3">
      <c r="A120" s="32"/>
      <c r="B120" s="32"/>
      <c r="C120" s="32"/>
      <c r="D120" s="32"/>
      <c r="E120" s="32"/>
      <c r="F120" s="32"/>
      <c r="G120" s="32"/>
      <c r="H120" s="32"/>
      <c r="I120" s="21"/>
      <c r="J120" s="21"/>
      <c r="K120" s="21"/>
      <c r="L120" s="32"/>
      <c r="M120" s="32"/>
      <c r="N120" s="32"/>
      <c r="AT120" s="32"/>
    </row>
    <row r="121" spans="1:46" s="22" customFormat="1" x14ac:dyDescent="0.3">
      <c r="A121" s="32"/>
      <c r="B121" s="32"/>
      <c r="C121" s="32"/>
      <c r="D121" s="32"/>
      <c r="E121" s="32"/>
      <c r="F121" s="32"/>
      <c r="G121" s="32"/>
      <c r="H121" s="32"/>
      <c r="I121" s="21"/>
      <c r="J121" s="21"/>
      <c r="K121" s="21"/>
      <c r="L121" s="32"/>
      <c r="M121" s="32"/>
      <c r="N121" s="32"/>
      <c r="AT121" s="32"/>
    </row>
    <row r="122" spans="1:46" s="22" customFormat="1" x14ac:dyDescent="0.3">
      <c r="A122" s="32"/>
      <c r="B122" s="32"/>
      <c r="C122" s="32"/>
      <c r="D122" s="32"/>
      <c r="E122" s="32"/>
      <c r="F122" s="32"/>
      <c r="G122" s="32"/>
      <c r="H122" s="32"/>
      <c r="I122" s="21"/>
      <c r="J122" s="21"/>
      <c r="K122" s="21"/>
      <c r="L122" s="32"/>
      <c r="M122" s="32"/>
      <c r="N122" s="32"/>
      <c r="AT122" s="32"/>
    </row>
    <row r="123" spans="1:46" s="22" customFormat="1" x14ac:dyDescent="0.3">
      <c r="A123" s="32"/>
      <c r="B123" s="32"/>
      <c r="C123" s="32"/>
      <c r="D123" s="32"/>
      <c r="E123" s="32"/>
      <c r="F123" s="32"/>
      <c r="G123" s="32"/>
      <c r="H123" s="32"/>
      <c r="I123" s="21"/>
      <c r="J123" s="21"/>
      <c r="K123" s="21"/>
      <c r="L123" s="32"/>
      <c r="M123" s="32"/>
      <c r="N123" s="32"/>
      <c r="AT123" s="32"/>
    </row>
    <row r="124" spans="1:46" s="22" customFormat="1" x14ac:dyDescent="0.3">
      <c r="A124" s="32"/>
      <c r="B124" s="32"/>
      <c r="C124" s="32"/>
      <c r="D124" s="32"/>
      <c r="E124" s="32"/>
      <c r="F124" s="32"/>
      <c r="G124" s="32"/>
      <c r="H124" s="32"/>
      <c r="I124" s="21"/>
      <c r="J124" s="21"/>
      <c r="K124" s="21"/>
      <c r="L124" s="32"/>
      <c r="M124" s="32"/>
      <c r="N124" s="32"/>
      <c r="AT124" s="32"/>
    </row>
    <row r="125" spans="1:46" s="22" customFormat="1" x14ac:dyDescent="0.3">
      <c r="A125" s="32"/>
      <c r="B125" s="32"/>
      <c r="C125" s="32"/>
      <c r="D125" s="32"/>
      <c r="E125" s="32"/>
      <c r="F125" s="32"/>
      <c r="G125" s="32"/>
      <c r="H125" s="32"/>
      <c r="I125" s="21"/>
      <c r="J125" s="21"/>
      <c r="K125" s="21"/>
      <c r="L125" s="32"/>
      <c r="M125" s="32"/>
      <c r="N125" s="32"/>
      <c r="AT125" s="32"/>
    </row>
    <row r="126" spans="1:46" s="22" customFormat="1" x14ac:dyDescent="0.3">
      <c r="A126" s="32"/>
      <c r="B126" s="32"/>
      <c r="C126" s="32"/>
      <c r="D126" s="32"/>
      <c r="E126" s="32"/>
      <c r="F126" s="32"/>
      <c r="G126" s="32"/>
      <c r="H126" s="32"/>
      <c r="I126" s="21"/>
      <c r="J126" s="21"/>
      <c r="K126" s="21"/>
      <c r="L126" s="32"/>
      <c r="M126" s="32"/>
      <c r="N126" s="32"/>
      <c r="AT126" s="32"/>
    </row>
    <row r="127" spans="1:46" s="22" customFormat="1" x14ac:dyDescent="0.3">
      <c r="A127" s="32"/>
      <c r="B127" s="32"/>
      <c r="C127" s="32"/>
      <c r="D127" s="32"/>
      <c r="E127" s="32"/>
      <c r="F127" s="32"/>
      <c r="G127" s="32"/>
      <c r="H127" s="32"/>
      <c r="I127" s="21"/>
      <c r="J127" s="21"/>
      <c r="K127" s="21"/>
      <c r="L127" s="32"/>
      <c r="M127" s="32"/>
      <c r="N127" s="32"/>
      <c r="AT127" s="32"/>
    </row>
    <row r="128" spans="1:46" s="22" customFormat="1" x14ac:dyDescent="0.3">
      <c r="A128" s="32"/>
      <c r="B128" s="32"/>
      <c r="C128" s="32"/>
      <c r="D128" s="32"/>
      <c r="E128" s="32"/>
      <c r="F128" s="32"/>
      <c r="G128" s="32"/>
      <c r="H128" s="32"/>
      <c r="I128" s="21"/>
      <c r="J128" s="21"/>
      <c r="K128" s="21"/>
      <c r="L128" s="32"/>
      <c r="M128" s="32"/>
      <c r="N128" s="32"/>
      <c r="AT128" s="32"/>
    </row>
    <row r="129" spans="1:46" s="22" customFormat="1" x14ac:dyDescent="0.3">
      <c r="A129" s="32"/>
      <c r="B129" s="32"/>
      <c r="C129" s="32"/>
      <c r="D129" s="32"/>
      <c r="E129" s="32"/>
      <c r="F129" s="32"/>
      <c r="G129" s="32"/>
      <c r="H129" s="32"/>
      <c r="I129" s="21"/>
      <c r="J129" s="21"/>
      <c r="K129" s="21"/>
      <c r="L129" s="32"/>
      <c r="M129" s="32"/>
      <c r="N129" s="32"/>
      <c r="AT129" s="32"/>
    </row>
    <row r="130" spans="1:46" s="22" customFormat="1" x14ac:dyDescent="0.3">
      <c r="A130" s="32"/>
      <c r="B130" s="32"/>
      <c r="C130" s="32"/>
      <c r="D130" s="32"/>
      <c r="E130" s="32"/>
      <c r="F130" s="32"/>
      <c r="G130" s="32"/>
      <c r="H130" s="32"/>
      <c r="I130" s="21"/>
      <c r="J130" s="21"/>
      <c r="K130" s="21"/>
      <c r="L130" s="32"/>
      <c r="M130" s="32"/>
      <c r="N130" s="32"/>
      <c r="AT130" s="32"/>
    </row>
    <row r="131" spans="1:46" s="22" customFormat="1" x14ac:dyDescent="0.3">
      <c r="A131" s="32"/>
      <c r="B131" s="32"/>
      <c r="C131" s="32"/>
      <c r="D131" s="32"/>
      <c r="E131" s="32"/>
      <c r="F131" s="32"/>
      <c r="G131" s="32"/>
      <c r="H131" s="32"/>
      <c r="I131" s="21"/>
      <c r="J131" s="21"/>
      <c r="K131" s="21"/>
      <c r="L131" s="32"/>
      <c r="M131" s="32"/>
      <c r="N131" s="32"/>
      <c r="AT131" s="32"/>
    </row>
    <row r="132" spans="1:46" s="22" customFormat="1" x14ac:dyDescent="0.3">
      <c r="A132" s="32"/>
      <c r="B132" s="32"/>
      <c r="C132" s="32"/>
      <c r="D132" s="32"/>
      <c r="E132" s="32"/>
      <c r="F132" s="32"/>
      <c r="G132" s="32"/>
      <c r="H132" s="32"/>
      <c r="I132" s="21"/>
      <c r="J132" s="21"/>
      <c r="K132" s="21"/>
      <c r="L132" s="32"/>
      <c r="M132" s="32"/>
      <c r="N132" s="32"/>
      <c r="AT132" s="32"/>
    </row>
    <row r="133" spans="1:46" s="22" customFormat="1" x14ac:dyDescent="0.3">
      <c r="A133" s="32"/>
      <c r="B133" s="32"/>
      <c r="C133" s="32"/>
      <c r="D133" s="32"/>
      <c r="E133" s="32"/>
      <c r="F133" s="32"/>
      <c r="G133" s="32"/>
      <c r="H133" s="32"/>
      <c r="I133" s="21"/>
      <c r="J133" s="21"/>
      <c r="K133" s="21"/>
      <c r="L133" s="32"/>
      <c r="M133" s="32"/>
      <c r="N133" s="32"/>
      <c r="AT133" s="32"/>
    </row>
    <row r="134" spans="1:46" s="22" customFormat="1" x14ac:dyDescent="0.3">
      <c r="A134" s="32"/>
      <c r="B134" s="32"/>
      <c r="C134" s="32"/>
      <c r="D134" s="32"/>
      <c r="E134" s="32"/>
      <c r="F134" s="32"/>
      <c r="G134" s="32"/>
      <c r="H134" s="32"/>
      <c r="I134" s="21"/>
      <c r="J134" s="21"/>
      <c r="K134" s="21"/>
      <c r="L134" s="32"/>
      <c r="M134" s="32"/>
      <c r="N134" s="32"/>
      <c r="AT134" s="32"/>
    </row>
    <row r="135" spans="1:46" s="22" customFormat="1" x14ac:dyDescent="0.3">
      <c r="A135" s="32"/>
      <c r="B135" s="32"/>
      <c r="C135" s="32"/>
      <c r="D135" s="32"/>
      <c r="E135" s="32"/>
      <c r="F135" s="32"/>
      <c r="G135" s="32"/>
      <c r="H135" s="32"/>
      <c r="I135" s="21"/>
      <c r="J135" s="21"/>
      <c r="K135" s="21"/>
      <c r="L135" s="32"/>
      <c r="M135" s="32"/>
      <c r="N135" s="32"/>
      <c r="AT135" s="32"/>
    </row>
    <row r="136" spans="1:46" s="22" customFormat="1" x14ac:dyDescent="0.3">
      <c r="A136" s="32"/>
      <c r="B136" s="32"/>
      <c r="C136" s="32"/>
      <c r="D136" s="32"/>
      <c r="E136" s="32"/>
      <c r="F136" s="32"/>
      <c r="G136" s="32"/>
      <c r="H136" s="32"/>
      <c r="I136" s="21"/>
      <c r="J136" s="21"/>
      <c r="K136" s="21"/>
      <c r="L136" s="32"/>
      <c r="M136" s="32"/>
      <c r="N136" s="32"/>
      <c r="AT136" s="32"/>
    </row>
    <row r="137" spans="1:46" s="22" customFormat="1" x14ac:dyDescent="0.3">
      <c r="A137" s="32"/>
      <c r="B137" s="32"/>
      <c r="C137" s="32"/>
      <c r="D137" s="32"/>
      <c r="E137" s="32"/>
      <c r="F137" s="32"/>
      <c r="G137" s="32"/>
      <c r="H137" s="32"/>
      <c r="I137" s="21"/>
      <c r="J137" s="21"/>
      <c r="K137" s="21"/>
      <c r="L137" s="32"/>
      <c r="M137" s="32"/>
      <c r="N137" s="32"/>
      <c r="AT137" s="32"/>
    </row>
    <row r="138" spans="1:46" s="22" customFormat="1" x14ac:dyDescent="0.3">
      <c r="A138" s="32"/>
      <c r="B138" s="32"/>
      <c r="C138" s="32"/>
      <c r="D138" s="32"/>
      <c r="E138" s="32"/>
      <c r="F138" s="32"/>
      <c r="G138" s="32"/>
      <c r="H138" s="32"/>
      <c r="I138" s="24"/>
      <c r="J138" s="24"/>
      <c r="K138" s="24"/>
      <c r="L138" s="32"/>
      <c r="M138" s="32"/>
      <c r="N138" s="32"/>
      <c r="AT138" s="32"/>
    </row>
    <row r="139" spans="1:46" s="22" customFormat="1" x14ac:dyDescent="0.3">
      <c r="A139" s="32"/>
      <c r="B139" s="32"/>
      <c r="C139" s="32"/>
      <c r="D139" s="32"/>
      <c r="E139" s="32"/>
      <c r="F139" s="32"/>
      <c r="G139" s="32"/>
      <c r="H139" s="32"/>
      <c r="I139" s="24"/>
      <c r="J139" s="24"/>
      <c r="K139" s="24"/>
      <c r="L139" s="32"/>
      <c r="M139" s="32"/>
      <c r="N139" s="32"/>
      <c r="AT139" s="32"/>
    </row>
    <row r="140" spans="1:46" s="22" customFormat="1" x14ac:dyDescent="0.3">
      <c r="A140" s="32"/>
      <c r="B140" s="32"/>
      <c r="C140" s="32"/>
      <c r="D140" s="32"/>
      <c r="E140" s="32"/>
      <c r="F140" s="32"/>
      <c r="G140" s="32"/>
      <c r="H140" s="32"/>
      <c r="I140" s="24"/>
      <c r="J140" s="24"/>
      <c r="K140" s="24"/>
      <c r="L140" s="25"/>
      <c r="M140" s="32"/>
      <c r="N140" s="32"/>
      <c r="AT140" s="32"/>
    </row>
    <row r="141" spans="1:46" s="22" customFormat="1" x14ac:dyDescent="0.3">
      <c r="A141" s="32"/>
      <c r="B141" s="32"/>
      <c r="C141" s="32"/>
      <c r="D141" s="32"/>
      <c r="E141" s="32"/>
      <c r="F141" s="32"/>
      <c r="G141" s="32"/>
      <c r="H141" s="32"/>
      <c r="I141" s="24"/>
      <c r="J141" s="24"/>
      <c r="K141" s="24"/>
      <c r="L141" s="25"/>
      <c r="M141" s="32"/>
      <c r="N141" s="32"/>
      <c r="AT141" s="32"/>
    </row>
    <row r="142" spans="1:46" s="22" customFormat="1" x14ac:dyDescent="0.3">
      <c r="A142" s="32"/>
      <c r="B142" s="32"/>
      <c r="C142" s="32"/>
      <c r="D142" s="32"/>
      <c r="E142" s="32"/>
      <c r="F142" s="32"/>
      <c r="G142" s="32"/>
      <c r="H142" s="32"/>
      <c r="I142" s="24"/>
      <c r="J142" s="24"/>
      <c r="K142" s="24"/>
      <c r="L142" s="25"/>
      <c r="M142" s="32"/>
      <c r="AT142" s="32"/>
    </row>
    <row r="143" spans="1:46" s="22" customFormat="1" x14ac:dyDescent="0.3">
      <c r="A143" s="32"/>
      <c r="B143" s="32"/>
      <c r="C143" s="32"/>
      <c r="D143" s="32"/>
      <c r="E143" s="32"/>
      <c r="F143" s="32"/>
      <c r="G143" s="32"/>
      <c r="H143" s="32"/>
      <c r="I143" s="24"/>
      <c r="J143" s="24"/>
      <c r="K143" s="24"/>
      <c r="L143" s="25"/>
      <c r="M143" s="32"/>
      <c r="AT143" s="32"/>
    </row>
    <row r="144" spans="1:46" s="22" customFormat="1" x14ac:dyDescent="0.3">
      <c r="A144" s="32"/>
      <c r="B144" s="32"/>
      <c r="C144" s="32"/>
      <c r="D144" s="32"/>
      <c r="E144" s="32"/>
      <c r="F144" s="32"/>
      <c r="G144" s="32"/>
      <c r="H144" s="32"/>
      <c r="I144" s="24"/>
      <c r="J144" s="24"/>
      <c r="K144" s="24"/>
      <c r="L144" s="25"/>
      <c r="M144" s="32"/>
      <c r="AT144" s="32"/>
    </row>
    <row r="145" spans="1:46" s="22" customFormat="1" x14ac:dyDescent="0.3">
      <c r="A145" s="32"/>
      <c r="B145" s="32"/>
      <c r="C145" s="32"/>
      <c r="D145" s="32"/>
      <c r="E145" s="32"/>
      <c r="F145" s="32"/>
      <c r="G145" s="32"/>
      <c r="H145" s="32"/>
      <c r="I145" s="24"/>
      <c r="J145" s="24"/>
      <c r="K145" s="24"/>
      <c r="L145" s="25"/>
      <c r="M145" s="25"/>
      <c r="AT145" s="32"/>
    </row>
    <row r="146" spans="1:46" s="22" customFormat="1" x14ac:dyDescent="0.3">
      <c r="A146" s="32"/>
      <c r="B146" s="32"/>
      <c r="C146" s="32"/>
      <c r="D146" s="32"/>
      <c r="E146" s="32"/>
      <c r="F146" s="32"/>
      <c r="G146" s="32"/>
      <c r="H146" s="32"/>
      <c r="I146" s="24"/>
      <c r="J146" s="24"/>
      <c r="K146" s="24"/>
      <c r="L146" s="25"/>
      <c r="M146" s="25"/>
      <c r="AT146" s="32"/>
    </row>
    <row r="147" spans="1:46" s="22" customFormat="1" x14ac:dyDescent="0.3">
      <c r="A147" s="32"/>
      <c r="B147" s="32"/>
      <c r="C147" s="32"/>
      <c r="D147" s="32"/>
      <c r="E147" s="32"/>
      <c r="F147" s="32"/>
      <c r="G147" s="32"/>
      <c r="H147" s="32"/>
      <c r="I147" s="24"/>
      <c r="J147" s="24"/>
      <c r="K147" s="24"/>
      <c r="L147" s="25"/>
      <c r="M147" s="25"/>
      <c r="AT147" s="32"/>
    </row>
    <row r="148" spans="1:46" s="22" customFormat="1" x14ac:dyDescent="0.3">
      <c r="I148" s="24"/>
      <c r="J148" s="24"/>
      <c r="K148" s="24"/>
      <c r="L148" s="25"/>
      <c r="M148" s="25"/>
      <c r="AT148" s="32"/>
    </row>
    <row r="149" spans="1:46" s="22" customFormat="1" x14ac:dyDescent="0.3">
      <c r="I149" s="24"/>
      <c r="J149" s="24"/>
      <c r="K149" s="24"/>
      <c r="L149" s="25"/>
      <c r="M149" s="25"/>
      <c r="AT149" s="32"/>
    </row>
    <row r="150" spans="1:46" s="22" customFormat="1" x14ac:dyDescent="0.3">
      <c r="I150" s="24"/>
      <c r="J150" s="24"/>
      <c r="K150" s="24"/>
      <c r="L150" s="25"/>
      <c r="M150" s="25"/>
      <c r="AT150" s="32"/>
    </row>
    <row r="151" spans="1:46" s="22" customFormat="1" x14ac:dyDescent="0.3">
      <c r="I151" s="24"/>
      <c r="J151" s="24"/>
      <c r="K151" s="24"/>
      <c r="L151" s="25"/>
      <c r="M151" s="25"/>
      <c r="AT151" s="32"/>
    </row>
    <row r="152" spans="1:46" s="22" customFormat="1" x14ac:dyDescent="0.3">
      <c r="I152" s="24"/>
      <c r="J152" s="24"/>
      <c r="K152" s="24"/>
      <c r="L152" s="25"/>
      <c r="M152" s="25"/>
      <c r="AT152" s="32"/>
    </row>
    <row r="153" spans="1:46" s="22" customFormat="1" x14ac:dyDescent="0.3">
      <c r="I153" s="24"/>
      <c r="J153" s="24"/>
      <c r="K153" s="24"/>
      <c r="L153" s="25"/>
      <c r="M153" s="25"/>
      <c r="AT153" s="32"/>
    </row>
    <row r="154" spans="1:46" s="22" customFormat="1" x14ac:dyDescent="0.3">
      <c r="I154" s="24"/>
      <c r="J154" s="24"/>
      <c r="K154" s="24"/>
      <c r="L154" s="25"/>
      <c r="M154" s="25"/>
      <c r="AT154" s="32"/>
    </row>
    <row r="155" spans="1:46" s="22" customFormat="1" x14ac:dyDescent="0.3">
      <c r="I155" s="24"/>
      <c r="J155" s="24"/>
      <c r="K155" s="24"/>
      <c r="L155" s="25"/>
      <c r="M155" s="25"/>
      <c r="AT155" s="32"/>
    </row>
    <row r="156" spans="1:46" s="22" customFormat="1" x14ac:dyDescent="0.3">
      <c r="I156" s="24"/>
      <c r="J156" s="24"/>
      <c r="K156" s="24"/>
      <c r="L156" s="25"/>
      <c r="M156" s="25"/>
      <c r="AT156" s="32"/>
    </row>
    <row r="157" spans="1:46" s="22" customFormat="1" x14ac:dyDescent="0.3">
      <c r="I157" s="24"/>
      <c r="J157" s="24"/>
      <c r="K157" s="24"/>
      <c r="L157" s="25"/>
      <c r="M157" s="25"/>
      <c r="AT157" s="32"/>
    </row>
    <row r="158" spans="1:46" s="22" customFormat="1" x14ac:dyDescent="0.3">
      <c r="I158" s="24"/>
      <c r="J158" s="24"/>
      <c r="K158" s="24"/>
      <c r="L158" s="25"/>
      <c r="M158" s="25"/>
      <c r="AT158" s="32"/>
    </row>
    <row r="159" spans="1:46" s="22" customFormat="1" x14ac:dyDescent="0.3">
      <c r="I159" s="24"/>
      <c r="J159" s="24"/>
      <c r="K159" s="24"/>
      <c r="L159" s="25"/>
      <c r="M159" s="25"/>
      <c r="AT159" s="32"/>
    </row>
    <row r="160" spans="1:46" s="22" customFormat="1" x14ac:dyDescent="0.3">
      <c r="I160" s="24"/>
      <c r="J160" s="24"/>
      <c r="K160" s="24"/>
      <c r="L160" s="25"/>
      <c r="M160" s="25"/>
      <c r="AT160" s="32"/>
    </row>
    <row r="161" spans="9:46" s="22" customFormat="1" x14ac:dyDescent="0.3">
      <c r="I161" s="24"/>
      <c r="J161" s="24"/>
      <c r="K161" s="24"/>
      <c r="L161" s="25"/>
      <c r="M161" s="25"/>
      <c r="AT161" s="32"/>
    </row>
    <row r="162" spans="9:46" s="22" customFormat="1" x14ac:dyDescent="0.3">
      <c r="I162" s="24"/>
      <c r="J162" s="24"/>
      <c r="K162" s="24"/>
      <c r="L162" s="25"/>
      <c r="M162" s="25"/>
      <c r="AT162" s="32"/>
    </row>
    <row r="163" spans="9:46" s="22" customFormat="1" x14ac:dyDescent="0.3">
      <c r="I163" s="24"/>
      <c r="J163" s="24"/>
      <c r="K163" s="24"/>
      <c r="L163" s="25"/>
      <c r="M163" s="25"/>
      <c r="AT163" s="32"/>
    </row>
    <row r="164" spans="9:46" s="22" customFormat="1" x14ac:dyDescent="0.3">
      <c r="I164" s="24"/>
      <c r="J164" s="24"/>
      <c r="K164" s="24"/>
      <c r="L164" s="25"/>
      <c r="M164" s="25"/>
      <c r="AT164" s="32"/>
    </row>
    <row r="165" spans="9:46" s="22" customFormat="1" x14ac:dyDescent="0.3">
      <c r="I165" s="24"/>
      <c r="J165" s="24"/>
      <c r="K165" s="24"/>
      <c r="L165" s="25"/>
      <c r="M165" s="25"/>
      <c r="AT165" s="32"/>
    </row>
    <row r="166" spans="9:46" s="22" customFormat="1" x14ac:dyDescent="0.3">
      <c r="I166" s="24"/>
      <c r="J166" s="24"/>
      <c r="K166" s="24"/>
      <c r="L166" s="25"/>
      <c r="M166" s="25"/>
      <c r="AT166" s="32"/>
    </row>
    <row r="167" spans="9:46" s="22" customFormat="1" x14ac:dyDescent="0.3">
      <c r="I167" s="24"/>
      <c r="J167" s="24"/>
      <c r="K167" s="24"/>
      <c r="L167" s="25"/>
      <c r="M167" s="25"/>
      <c r="AT167" s="32"/>
    </row>
    <row r="168" spans="9:46" s="22" customFormat="1" x14ac:dyDescent="0.3">
      <c r="I168" s="24"/>
      <c r="J168" s="24"/>
      <c r="K168" s="24"/>
      <c r="L168" s="25"/>
      <c r="M168" s="25"/>
      <c r="AT168" s="32"/>
    </row>
    <row r="169" spans="9:46" s="22" customFormat="1" x14ac:dyDescent="0.3">
      <c r="I169" s="24"/>
      <c r="J169" s="24"/>
      <c r="K169" s="24"/>
      <c r="L169" s="25"/>
      <c r="M169" s="25"/>
      <c r="AT169" s="32"/>
    </row>
    <row r="170" spans="9:46" s="22" customFormat="1" x14ac:dyDescent="0.3">
      <c r="I170" s="24"/>
      <c r="J170" s="24"/>
      <c r="K170" s="24"/>
      <c r="L170" s="25"/>
      <c r="M170" s="25"/>
      <c r="AT170" s="32"/>
    </row>
    <row r="171" spans="9:46" s="22" customFormat="1" x14ac:dyDescent="0.3">
      <c r="I171" s="24"/>
      <c r="J171" s="24"/>
      <c r="K171" s="24"/>
      <c r="L171" s="25"/>
      <c r="M171" s="25"/>
      <c r="AT171" s="32"/>
    </row>
    <row r="172" spans="9:46" s="22" customFormat="1" x14ac:dyDescent="0.3">
      <c r="I172" s="24"/>
      <c r="J172" s="24"/>
      <c r="K172" s="24"/>
      <c r="L172" s="25"/>
      <c r="M172" s="25"/>
      <c r="AT172" s="32"/>
    </row>
    <row r="173" spans="9:46" s="22" customFormat="1" x14ac:dyDescent="0.3">
      <c r="I173" s="24"/>
      <c r="J173" s="24"/>
      <c r="K173" s="24"/>
      <c r="L173" s="25"/>
      <c r="M173" s="25"/>
      <c r="AT173" s="32"/>
    </row>
    <row r="174" spans="9:46" s="22" customFormat="1" x14ac:dyDescent="0.3">
      <c r="I174" s="24"/>
      <c r="J174" s="24"/>
      <c r="K174" s="24"/>
      <c r="L174" s="25"/>
      <c r="M174" s="25"/>
      <c r="AT174" s="32"/>
    </row>
    <row r="175" spans="9:46" s="22" customFormat="1" x14ac:dyDescent="0.3">
      <c r="I175" s="24"/>
      <c r="J175" s="24"/>
      <c r="K175" s="24"/>
      <c r="L175" s="25"/>
      <c r="M175" s="25"/>
      <c r="AT175" s="32"/>
    </row>
    <row r="176" spans="9:46" s="22" customFormat="1" x14ac:dyDescent="0.3">
      <c r="I176" s="24"/>
      <c r="J176" s="24"/>
      <c r="K176" s="24"/>
      <c r="L176" s="25"/>
      <c r="M176" s="25"/>
      <c r="AT176" s="32"/>
    </row>
    <row r="177" spans="9:46" s="22" customFormat="1" x14ac:dyDescent="0.3">
      <c r="I177" s="24"/>
      <c r="J177" s="24"/>
      <c r="K177" s="24"/>
      <c r="L177" s="25"/>
      <c r="M177" s="25"/>
      <c r="AT177" s="32"/>
    </row>
    <row r="178" spans="9:46" s="22" customFormat="1" x14ac:dyDescent="0.3">
      <c r="I178" s="24"/>
      <c r="J178" s="24"/>
      <c r="K178" s="24"/>
      <c r="L178" s="25"/>
      <c r="M178" s="25"/>
      <c r="AT178" s="32"/>
    </row>
    <row r="179" spans="9:46" s="22" customFormat="1" x14ac:dyDescent="0.3">
      <c r="I179" s="24"/>
      <c r="J179" s="24"/>
      <c r="K179" s="24"/>
      <c r="L179" s="25"/>
      <c r="M179" s="25"/>
      <c r="AT179" s="32"/>
    </row>
    <row r="180" spans="9:46" s="22" customFormat="1" x14ac:dyDescent="0.3">
      <c r="I180" s="24"/>
      <c r="J180" s="24"/>
      <c r="K180" s="24"/>
      <c r="L180" s="25"/>
      <c r="M180" s="25"/>
      <c r="AT180" s="32"/>
    </row>
    <row r="181" spans="9:46" s="22" customFormat="1" x14ac:dyDescent="0.3">
      <c r="I181" s="24"/>
      <c r="J181" s="24"/>
      <c r="K181" s="24"/>
      <c r="L181" s="25"/>
      <c r="M181" s="25"/>
      <c r="AT181" s="32"/>
    </row>
    <row r="182" spans="9:46" s="22" customFormat="1" x14ac:dyDescent="0.3">
      <c r="I182" s="24"/>
      <c r="J182" s="24"/>
      <c r="K182" s="24"/>
      <c r="L182" s="25"/>
      <c r="M182" s="25"/>
      <c r="AT182" s="32"/>
    </row>
    <row r="183" spans="9:46" s="22" customFormat="1" x14ac:dyDescent="0.3">
      <c r="I183" s="24"/>
      <c r="J183" s="24"/>
      <c r="K183" s="24"/>
      <c r="L183" s="25"/>
      <c r="M183" s="25"/>
      <c r="AT183" s="32"/>
    </row>
    <row r="184" spans="9:46" s="22" customFormat="1" x14ac:dyDescent="0.3">
      <c r="I184" s="24"/>
      <c r="J184" s="24"/>
      <c r="K184" s="24"/>
      <c r="L184" s="25"/>
      <c r="M184" s="25"/>
      <c r="AT184" s="32"/>
    </row>
    <row r="185" spans="9:46" s="22" customFormat="1" x14ac:dyDescent="0.3">
      <c r="I185" s="24"/>
      <c r="J185" s="24"/>
      <c r="K185" s="24"/>
      <c r="L185" s="25"/>
      <c r="M185" s="25"/>
      <c r="AT185" s="32"/>
    </row>
    <row r="186" spans="9:46" s="22" customFormat="1" x14ac:dyDescent="0.3">
      <c r="I186" s="24"/>
      <c r="J186" s="24"/>
      <c r="K186" s="24"/>
      <c r="L186" s="25"/>
      <c r="M186" s="25"/>
      <c r="AT186" s="32"/>
    </row>
    <row r="187" spans="9:46" s="22" customFormat="1" x14ac:dyDescent="0.3">
      <c r="I187" s="24"/>
      <c r="J187" s="24"/>
      <c r="K187" s="24"/>
      <c r="L187" s="25"/>
      <c r="M187" s="25"/>
      <c r="AT187" s="32"/>
    </row>
    <row r="188" spans="9:46" s="22" customFormat="1" x14ac:dyDescent="0.3">
      <c r="I188" s="24"/>
      <c r="J188" s="24"/>
      <c r="K188" s="24"/>
      <c r="L188" s="25"/>
      <c r="M188" s="25"/>
      <c r="AT188" s="32"/>
    </row>
    <row r="189" spans="9:46" s="22" customFormat="1" x14ac:dyDescent="0.3">
      <c r="I189" s="24"/>
      <c r="J189" s="24"/>
      <c r="K189" s="24"/>
      <c r="L189" s="25"/>
      <c r="M189" s="25"/>
      <c r="AT189" s="32"/>
    </row>
    <row r="190" spans="9:46" s="22" customFormat="1" x14ac:dyDescent="0.3">
      <c r="I190" s="24"/>
      <c r="J190" s="24"/>
      <c r="K190" s="24"/>
      <c r="L190" s="25"/>
      <c r="M190" s="25"/>
      <c r="AT190" s="32"/>
    </row>
    <row r="191" spans="9:46" s="22" customFormat="1" x14ac:dyDescent="0.3">
      <c r="I191" s="24"/>
      <c r="J191" s="24"/>
      <c r="K191" s="24"/>
      <c r="L191" s="25"/>
      <c r="M191" s="25"/>
      <c r="AT191" s="32"/>
    </row>
    <row r="192" spans="9:46" s="22" customFormat="1" x14ac:dyDescent="0.3">
      <c r="I192" s="24"/>
      <c r="J192" s="24"/>
      <c r="K192" s="24"/>
      <c r="L192" s="25"/>
      <c r="M192" s="25"/>
      <c r="AT192" s="32"/>
    </row>
    <row r="193" spans="9:46" s="22" customFormat="1" x14ac:dyDescent="0.3">
      <c r="I193" s="24"/>
      <c r="J193" s="24"/>
      <c r="K193" s="24"/>
      <c r="L193" s="25"/>
      <c r="M193" s="25"/>
      <c r="AT193" s="32"/>
    </row>
    <row r="194" spans="9:46" s="22" customFormat="1" x14ac:dyDescent="0.3">
      <c r="I194" s="24"/>
      <c r="J194" s="24"/>
      <c r="K194" s="24"/>
      <c r="L194" s="25"/>
      <c r="M194" s="25"/>
      <c r="AT194" s="32"/>
    </row>
    <row r="195" spans="9:46" s="22" customFormat="1" x14ac:dyDescent="0.3">
      <c r="I195" s="24"/>
      <c r="J195" s="24"/>
      <c r="K195" s="24"/>
      <c r="L195" s="25"/>
      <c r="M195" s="25"/>
      <c r="AT195" s="32"/>
    </row>
    <row r="196" spans="9:46" s="22" customFormat="1" x14ac:dyDescent="0.3">
      <c r="I196" s="24"/>
      <c r="J196" s="24"/>
      <c r="K196" s="24"/>
      <c r="L196" s="25"/>
      <c r="M196" s="25"/>
      <c r="AT196" s="32"/>
    </row>
    <row r="197" spans="9:46" s="22" customFormat="1" x14ac:dyDescent="0.3">
      <c r="I197" s="24"/>
      <c r="J197" s="24"/>
      <c r="K197" s="24"/>
      <c r="L197" s="25"/>
      <c r="M197" s="25"/>
      <c r="AT197" s="32"/>
    </row>
    <row r="198" spans="9:46" s="22" customFormat="1" x14ac:dyDescent="0.3">
      <c r="I198" s="24"/>
      <c r="J198" s="24"/>
      <c r="K198" s="24"/>
      <c r="L198" s="25"/>
      <c r="M198" s="25"/>
      <c r="AT198" s="32"/>
    </row>
    <row r="199" spans="9:46" s="22" customFormat="1" x14ac:dyDescent="0.3">
      <c r="I199" s="24"/>
      <c r="J199" s="24"/>
      <c r="K199" s="24"/>
      <c r="L199" s="25"/>
      <c r="M199" s="25"/>
      <c r="AT199" s="32"/>
    </row>
    <row r="200" spans="9:46" s="22" customFormat="1" x14ac:dyDescent="0.3">
      <c r="I200" s="24"/>
      <c r="J200" s="24"/>
      <c r="K200" s="24"/>
      <c r="L200" s="25"/>
      <c r="M200" s="25"/>
      <c r="AT200" s="32"/>
    </row>
    <row r="201" spans="9:46" s="22" customFormat="1" x14ac:dyDescent="0.3">
      <c r="I201" s="24"/>
      <c r="J201" s="24"/>
      <c r="K201" s="24"/>
      <c r="L201" s="25"/>
      <c r="M201" s="25"/>
      <c r="AT201" s="32"/>
    </row>
    <row r="202" spans="9:46" s="22" customFormat="1" x14ac:dyDescent="0.3">
      <c r="I202" s="24"/>
      <c r="J202" s="24"/>
      <c r="K202" s="24"/>
      <c r="L202" s="25"/>
      <c r="M202" s="25"/>
      <c r="AT202" s="32"/>
    </row>
    <row r="203" spans="9:46" s="22" customFormat="1" x14ac:dyDescent="0.3">
      <c r="I203" s="24"/>
      <c r="J203" s="24"/>
      <c r="K203" s="24"/>
      <c r="L203" s="25"/>
      <c r="M203" s="25"/>
      <c r="AT203" s="32"/>
    </row>
    <row r="204" spans="9:46" s="22" customFormat="1" x14ac:dyDescent="0.3">
      <c r="I204" s="24"/>
      <c r="J204" s="24"/>
      <c r="K204" s="24"/>
      <c r="L204" s="25"/>
      <c r="M204" s="25"/>
      <c r="AT204" s="32"/>
    </row>
    <row r="205" spans="9:46" s="22" customFormat="1" x14ac:dyDescent="0.3">
      <c r="I205" s="24"/>
      <c r="J205" s="24"/>
      <c r="K205" s="24"/>
      <c r="L205" s="25"/>
      <c r="M205" s="25"/>
      <c r="AT205" s="32"/>
    </row>
    <row r="206" spans="9:46" s="22" customFormat="1" x14ac:dyDescent="0.3">
      <c r="I206" s="24"/>
      <c r="J206" s="24"/>
      <c r="K206" s="24"/>
      <c r="L206" s="25"/>
      <c r="M206" s="25"/>
      <c r="AT206" s="32"/>
    </row>
    <row r="207" spans="9:46" s="22" customFormat="1" x14ac:dyDescent="0.3">
      <c r="I207" s="24"/>
      <c r="J207" s="24"/>
      <c r="K207" s="24"/>
      <c r="L207" s="25"/>
      <c r="M207" s="25"/>
      <c r="AT207" s="32"/>
    </row>
    <row r="208" spans="9:46" s="22" customFormat="1" x14ac:dyDescent="0.3">
      <c r="I208" s="24"/>
      <c r="J208" s="24"/>
      <c r="K208" s="24"/>
      <c r="L208" s="25"/>
      <c r="M208" s="25"/>
      <c r="AT208" s="32"/>
    </row>
    <row r="209" spans="1:47" s="22" customFormat="1" x14ac:dyDescent="0.3">
      <c r="I209" s="24"/>
      <c r="J209" s="24"/>
      <c r="K209" s="24"/>
      <c r="L209" s="25"/>
      <c r="M209" s="25"/>
      <c r="AT209" s="32"/>
    </row>
    <row r="210" spans="1:47" s="22" customFormat="1" x14ac:dyDescent="0.3">
      <c r="I210" s="24"/>
      <c r="J210" s="24"/>
      <c r="K210" s="24"/>
      <c r="L210" s="25"/>
      <c r="M210" s="25"/>
      <c r="AT210" s="32"/>
    </row>
    <row r="211" spans="1:47" s="22" customFormat="1" x14ac:dyDescent="0.3">
      <c r="I211" s="24"/>
      <c r="J211" s="24"/>
      <c r="K211" s="24"/>
      <c r="L211" s="25"/>
      <c r="M211" s="25"/>
      <c r="AT211" s="32"/>
    </row>
    <row r="212" spans="1:47" s="22" customFormat="1" x14ac:dyDescent="0.3">
      <c r="I212" s="24"/>
      <c r="J212" s="24"/>
      <c r="K212" s="24"/>
      <c r="L212" s="25"/>
      <c r="M212" s="25"/>
      <c r="AT212" s="32"/>
    </row>
    <row r="213" spans="1:47" s="22" customFormat="1" x14ac:dyDescent="0.3">
      <c r="I213" s="24"/>
      <c r="J213" s="24"/>
      <c r="K213" s="24"/>
      <c r="L213" s="25"/>
      <c r="M213" s="25"/>
      <c r="AT213" s="32"/>
    </row>
    <row r="214" spans="1:47" s="22" customFormat="1" x14ac:dyDescent="0.3">
      <c r="I214" s="24"/>
      <c r="J214" s="24"/>
      <c r="K214" s="24"/>
      <c r="L214" s="25"/>
      <c r="M214" s="25"/>
      <c r="AT214" s="32"/>
    </row>
    <row r="215" spans="1:47" s="30" customFormat="1" x14ac:dyDescent="0.3">
      <c r="A215" s="22"/>
      <c r="B215" s="22"/>
      <c r="C215" s="22"/>
      <c r="D215" s="22"/>
      <c r="E215" s="22"/>
      <c r="F215" s="22"/>
      <c r="G215" s="22"/>
      <c r="H215" s="22"/>
      <c r="I215" s="27"/>
      <c r="J215" s="27"/>
      <c r="K215" s="27"/>
      <c r="L215" s="25"/>
      <c r="M215" s="25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32"/>
      <c r="AU215" s="22"/>
    </row>
    <row r="216" spans="1:47" s="30" customFormat="1" x14ac:dyDescent="0.3">
      <c r="A216" s="22"/>
      <c r="B216" s="22"/>
      <c r="C216" s="22"/>
      <c r="D216" s="22"/>
      <c r="E216" s="22"/>
      <c r="F216" s="22"/>
      <c r="G216" s="22"/>
      <c r="H216" s="22"/>
      <c r="I216" s="27"/>
      <c r="J216" s="27"/>
      <c r="K216" s="27"/>
      <c r="L216" s="25"/>
      <c r="M216" s="25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32"/>
      <c r="AU216" s="22"/>
    </row>
    <row r="217" spans="1:47" s="30" customFormat="1" x14ac:dyDescent="0.3">
      <c r="A217" s="22"/>
      <c r="B217" s="22"/>
      <c r="C217" s="22"/>
      <c r="D217" s="22"/>
      <c r="E217" s="22"/>
      <c r="F217" s="22"/>
      <c r="G217" s="22"/>
      <c r="H217" s="22"/>
      <c r="I217" s="27"/>
      <c r="J217" s="27"/>
      <c r="K217" s="27"/>
      <c r="L217" s="28"/>
      <c r="M217" s="25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32"/>
      <c r="AU217" s="22"/>
    </row>
    <row r="218" spans="1:47" s="30" customFormat="1" x14ac:dyDescent="0.3">
      <c r="A218" s="22"/>
      <c r="B218" s="22"/>
      <c r="C218" s="22"/>
      <c r="D218" s="22"/>
      <c r="E218" s="22"/>
      <c r="F218" s="22"/>
      <c r="G218" s="22"/>
      <c r="H218" s="22"/>
      <c r="I218" s="27"/>
      <c r="J218" s="27"/>
      <c r="K218" s="27"/>
      <c r="L218" s="28"/>
      <c r="M218" s="25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32"/>
      <c r="AU218" s="22"/>
    </row>
    <row r="219" spans="1:47" s="30" customFormat="1" x14ac:dyDescent="0.3">
      <c r="A219" s="22"/>
      <c r="B219" s="22"/>
      <c r="C219" s="22"/>
      <c r="D219" s="22"/>
      <c r="E219" s="22"/>
      <c r="F219" s="22"/>
      <c r="G219" s="22"/>
      <c r="H219" s="22"/>
      <c r="I219" s="27"/>
      <c r="J219" s="27"/>
      <c r="K219" s="27"/>
      <c r="L219" s="28"/>
      <c r="M219" s="25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32"/>
      <c r="AU219" s="22"/>
    </row>
    <row r="220" spans="1:47" s="30" customFormat="1" x14ac:dyDescent="0.3">
      <c r="A220" s="22"/>
      <c r="B220" s="22"/>
      <c r="C220" s="22"/>
      <c r="D220" s="22"/>
      <c r="E220" s="22"/>
      <c r="F220" s="22"/>
      <c r="G220" s="22"/>
      <c r="H220" s="22"/>
      <c r="I220" s="27"/>
      <c r="J220" s="27"/>
      <c r="K220" s="27"/>
      <c r="L220" s="28"/>
      <c r="M220" s="25"/>
      <c r="N220" s="26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32"/>
      <c r="AU220" s="22"/>
    </row>
    <row r="221" spans="1:47" s="30" customFormat="1" x14ac:dyDescent="0.3">
      <c r="A221" s="22"/>
      <c r="B221" s="22"/>
      <c r="C221" s="22"/>
      <c r="D221" s="22"/>
      <c r="E221" s="22"/>
      <c r="F221" s="22"/>
      <c r="G221" s="22"/>
      <c r="H221" s="22"/>
      <c r="I221" s="27"/>
      <c r="J221" s="27"/>
      <c r="K221" s="27"/>
      <c r="L221" s="28"/>
      <c r="M221" s="25"/>
      <c r="N221" s="26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32"/>
      <c r="AU221" s="22"/>
    </row>
    <row r="222" spans="1:47" s="30" customFormat="1" x14ac:dyDescent="0.3">
      <c r="A222" s="22"/>
      <c r="B222" s="22"/>
      <c r="C222" s="22"/>
      <c r="D222" s="22"/>
      <c r="E222" s="22"/>
      <c r="F222" s="22"/>
      <c r="G222" s="22"/>
      <c r="H222" s="22"/>
      <c r="I222" s="27"/>
      <c r="J222" s="27"/>
      <c r="K222" s="27"/>
      <c r="L222" s="28"/>
      <c r="M222" s="28"/>
      <c r="N222" s="26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32"/>
      <c r="AU222" s="22"/>
    </row>
    <row r="223" spans="1:47" s="30" customFormat="1" x14ac:dyDescent="0.3">
      <c r="A223" s="22"/>
      <c r="B223" s="22"/>
      <c r="C223" s="22"/>
      <c r="D223" s="22"/>
      <c r="E223" s="22"/>
      <c r="F223" s="22"/>
      <c r="G223" s="22"/>
      <c r="H223" s="22"/>
      <c r="I223" s="27"/>
      <c r="J223" s="27"/>
      <c r="K223" s="27"/>
      <c r="L223" s="28"/>
      <c r="M223" s="28"/>
      <c r="N223" s="26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32"/>
      <c r="AU223" s="22"/>
    </row>
    <row r="224" spans="1:47" s="30" customFormat="1" x14ac:dyDescent="0.3">
      <c r="A224" s="22"/>
      <c r="B224" s="22"/>
      <c r="C224" s="22"/>
      <c r="D224" s="22"/>
      <c r="E224" s="22"/>
      <c r="F224" s="22"/>
      <c r="G224" s="22"/>
      <c r="H224" s="22"/>
      <c r="I224" s="27"/>
      <c r="J224" s="27"/>
      <c r="K224" s="27"/>
      <c r="L224" s="28"/>
      <c r="M224" s="28"/>
      <c r="N224" s="26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32"/>
      <c r="AU224" s="22"/>
    </row>
    <row r="225" spans="1:47" s="30" customFormat="1" x14ac:dyDescent="0.3">
      <c r="A225" s="26"/>
      <c r="B225" s="26"/>
      <c r="C225" s="26"/>
      <c r="D225" s="26"/>
      <c r="E225" s="26"/>
      <c r="F225" s="26"/>
      <c r="G225" s="26"/>
      <c r="H225" s="26"/>
      <c r="I225" s="27"/>
      <c r="J225" s="27"/>
      <c r="K225" s="27"/>
      <c r="L225" s="28"/>
      <c r="M225" s="28"/>
      <c r="N225" s="26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32"/>
      <c r="AU225" s="22"/>
    </row>
    <row r="226" spans="1:47" s="30" customFormat="1" x14ac:dyDescent="0.3">
      <c r="A226" s="26"/>
      <c r="B226" s="26"/>
      <c r="C226" s="26"/>
      <c r="D226" s="26"/>
      <c r="E226" s="26"/>
      <c r="F226" s="26"/>
      <c r="G226" s="26"/>
      <c r="H226" s="26"/>
      <c r="I226" s="27"/>
      <c r="J226" s="27"/>
      <c r="K226" s="27"/>
      <c r="L226" s="28"/>
      <c r="M226" s="28"/>
      <c r="N226" s="26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32"/>
      <c r="AU226" s="22"/>
    </row>
    <row r="227" spans="1:47" s="30" customFormat="1" x14ac:dyDescent="0.3">
      <c r="A227" s="26"/>
      <c r="B227" s="26"/>
      <c r="C227" s="26"/>
      <c r="D227" s="26"/>
      <c r="E227" s="26"/>
      <c r="F227" s="26"/>
      <c r="G227" s="26"/>
      <c r="H227" s="26"/>
      <c r="I227" s="27"/>
      <c r="J227" s="27"/>
      <c r="K227" s="27"/>
      <c r="L227" s="28"/>
      <c r="M227" s="28"/>
      <c r="N227" s="26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32"/>
      <c r="AU227" s="22"/>
    </row>
    <row r="228" spans="1:47" s="30" customFormat="1" x14ac:dyDescent="0.3">
      <c r="A228" s="26"/>
      <c r="B228" s="26"/>
      <c r="C228" s="26"/>
      <c r="D228" s="26"/>
      <c r="E228" s="26"/>
      <c r="F228" s="26"/>
      <c r="G228" s="26"/>
      <c r="H228" s="26"/>
      <c r="I228" s="27"/>
      <c r="J228" s="27"/>
      <c r="K228" s="27"/>
      <c r="L228" s="28"/>
      <c r="M228" s="28"/>
      <c r="N228" s="26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32"/>
      <c r="AU228" s="22"/>
    </row>
    <row r="229" spans="1:47" s="30" customFormat="1" x14ac:dyDescent="0.3">
      <c r="A229" s="26"/>
      <c r="B229" s="26"/>
      <c r="C229" s="26"/>
      <c r="D229" s="26"/>
      <c r="E229" s="26"/>
      <c r="F229" s="26"/>
      <c r="G229" s="26"/>
      <c r="H229" s="26"/>
      <c r="I229" s="27"/>
      <c r="J229" s="27"/>
      <c r="K229" s="27"/>
      <c r="L229" s="28"/>
      <c r="M229" s="28"/>
      <c r="N229" s="26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32"/>
      <c r="AU229" s="22"/>
    </row>
    <row r="230" spans="1:47" s="30" customFormat="1" x14ac:dyDescent="0.3">
      <c r="A230" s="26"/>
      <c r="B230" s="26"/>
      <c r="C230" s="26"/>
      <c r="D230" s="26"/>
      <c r="E230" s="26"/>
      <c r="F230" s="26"/>
      <c r="G230" s="26"/>
      <c r="H230" s="26"/>
      <c r="I230" s="27"/>
      <c r="J230" s="27"/>
      <c r="K230" s="27"/>
      <c r="L230" s="28"/>
      <c r="M230" s="28"/>
      <c r="N230" s="26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32"/>
      <c r="AU230" s="22"/>
    </row>
    <row r="231" spans="1:47" s="30" customFormat="1" x14ac:dyDescent="0.3">
      <c r="A231" s="26"/>
      <c r="B231" s="26"/>
      <c r="C231" s="26"/>
      <c r="D231" s="26"/>
      <c r="E231" s="26"/>
      <c r="F231" s="26"/>
      <c r="G231" s="26"/>
      <c r="H231" s="26"/>
      <c r="I231" s="27"/>
      <c r="J231" s="27"/>
      <c r="K231" s="27"/>
      <c r="L231" s="28"/>
      <c r="M231" s="28"/>
      <c r="N231" s="26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32"/>
      <c r="AU231" s="22"/>
    </row>
    <row r="232" spans="1:47" x14ac:dyDescent="0.3">
      <c r="A232" s="26"/>
      <c r="B232" s="26"/>
      <c r="C232" s="26"/>
      <c r="D232" s="26"/>
      <c r="E232" s="26"/>
      <c r="F232" s="26"/>
      <c r="G232" s="26"/>
      <c r="H232" s="26"/>
      <c r="L232" s="28"/>
      <c r="M232" s="28"/>
      <c r="AT232" s="29"/>
      <c r="AU232" s="29"/>
    </row>
    <row r="233" spans="1:47" x14ac:dyDescent="0.3">
      <c r="A233" s="26"/>
      <c r="B233" s="26"/>
      <c r="C233" s="26"/>
      <c r="D233" s="26"/>
      <c r="E233" s="26"/>
      <c r="F233" s="26"/>
      <c r="G233" s="26"/>
      <c r="H233" s="26"/>
      <c r="L233" s="28"/>
      <c r="M233" s="28"/>
      <c r="AT233" s="29"/>
      <c r="AU233" s="29"/>
    </row>
    <row r="234" spans="1:47" x14ac:dyDescent="0.3">
      <c r="A234" s="26"/>
      <c r="B234" s="26"/>
      <c r="C234" s="26"/>
      <c r="D234" s="26"/>
      <c r="E234" s="26"/>
      <c r="F234" s="26"/>
      <c r="G234" s="26"/>
      <c r="H234" s="26"/>
      <c r="M234" s="28"/>
      <c r="AT234" s="29"/>
      <c r="AU234" s="29"/>
    </row>
    <row r="235" spans="1:47" x14ac:dyDescent="0.3">
      <c r="A235" s="26"/>
      <c r="B235" s="26"/>
      <c r="C235" s="26"/>
      <c r="D235" s="26"/>
      <c r="E235" s="26"/>
      <c r="F235" s="26"/>
      <c r="G235" s="26"/>
      <c r="H235" s="26"/>
      <c r="M235" s="28"/>
      <c r="AT235" s="29"/>
      <c r="AU235" s="29"/>
    </row>
    <row r="236" spans="1:47" x14ac:dyDescent="0.3">
      <c r="A236" s="26"/>
      <c r="B236" s="26"/>
      <c r="C236" s="26"/>
      <c r="D236" s="26"/>
      <c r="E236" s="26"/>
      <c r="F236" s="26"/>
      <c r="G236" s="26"/>
      <c r="H236" s="26"/>
      <c r="M236" s="28"/>
      <c r="AT236" s="29"/>
      <c r="AU236" s="29"/>
    </row>
    <row r="237" spans="1:47" x14ac:dyDescent="0.3">
      <c r="A237" s="26"/>
      <c r="B237" s="26"/>
      <c r="C237" s="26"/>
      <c r="D237" s="26"/>
      <c r="E237" s="26"/>
      <c r="F237" s="26"/>
      <c r="G237" s="26"/>
      <c r="H237" s="26"/>
      <c r="M237" s="28"/>
      <c r="AT237" s="29"/>
      <c r="AU237" s="29"/>
    </row>
    <row r="238" spans="1:47" x14ac:dyDescent="0.3">
      <c r="A238" s="26"/>
      <c r="B238" s="26"/>
      <c r="C238" s="26"/>
      <c r="D238" s="26"/>
      <c r="E238" s="26"/>
      <c r="F238" s="26"/>
      <c r="G238" s="26"/>
      <c r="H238" s="26"/>
      <c r="L238" s="29"/>
      <c r="M238" s="28"/>
      <c r="AT238" s="29"/>
      <c r="AU238" s="29"/>
    </row>
    <row r="239" spans="1:47" x14ac:dyDescent="0.3">
      <c r="A239" s="26"/>
      <c r="B239" s="26"/>
      <c r="C239" s="26"/>
      <c r="D239" s="26"/>
      <c r="E239" s="26"/>
      <c r="F239" s="26"/>
      <c r="G239" s="26"/>
      <c r="H239" s="26"/>
      <c r="AT239" s="29"/>
      <c r="AU239" s="29"/>
    </row>
    <row r="240" spans="1:47" x14ac:dyDescent="0.3">
      <c r="A240" s="26"/>
      <c r="B240" s="26"/>
      <c r="C240" s="26"/>
      <c r="D240" s="26"/>
      <c r="E240" s="26"/>
      <c r="F240" s="26"/>
      <c r="G240" s="26"/>
      <c r="H240" s="26"/>
      <c r="AT240" s="29"/>
      <c r="AU240" s="29"/>
    </row>
    <row r="241" spans="1:47" x14ac:dyDescent="0.3">
      <c r="A241" s="26"/>
      <c r="B241" s="26"/>
      <c r="C241" s="26"/>
      <c r="D241" s="26"/>
      <c r="E241" s="26"/>
      <c r="F241" s="26"/>
      <c r="G241" s="26"/>
      <c r="H241" s="26"/>
      <c r="AT241" s="29"/>
      <c r="AU241" s="29"/>
    </row>
    <row r="242" spans="1:47" x14ac:dyDescent="0.3">
      <c r="AT242" s="29"/>
      <c r="AU242" s="29"/>
    </row>
    <row r="243" spans="1:47" x14ac:dyDescent="0.3">
      <c r="AT243" s="29"/>
      <c r="AU243" s="29"/>
    </row>
    <row r="245" spans="1:47" x14ac:dyDescent="0.3">
      <c r="I245" s="29"/>
      <c r="J245" s="29"/>
      <c r="K245" s="29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29"/>
      <c r="AU245" s="29"/>
    </row>
    <row r="1048576" spans="14:14" x14ac:dyDescent="0.3">
      <c r="N1048576" s="65"/>
    </row>
  </sheetData>
  <mergeCells count="30">
    <mergeCell ref="A1:N1"/>
    <mergeCell ref="A30:B30"/>
    <mergeCell ref="A89:G89"/>
    <mergeCell ref="A31:N31"/>
    <mergeCell ref="A32:F32"/>
    <mergeCell ref="L32:N32"/>
    <mergeCell ref="L33:M33"/>
    <mergeCell ref="L34:N35"/>
    <mergeCell ref="L36:N36"/>
    <mergeCell ref="L37:M37"/>
    <mergeCell ref="L49:M49"/>
    <mergeCell ref="L50:M50"/>
    <mergeCell ref="L51:N51"/>
    <mergeCell ref="L52:N52"/>
    <mergeCell ref="B88:H88"/>
    <mergeCell ref="L54:M54"/>
    <mergeCell ref="L55:M55"/>
    <mergeCell ref="L56:M56"/>
    <mergeCell ref="L38:M38"/>
    <mergeCell ref="L39:M39"/>
    <mergeCell ref="L40:M40"/>
    <mergeCell ref="L41:M41"/>
    <mergeCell ref="L53:N53"/>
    <mergeCell ref="L42:M42"/>
    <mergeCell ref="L43:M43"/>
    <mergeCell ref="L44:M44"/>
    <mergeCell ref="L45:M45"/>
    <mergeCell ref="L46:M46"/>
    <mergeCell ref="L47:M47"/>
    <mergeCell ref="L48:M48"/>
  </mergeCells>
  <pageMargins left="0" right="0" top="0" bottom="0" header="0.31496062992125984" footer="0.31496062992125984"/>
  <pageSetup paperSize="9"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82ED0-72EC-4994-BB60-B50207A38FF6}">
  <sheetPr>
    <pageSetUpPr fitToPage="1"/>
  </sheetPr>
  <dimension ref="A1:BF1048575"/>
  <sheetViews>
    <sheetView zoomScale="60" zoomScaleNormal="60" workbookViewId="0">
      <selection activeCell="A5" sqref="A5:XFD5"/>
    </sheetView>
  </sheetViews>
  <sheetFormatPr defaultColWidth="9.109375" defaultRowHeight="13.8" x14ac:dyDescent="0.3"/>
  <cols>
    <col min="1" max="1" width="18.5546875" style="29" customWidth="1"/>
    <col min="2" max="2" width="10.6640625" style="29" bestFit="1" customWidth="1"/>
    <col min="3" max="3" width="17.5546875" style="29" bestFit="1" customWidth="1"/>
    <col min="4" max="4" width="16.44140625" style="29" bestFit="1" customWidth="1"/>
    <col min="5" max="5" width="18.5546875" style="29" bestFit="1" customWidth="1"/>
    <col min="6" max="6" width="17" style="29" bestFit="1" customWidth="1"/>
    <col min="7" max="7" width="13.5546875" style="29" bestFit="1" customWidth="1"/>
    <col min="8" max="8" width="13.88671875" style="29" bestFit="1" customWidth="1"/>
    <col min="9" max="9" width="17.33203125" style="31" bestFit="1" customWidth="1"/>
    <col min="10" max="10" width="17.5546875" style="31" bestFit="1" customWidth="1"/>
    <col min="11" max="11" width="15.33203125" style="31" bestFit="1" customWidth="1"/>
    <col min="12" max="12" width="109.44140625" style="31" customWidth="1"/>
    <col min="13" max="13" width="9.5546875" style="31" customWidth="1"/>
    <col min="14" max="14" width="17.5546875" style="29" bestFit="1" customWidth="1"/>
    <col min="15" max="15" width="10.5546875" style="22" bestFit="1" customWidth="1"/>
    <col min="16" max="45" width="9.109375" style="22"/>
    <col min="46" max="47" width="9.109375" style="32"/>
    <col min="48" max="16384" width="9.109375" style="29"/>
  </cols>
  <sheetData>
    <row r="1" spans="1:47" s="10" customFormat="1" ht="29.25" customHeight="1" x14ac:dyDescent="0.3">
      <c r="A1" s="521" t="s">
        <v>105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47" s="10" customFormat="1" ht="29.25" customHeight="1" x14ac:dyDescent="0.3">
      <c r="A2" s="538" t="s">
        <v>106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47" s="11" customFormat="1" ht="27.6" x14ac:dyDescent="0.3">
      <c r="A3" s="83" t="s">
        <v>3</v>
      </c>
      <c r="B3" s="83" t="s">
        <v>0</v>
      </c>
      <c r="C3" s="84" t="s">
        <v>1</v>
      </c>
      <c r="D3" s="84" t="s">
        <v>68</v>
      </c>
      <c r="E3" s="84" t="s">
        <v>69</v>
      </c>
      <c r="F3" s="85" t="s">
        <v>2</v>
      </c>
      <c r="G3" s="84" t="s">
        <v>6</v>
      </c>
      <c r="H3" s="84" t="s">
        <v>7</v>
      </c>
      <c r="I3" s="84" t="s">
        <v>4</v>
      </c>
      <c r="J3" s="84" t="s">
        <v>5</v>
      </c>
      <c r="K3" s="84" t="s">
        <v>70</v>
      </c>
      <c r="L3" s="83" t="s">
        <v>59</v>
      </c>
      <c r="M3" s="86" t="s">
        <v>8</v>
      </c>
      <c r="N3" s="86" t="s">
        <v>10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 spans="1:47" s="32" customFormat="1" x14ac:dyDescent="0.3">
      <c r="A4" s="67" t="s">
        <v>92</v>
      </c>
      <c r="B4" s="67">
        <v>10</v>
      </c>
      <c r="C4" s="2">
        <v>600</v>
      </c>
      <c r="D4" s="2">
        <f>10%*C4</f>
        <v>60</v>
      </c>
      <c r="E4" s="5">
        <f>C4-D4</f>
        <v>540</v>
      </c>
      <c r="F4" s="2">
        <v>0</v>
      </c>
      <c r="G4" s="2">
        <v>0</v>
      </c>
      <c r="H4" s="2">
        <f>D58</f>
        <v>17.824999999999999</v>
      </c>
      <c r="I4" s="109">
        <f>SUM(E4:H4)</f>
        <v>557.82500000000005</v>
      </c>
      <c r="J4" s="2">
        <f>(C4+F4)*50%</f>
        <v>300</v>
      </c>
      <c r="K4" s="2">
        <f>I4-J4</f>
        <v>257.82500000000005</v>
      </c>
      <c r="L4" s="47" t="s">
        <v>99</v>
      </c>
      <c r="M4" s="3">
        <v>10</v>
      </c>
      <c r="N4" s="67">
        <v>11</v>
      </c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69"/>
      <c r="AU4" s="69"/>
    </row>
    <row r="5" spans="1:47" s="52" customFormat="1" ht="17.25" customHeight="1" x14ac:dyDescent="0.3">
      <c r="A5" s="11" t="s">
        <v>87</v>
      </c>
      <c r="B5" s="90">
        <v>25</v>
      </c>
      <c r="C5" s="2">
        <f>704</f>
        <v>704</v>
      </c>
      <c r="D5" s="2">
        <f>10%*C5</f>
        <v>70.400000000000006</v>
      </c>
      <c r="E5" s="5">
        <f>C5-D5</f>
        <v>633.6</v>
      </c>
      <c r="F5" s="2">
        <f>30</f>
        <v>30</v>
      </c>
      <c r="G5" s="2">
        <v>0</v>
      </c>
      <c r="H5" s="2">
        <f>D88</f>
        <v>19.95</v>
      </c>
      <c r="I5" s="109">
        <f>SUM(E5:H5)</f>
        <v>683.55000000000007</v>
      </c>
      <c r="J5" s="2">
        <f>(C5+F5)*50%</f>
        <v>367</v>
      </c>
      <c r="K5" s="2">
        <f>I5-J5</f>
        <v>316.55000000000007</v>
      </c>
      <c r="L5" s="71" t="s">
        <v>99</v>
      </c>
      <c r="M5" s="98">
        <v>10</v>
      </c>
      <c r="N5" s="3">
        <v>11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1"/>
      <c r="AP5" s="11"/>
      <c r="AQ5" s="11"/>
      <c r="AR5" s="11"/>
      <c r="AS5" s="11"/>
      <c r="AT5" s="11"/>
      <c r="AU5" s="11"/>
    </row>
    <row r="6" spans="1:47" s="52" customFormat="1" x14ac:dyDescent="0.3">
      <c r="A6" s="88" t="s">
        <v>86</v>
      </c>
      <c r="B6" s="90">
        <v>27</v>
      </c>
      <c r="C6" s="72">
        <f>650</f>
        <v>650</v>
      </c>
      <c r="D6" s="72">
        <f>10%*C6</f>
        <v>65</v>
      </c>
      <c r="E6" s="5">
        <f>C6-D6</f>
        <v>585</v>
      </c>
      <c r="F6" s="72">
        <f>60</f>
        <v>60</v>
      </c>
      <c r="G6" s="72">
        <v>0</v>
      </c>
      <c r="H6" s="72">
        <f>D92</f>
        <v>19.836666666666666</v>
      </c>
      <c r="I6" s="112">
        <f>SUM(E6:H6)</f>
        <v>664.8366666666667</v>
      </c>
      <c r="J6" s="2">
        <f>(C6+F6)*50%</f>
        <v>355</v>
      </c>
      <c r="K6" s="72">
        <f>I6-J6</f>
        <v>309.8366666666667</v>
      </c>
      <c r="L6" s="71" t="s">
        <v>98</v>
      </c>
      <c r="M6" s="98">
        <v>10</v>
      </c>
      <c r="N6" s="3">
        <v>11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1"/>
      <c r="AP6" s="11"/>
      <c r="AQ6" s="11"/>
      <c r="AR6" s="11"/>
      <c r="AS6" s="11"/>
      <c r="AT6" s="11"/>
      <c r="AU6" s="11"/>
    </row>
    <row r="7" spans="1:47" s="52" customFormat="1" x14ac:dyDescent="0.3">
      <c r="A7" s="518" t="s">
        <v>4</v>
      </c>
      <c r="B7" s="518"/>
      <c r="C7" s="109">
        <f t="shared" ref="C7:K7" si="0">SUM(C4:C6)</f>
        <v>1954</v>
      </c>
      <c r="D7" s="109">
        <f t="shared" si="0"/>
        <v>195.4</v>
      </c>
      <c r="E7" s="109">
        <f t="shared" si="0"/>
        <v>1758.6</v>
      </c>
      <c r="F7" s="109">
        <f t="shared" si="0"/>
        <v>90</v>
      </c>
      <c r="G7" s="109">
        <f t="shared" si="0"/>
        <v>0</v>
      </c>
      <c r="H7" s="109">
        <f t="shared" si="0"/>
        <v>57.611666666666665</v>
      </c>
      <c r="I7" s="109">
        <f t="shared" si="0"/>
        <v>1906.2116666666666</v>
      </c>
      <c r="J7" s="109">
        <f t="shared" si="0"/>
        <v>1022</v>
      </c>
      <c r="K7" s="109">
        <f t="shared" si="0"/>
        <v>884.21166666666682</v>
      </c>
      <c r="L7" s="90"/>
      <c r="M7" s="3"/>
      <c r="N7" s="3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1"/>
      <c r="AH7" s="11"/>
      <c r="AI7" s="11"/>
      <c r="AJ7" s="11"/>
      <c r="AK7" s="11"/>
      <c r="AL7" s="11"/>
      <c r="AM7" s="11"/>
    </row>
    <row r="8" spans="1:47" s="52" customFormat="1" ht="29.25" customHeight="1" x14ac:dyDescent="0.3">
      <c r="A8" s="521" t="s">
        <v>107</v>
      </c>
      <c r="B8" s="521"/>
      <c r="C8" s="521"/>
      <c r="D8" s="521"/>
      <c r="E8" s="521"/>
      <c r="F8" s="521"/>
      <c r="G8" s="521"/>
      <c r="H8" s="521"/>
      <c r="I8" s="521"/>
      <c r="J8" s="521"/>
      <c r="K8" s="521"/>
      <c r="L8" s="521"/>
      <c r="M8" s="521"/>
      <c r="N8" s="521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1"/>
      <c r="AH8" s="11"/>
      <c r="AI8" s="11"/>
      <c r="AJ8" s="11"/>
      <c r="AK8" s="11"/>
      <c r="AL8" s="11"/>
      <c r="AM8" s="11"/>
    </row>
    <row r="9" spans="1:47" s="11" customFormat="1" ht="27.6" x14ac:dyDescent="0.3">
      <c r="A9" s="83" t="s">
        <v>3</v>
      </c>
      <c r="B9" s="83" t="s">
        <v>0</v>
      </c>
      <c r="C9" s="84" t="s">
        <v>1</v>
      </c>
      <c r="D9" s="84" t="s">
        <v>68</v>
      </c>
      <c r="E9" s="84" t="s">
        <v>69</v>
      </c>
      <c r="F9" s="85" t="s">
        <v>2</v>
      </c>
      <c r="G9" s="84" t="s">
        <v>6</v>
      </c>
      <c r="H9" s="84" t="s">
        <v>7</v>
      </c>
      <c r="I9" s="84" t="s">
        <v>4</v>
      </c>
      <c r="J9" s="84" t="s">
        <v>5</v>
      </c>
      <c r="K9" s="84" t="s">
        <v>70</v>
      </c>
      <c r="L9" s="83" t="s">
        <v>59</v>
      </c>
      <c r="M9" s="86" t="s">
        <v>8</v>
      </c>
      <c r="N9" s="86" t="s">
        <v>10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</row>
    <row r="10" spans="1:47" s="15" customFormat="1" x14ac:dyDescent="0.3">
      <c r="A10" s="88"/>
      <c r="B10" s="90">
        <v>1</v>
      </c>
      <c r="C10" s="2"/>
      <c r="D10" s="2"/>
      <c r="E10" s="2"/>
      <c r="F10" s="5"/>
      <c r="G10" s="2"/>
      <c r="H10" s="2"/>
      <c r="I10" s="109"/>
      <c r="J10" s="2"/>
      <c r="K10" s="2"/>
      <c r="L10" s="90"/>
      <c r="M10" s="3"/>
      <c r="N10" s="3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</row>
    <row r="11" spans="1:47" s="50" customFormat="1" x14ac:dyDescent="0.3">
      <c r="A11" s="90"/>
      <c r="B11" s="4">
        <v>2</v>
      </c>
      <c r="C11" s="5"/>
      <c r="D11" s="5"/>
      <c r="E11" s="5"/>
      <c r="F11" s="5"/>
      <c r="G11" s="5"/>
      <c r="H11" s="5"/>
      <c r="I11" s="109"/>
      <c r="J11" s="2"/>
      <c r="K11" s="2"/>
      <c r="L11" s="90"/>
      <c r="M11" s="3"/>
      <c r="N11" s="3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16"/>
      <c r="AK11" s="17"/>
      <c r="AL11" s="17"/>
      <c r="AM11" s="17"/>
      <c r="AN11" s="17"/>
      <c r="AO11" s="96"/>
      <c r="AP11" s="96"/>
      <c r="AQ11" s="96"/>
      <c r="AR11" s="96"/>
      <c r="AS11" s="96"/>
      <c r="AT11" s="96"/>
      <c r="AU11" s="96"/>
    </row>
    <row r="12" spans="1:47" s="73" customFormat="1" x14ac:dyDescent="0.3">
      <c r="A12" s="12"/>
      <c r="B12" s="4">
        <v>3</v>
      </c>
      <c r="C12" s="5"/>
      <c r="D12" s="5"/>
      <c r="E12" s="5"/>
      <c r="F12" s="5"/>
      <c r="G12" s="5"/>
      <c r="H12" s="5"/>
      <c r="I12" s="109"/>
      <c r="J12" s="2"/>
      <c r="K12" s="2"/>
      <c r="L12" s="90"/>
      <c r="M12" s="3"/>
      <c r="N12" s="13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6"/>
      <c r="AP12" s="6"/>
      <c r="AQ12" s="6"/>
      <c r="AR12" s="6"/>
      <c r="AS12" s="6"/>
      <c r="AT12" s="6"/>
      <c r="AU12" s="6"/>
    </row>
    <row r="13" spans="1:47" s="51" customFormat="1" x14ac:dyDescent="0.3">
      <c r="A13" s="90"/>
      <c r="B13" s="90">
        <v>4</v>
      </c>
      <c r="C13" s="1"/>
      <c r="D13" s="1"/>
      <c r="E13" s="1"/>
      <c r="F13" s="2"/>
      <c r="G13" s="1"/>
      <c r="H13" s="1"/>
      <c r="I13" s="111"/>
      <c r="J13" s="2"/>
      <c r="K13" s="2"/>
      <c r="L13" s="90"/>
      <c r="M13" s="3"/>
      <c r="N13" s="67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15"/>
      <c r="AP13" s="15"/>
      <c r="AQ13" s="15"/>
      <c r="AR13" s="15"/>
      <c r="AS13" s="15"/>
      <c r="AT13" s="15"/>
      <c r="AU13" s="15"/>
    </row>
    <row r="14" spans="1:47" s="51" customFormat="1" ht="15.75" customHeight="1" x14ac:dyDescent="0.3">
      <c r="A14" s="90"/>
      <c r="B14" s="90">
        <v>5</v>
      </c>
      <c r="C14" s="2"/>
      <c r="D14" s="2"/>
      <c r="E14" s="2"/>
      <c r="F14" s="2"/>
      <c r="G14" s="2"/>
      <c r="H14" s="2"/>
      <c r="I14" s="109"/>
      <c r="J14" s="2"/>
      <c r="K14" s="2"/>
      <c r="L14" s="90"/>
      <c r="M14" s="3"/>
      <c r="N14" s="3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15"/>
      <c r="AP14" s="15"/>
      <c r="AQ14" s="15"/>
      <c r="AR14" s="15"/>
      <c r="AS14" s="15"/>
      <c r="AT14" s="15"/>
      <c r="AU14" s="15"/>
    </row>
    <row r="15" spans="1:47" s="52" customFormat="1" x14ac:dyDescent="0.3">
      <c r="A15" s="90"/>
      <c r="B15" s="90">
        <v>6</v>
      </c>
      <c r="C15" s="5"/>
      <c r="D15" s="5"/>
      <c r="E15" s="5"/>
      <c r="F15" s="2"/>
      <c r="G15" s="2"/>
      <c r="H15" s="2"/>
      <c r="I15" s="109"/>
      <c r="J15" s="2"/>
      <c r="K15" s="2"/>
      <c r="L15" s="90"/>
      <c r="M15" s="3"/>
      <c r="N15" s="3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1"/>
      <c r="AP15" s="11"/>
      <c r="AQ15" s="11"/>
      <c r="AR15" s="11"/>
      <c r="AS15" s="11"/>
      <c r="AT15" s="11"/>
      <c r="AU15" s="11"/>
    </row>
    <row r="16" spans="1:47" s="51" customFormat="1" ht="14.25" customHeight="1" x14ac:dyDescent="0.3">
      <c r="A16" s="90"/>
      <c r="B16" s="90">
        <v>7</v>
      </c>
      <c r="C16" s="2"/>
      <c r="D16" s="2"/>
      <c r="E16" s="5"/>
      <c r="F16" s="2"/>
      <c r="G16" s="2"/>
      <c r="H16" s="2"/>
      <c r="I16" s="109"/>
      <c r="J16" s="2"/>
      <c r="K16" s="2"/>
      <c r="L16" s="90"/>
      <c r="M16" s="3"/>
      <c r="N16" s="3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15"/>
      <c r="AP16" s="15"/>
      <c r="AQ16" s="15"/>
      <c r="AR16" s="15"/>
      <c r="AS16" s="15"/>
      <c r="AT16" s="15"/>
      <c r="AU16" s="15"/>
    </row>
    <row r="17" spans="1:47" s="51" customFormat="1" x14ac:dyDescent="0.3">
      <c r="A17" s="90"/>
      <c r="B17" s="90">
        <v>8</v>
      </c>
      <c r="C17" s="2"/>
      <c r="D17" s="2"/>
      <c r="E17" s="5"/>
      <c r="F17" s="2"/>
      <c r="G17" s="2"/>
      <c r="H17" s="2"/>
      <c r="I17" s="109"/>
      <c r="J17" s="2"/>
      <c r="K17" s="2"/>
      <c r="L17" s="90"/>
      <c r="M17" s="3"/>
      <c r="N17" s="3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15"/>
      <c r="AP17" s="15"/>
      <c r="AQ17" s="15"/>
      <c r="AR17" s="15"/>
      <c r="AS17" s="15"/>
      <c r="AT17" s="15"/>
      <c r="AU17" s="15"/>
    </row>
    <row r="18" spans="1:47" s="51" customFormat="1" ht="15.75" customHeight="1" x14ac:dyDescent="0.3">
      <c r="A18" s="90"/>
      <c r="B18" s="90">
        <v>9</v>
      </c>
      <c r="C18" s="2"/>
      <c r="D18" s="2"/>
      <c r="E18" s="5"/>
      <c r="F18" s="2"/>
      <c r="G18" s="2"/>
      <c r="H18" s="2"/>
      <c r="I18" s="109"/>
      <c r="J18" s="2"/>
      <c r="K18" s="2"/>
      <c r="L18" s="90"/>
      <c r="M18" s="3"/>
      <c r="N18" s="3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15"/>
      <c r="AP18" s="15"/>
      <c r="AQ18" s="15"/>
      <c r="AR18" s="15"/>
      <c r="AS18" s="15"/>
      <c r="AT18" s="15"/>
      <c r="AU18" s="15"/>
    </row>
    <row r="19" spans="1:47" x14ac:dyDescent="0.3">
      <c r="A19" s="118" t="s">
        <v>92</v>
      </c>
      <c r="B19" s="118">
        <v>10</v>
      </c>
      <c r="C19" s="118"/>
      <c r="D19" s="118"/>
      <c r="E19" s="118"/>
      <c r="F19" s="118"/>
      <c r="G19" s="118"/>
      <c r="H19" s="118"/>
      <c r="I19" s="119"/>
      <c r="J19" s="119"/>
      <c r="K19" s="119"/>
      <c r="L19" s="119" t="s">
        <v>108</v>
      </c>
      <c r="M19" s="119"/>
      <c r="N19" s="118"/>
    </row>
    <row r="20" spans="1:47" s="32" customFormat="1" x14ac:dyDescent="0.3">
      <c r="A20" s="67"/>
      <c r="B20" s="67">
        <v>11</v>
      </c>
      <c r="C20" s="2"/>
      <c r="D20" s="2"/>
      <c r="E20" s="5"/>
      <c r="F20" s="2"/>
      <c r="G20" s="2"/>
      <c r="H20" s="2"/>
      <c r="I20" s="109"/>
      <c r="J20" s="2"/>
      <c r="K20" s="2"/>
      <c r="L20" s="47"/>
      <c r="M20" s="3"/>
      <c r="N20" s="67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69"/>
      <c r="AU20" s="69"/>
    </row>
    <row r="21" spans="1:47" s="51" customFormat="1" x14ac:dyDescent="0.3">
      <c r="A21" s="90"/>
      <c r="B21" s="90">
        <v>12</v>
      </c>
      <c r="C21" s="2"/>
      <c r="D21" s="2"/>
      <c r="E21" s="5"/>
      <c r="F21" s="5"/>
      <c r="G21" s="5"/>
      <c r="H21" s="5"/>
      <c r="I21" s="109"/>
      <c r="J21" s="2"/>
      <c r="K21" s="2"/>
      <c r="L21" s="90"/>
      <c r="M21" s="3"/>
      <c r="N21" s="3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15"/>
      <c r="AP21" s="15"/>
      <c r="AQ21" s="15"/>
      <c r="AR21" s="15"/>
      <c r="AS21" s="15"/>
      <c r="AT21" s="15"/>
      <c r="AU21" s="15"/>
    </row>
    <row r="22" spans="1:47" s="32" customFormat="1" x14ac:dyDescent="0.3">
      <c r="A22" s="67"/>
      <c r="B22" s="67">
        <v>13</v>
      </c>
      <c r="C22" s="2"/>
      <c r="D22" s="2"/>
      <c r="E22" s="5"/>
      <c r="F22" s="2"/>
      <c r="G22" s="2"/>
      <c r="H22" s="2"/>
      <c r="I22" s="109"/>
      <c r="J22" s="2"/>
      <c r="K22" s="2"/>
      <c r="L22" s="90"/>
      <c r="M22" s="3"/>
      <c r="N22" s="67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69"/>
      <c r="AU22" s="69"/>
    </row>
    <row r="23" spans="1:47" s="32" customFormat="1" x14ac:dyDescent="0.3">
      <c r="A23" s="67"/>
      <c r="B23" s="67">
        <v>15</v>
      </c>
      <c r="C23" s="2"/>
      <c r="D23" s="2"/>
      <c r="E23" s="5"/>
      <c r="F23" s="2"/>
      <c r="G23" s="2"/>
      <c r="H23" s="2"/>
      <c r="I23" s="109"/>
      <c r="J23" s="2"/>
      <c r="K23" s="2"/>
      <c r="L23" s="90"/>
      <c r="M23" s="3"/>
      <c r="N23" s="67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69"/>
      <c r="AU23" s="69"/>
    </row>
    <row r="24" spans="1:47" s="11" customFormat="1" ht="14.25" customHeight="1" x14ac:dyDescent="0.3">
      <c r="A24" s="90"/>
      <c r="B24" s="90">
        <v>15</v>
      </c>
      <c r="C24" s="41"/>
      <c r="D24" s="53"/>
      <c r="E24" s="53"/>
      <c r="F24" s="53"/>
      <c r="G24" s="53"/>
      <c r="H24" s="53"/>
      <c r="I24" s="109"/>
      <c r="J24" s="2"/>
      <c r="K24" s="2"/>
      <c r="L24" s="90"/>
      <c r="M24" s="3"/>
      <c r="N24" s="3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10"/>
      <c r="AH24" s="10"/>
      <c r="AI24" s="10"/>
      <c r="AJ24" s="10"/>
      <c r="AK24" s="10"/>
      <c r="AL24" s="10"/>
    </row>
    <row r="25" spans="1:47" s="52" customFormat="1" x14ac:dyDescent="0.3">
      <c r="A25" s="117" t="s">
        <v>100</v>
      </c>
      <c r="B25" s="3">
        <v>16</v>
      </c>
      <c r="C25" s="2">
        <f>'GERAL 2021'!G18/30*13</f>
        <v>277.33333333333331</v>
      </c>
      <c r="D25" s="2">
        <f>10%*C25</f>
        <v>27.733333333333334</v>
      </c>
      <c r="E25" s="5">
        <f>C25-D25</f>
        <v>249.59999999999997</v>
      </c>
      <c r="F25" s="2">
        <f>60/30*13</f>
        <v>26</v>
      </c>
      <c r="G25" s="2">
        <f>D71</f>
        <v>7.4972813238770684</v>
      </c>
      <c r="H25" s="2">
        <f>D70</f>
        <v>19.811666666666667</v>
      </c>
      <c r="I25" s="109">
        <f>SUM(E25:H25)</f>
        <v>302.90894799054371</v>
      </c>
      <c r="J25" s="2">
        <f>I25*7%</f>
        <v>21.203626359338063</v>
      </c>
      <c r="K25" s="2">
        <f>I25-J25</f>
        <v>281.70532163120566</v>
      </c>
      <c r="L25" s="71" t="s">
        <v>102</v>
      </c>
      <c r="M25" s="3">
        <v>10</v>
      </c>
      <c r="N25" s="3">
        <v>11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1"/>
      <c r="AP25" s="11"/>
      <c r="AQ25" s="11"/>
      <c r="AR25" s="11"/>
      <c r="AS25" s="11"/>
      <c r="AT25" s="11"/>
      <c r="AU25" s="11"/>
    </row>
    <row r="26" spans="1:47" s="52" customFormat="1" x14ac:dyDescent="0.3">
      <c r="A26" s="88"/>
      <c r="B26" s="88">
        <v>17</v>
      </c>
      <c r="C26" s="2"/>
      <c r="D26" s="2"/>
      <c r="E26" s="5"/>
      <c r="F26" s="2"/>
      <c r="G26" s="2"/>
      <c r="H26" s="2"/>
      <c r="I26" s="109"/>
      <c r="J26" s="2"/>
      <c r="K26" s="2"/>
      <c r="L26" s="90"/>
      <c r="M26" s="3"/>
      <c r="N26" s="3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1"/>
      <c r="AP26" s="11"/>
      <c r="AQ26" s="11"/>
      <c r="AR26" s="11"/>
      <c r="AS26" s="11"/>
      <c r="AT26" s="11"/>
      <c r="AU26" s="11"/>
    </row>
    <row r="27" spans="1:47" s="52" customFormat="1" ht="14.25" customHeight="1" x14ac:dyDescent="0.3">
      <c r="A27" s="116" t="s">
        <v>103</v>
      </c>
      <c r="B27" s="90">
        <v>18</v>
      </c>
      <c r="C27" s="2">
        <f>'GERAL 2021'!G20/30*24</f>
        <v>520</v>
      </c>
      <c r="D27" s="2">
        <f>10%*C27</f>
        <v>52</v>
      </c>
      <c r="E27" s="5">
        <f>C27-D27</f>
        <v>468</v>
      </c>
      <c r="F27" s="2">
        <f>30/30*24</f>
        <v>24</v>
      </c>
      <c r="G27" s="2">
        <f>D75</f>
        <v>7.4972813238770684</v>
      </c>
      <c r="H27" s="2">
        <f>D74</f>
        <v>19.836666666666666</v>
      </c>
      <c r="I27" s="109">
        <f>SUM(E27:H27)</f>
        <v>519.33394799054372</v>
      </c>
      <c r="J27" s="2">
        <f>I27*7%</f>
        <v>36.353376359338064</v>
      </c>
      <c r="K27" s="2">
        <f>I27-J27</f>
        <v>482.98057163120563</v>
      </c>
      <c r="L27" s="71" t="s">
        <v>104</v>
      </c>
      <c r="M27" s="3">
        <v>10</v>
      </c>
      <c r="N27" s="3">
        <v>11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1"/>
      <c r="AP27" s="11"/>
      <c r="AQ27" s="11"/>
      <c r="AR27" s="11"/>
      <c r="AS27" s="11"/>
      <c r="AT27" s="11"/>
      <c r="AU27" s="11"/>
    </row>
    <row r="28" spans="1:47" s="18" customFormat="1" x14ac:dyDescent="0.3">
      <c r="A28" s="95"/>
      <c r="B28" s="90">
        <v>19</v>
      </c>
      <c r="C28" s="2"/>
      <c r="D28" s="2"/>
      <c r="E28" s="5"/>
      <c r="F28" s="2"/>
      <c r="G28" s="2"/>
      <c r="H28" s="2"/>
      <c r="I28" s="109"/>
      <c r="J28" s="2"/>
      <c r="K28" s="2"/>
      <c r="L28" s="90"/>
      <c r="M28" s="3"/>
      <c r="N28" s="3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1"/>
      <c r="AP28" s="11"/>
      <c r="AQ28" s="11"/>
      <c r="AR28" s="11"/>
      <c r="AS28" s="11"/>
      <c r="AT28" s="11"/>
      <c r="AU28" s="11"/>
    </row>
    <row r="29" spans="1:47" s="52" customFormat="1" x14ac:dyDescent="0.3">
      <c r="A29" s="88"/>
      <c r="B29" s="90">
        <v>20</v>
      </c>
      <c r="C29" s="2"/>
      <c r="D29" s="2"/>
      <c r="E29" s="5"/>
      <c r="F29" s="2"/>
      <c r="G29" s="2"/>
      <c r="H29" s="2"/>
      <c r="I29" s="109"/>
      <c r="J29" s="2"/>
      <c r="K29" s="2"/>
      <c r="L29" s="90"/>
      <c r="M29" s="3"/>
      <c r="N29" s="3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1"/>
      <c r="AP29" s="11"/>
      <c r="AQ29" s="11"/>
      <c r="AR29" s="11"/>
      <c r="AS29" s="11"/>
      <c r="AT29" s="11"/>
      <c r="AU29" s="11"/>
    </row>
    <row r="30" spans="1:47" s="52" customFormat="1" ht="15" customHeight="1" x14ac:dyDescent="0.3">
      <c r="A30" s="88"/>
      <c r="B30" s="90">
        <v>21</v>
      </c>
      <c r="C30" s="2"/>
      <c r="D30" s="2"/>
      <c r="E30" s="5"/>
      <c r="F30" s="2"/>
      <c r="G30" s="2"/>
      <c r="H30" s="2"/>
      <c r="I30" s="109"/>
      <c r="J30" s="2"/>
      <c r="K30" s="2"/>
      <c r="L30" s="90"/>
      <c r="M30" s="3"/>
      <c r="N30" s="3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1"/>
      <c r="AP30" s="11"/>
      <c r="AQ30" s="11"/>
      <c r="AR30" s="11"/>
      <c r="AS30" s="11"/>
      <c r="AT30" s="11"/>
      <c r="AU30" s="11"/>
    </row>
    <row r="31" spans="1:47" s="52" customFormat="1" ht="15.75" customHeight="1" x14ac:dyDescent="0.3">
      <c r="A31" s="88"/>
      <c r="B31" s="90">
        <v>22</v>
      </c>
      <c r="C31" s="2"/>
      <c r="D31" s="2"/>
      <c r="E31" s="5"/>
      <c r="F31" s="2"/>
      <c r="G31" s="2"/>
      <c r="H31" s="2"/>
      <c r="I31" s="109"/>
      <c r="J31" s="2"/>
      <c r="K31" s="2"/>
      <c r="L31" s="90"/>
      <c r="M31" s="3"/>
      <c r="N31" s="3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1"/>
      <c r="AP31" s="11"/>
      <c r="AQ31" s="11"/>
      <c r="AR31" s="11"/>
      <c r="AS31" s="11"/>
      <c r="AT31" s="11"/>
      <c r="AU31" s="11"/>
    </row>
    <row r="32" spans="1:47" s="52" customFormat="1" x14ac:dyDescent="0.3">
      <c r="A32" s="88"/>
      <c r="B32" s="90">
        <v>23</v>
      </c>
      <c r="C32" s="2"/>
      <c r="D32" s="2"/>
      <c r="E32" s="5"/>
      <c r="F32" s="2"/>
      <c r="G32" s="2"/>
      <c r="H32" s="2"/>
      <c r="I32" s="109"/>
      <c r="J32" s="2"/>
      <c r="K32" s="2"/>
      <c r="L32" s="90"/>
      <c r="M32" s="3"/>
      <c r="N32" s="3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1"/>
      <c r="AP32" s="11"/>
      <c r="AQ32" s="11"/>
      <c r="AR32" s="11"/>
      <c r="AS32" s="11"/>
      <c r="AT32" s="11"/>
      <c r="AU32" s="11"/>
    </row>
    <row r="33" spans="1:58" s="52" customFormat="1" x14ac:dyDescent="0.3">
      <c r="A33" s="88"/>
      <c r="B33" s="90">
        <v>24</v>
      </c>
      <c r="C33" s="2"/>
      <c r="D33" s="2"/>
      <c r="E33" s="5"/>
      <c r="F33" s="2"/>
      <c r="G33" s="2"/>
      <c r="H33" s="2"/>
      <c r="I33" s="109"/>
      <c r="J33" s="2"/>
      <c r="K33" s="2"/>
      <c r="L33" s="90"/>
      <c r="M33" s="3"/>
      <c r="N33" s="3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1"/>
      <c r="AP33" s="11"/>
      <c r="AQ33" s="11"/>
      <c r="AR33" s="11"/>
      <c r="AS33" s="11"/>
      <c r="AT33" s="11"/>
      <c r="AU33" s="11"/>
    </row>
    <row r="34" spans="1:58" x14ac:dyDescent="0.3">
      <c r="A34" s="118" t="s">
        <v>87</v>
      </c>
      <c r="B34" s="118">
        <v>25</v>
      </c>
      <c r="C34" s="118"/>
      <c r="D34" s="118"/>
      <c r="E34" s="118"/>
      <c r="F34" s="118"/>
      <c r="G34" s="118"/>
      <c r="H34" s="118"/>
      <c r="I34" s="119"/>
      <c r="J34" s="119"/>
      <c r="K34" s="119"/>
      <c r="L34" s="119" t="s">
        <v>108</v>
      </c>
      <c r="M34" s="119"/>
      <c r="N34" s="118"/>
    </row>
    <row r="35" spans="1:58" s="52" customFormat="1" x14ac:dyDescent="0.3">
      <c r="A35" s="88"/>
      <c r="B35" s="90">
        <v>26</v>
      </c>
      <c r="C35" s="2"/>
      <c r="D35" s="2"/>
      <c r="E35" s="5"/>
      <c r="F35" s="2"/>
      <c r="G35" s="2"/>
      <c r="H35" s="2"/>
      <c r="I35" s="109"/>
      <c r="J35" s="2"/>
      <c r="K35" s="2"/>
      <c r="L35" s="90"/>
      <c r="M35" s="3"/>
      <c r="N35" s="3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1"/>
      <c r="AP35" s="11"/>
      <c r="AQ35" s="11"/>
      <c r="AR35" s="11"/>
      <c r="AS35" s="11"/>
      <c r="AT35" s="11"/>
      <c r="AU35" s="11"/>
    </row>
    <row r="36" spans="1:58" x14ac:dyDescent="0.3">
      <c r="A36" s="118" t="s">
        <v>86</v>
      </c>
      <c r="B36" s="118">
        <v>27</v>
      </c>
      <c r="C36" s="118"/>
      <c r="D36" s="118"/>
      <c r="E36" s="118"/>
      <c r="F36" s="118"/>
      <c r="G36" s="118"/>
      <c r="H36" s="118"/>
      <c r="I36" s="119"/>
      <c r="J36" s="119"/>
      <c r="K36" s="119"/>
      <c r="L36" s="119" t="s">
        <v>108</v>
      </c>
      <c r="M36" s="119"/>
      <c r="N36" s="118"/>
    </row>
    <row r="37" spans="1:58" s="52" customFormat="1" ht="14.4" thickBot="1" x14ac:dyDescent="0.35">
      <c r="A37" s="518" t="s">
        <v>4</v>
      </c>
      <c r="B37" s="518"/>
      <c r="C37" s="109">
        <f>SUM(C10:C36)</f>
        <v>797.33333333333326</v>
      </c>
      <c r="D37" s="109">
        <f t="shared" ref="D37:K37" si="1">SUM(D10:D36)</f>
        <v>79.733333333333334</v>
      </c>
      <c r="E37" s="109">
        <f t="shared" si="1"/>
        <v>717.59999999999991</v>
      </c>
      <c r="F37" s="109">
        <f t="shared" si="1"/>
        <v>50</v>
      </c>
      <c r="G37" s="109">
        <f t="shared" si="1"/>
        <v>14.994562647754137</v>
      </c>
      <c r="H37" s="109">
        <f t="shared" si="1"/>
        <v>39.648333333333333</v>
      </c>
      <c r="I37" s="109">
        <f t="shared" si="1"/>
        <v>822.24289598108749</v>
      </c>
      <c r="J37" s="109">
        <f>SUM(J10:J36)</f>
        <v>57.557002718676131</v>
      </c>
      <c r="K37" s="109">
        <f t="shared" si="1"/>
        <v>764.68589326241135</v>
      </c>
      <c r="L37" s="90"/>
      <c r="M37" s="120"/>
      <c r="N37" s="56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1"/>
      <c r="AP37" s="11"/>
      <c r="AQ37" s="11"/>
      <c r="AR37" s="11"/>
      <c r="AS37" s="11"/>
      <c r="AT37" s="11"/>
      <c r="AU37" s="11"/>
    </row>
    <row r="38" spans="1:58" s="19" customFormat="1" ht="14.4" thickBot="1" x14ac:dyDescent="0.35">
      <c r="A38" s="536"/>
      <c r="B38" s="537"/>
      <c r="C38" s="537"/>
      <c r="D38" s="537"/>
      <c r="E38" s="537"/>
      <c r="F38" s="537"/>
      <c r="G38" s="537"/>
      <c r="H38" s="537"/>
      <c r="I38" s="537"/>
      <c r="J38" s="537"/>
      <c r="K38" s="537"/>
      <c r="L38" s="537"/>
      <c r="M38" s="524"/>
      <c r="N38" s="525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</row>
    <row r="39" spans="1:58" s="40" customFormat="1" ht="15" customHeight="1" x14ac:dyDescent="0.3">
      <c r="A39" s="518" t="s">
        <v>9</v>
      </c>
      <c r="B39" s="518"/>
      <c r="C39" s="518"/>
      <c r="D39" s="518"/>
      <c r="E39" s="518"/>
      <c r="F39" s="518"/>
      <c r="G39" s="46"/>
      <c r="H39" s="46"/>
      <c r="I39" s="64"/>
      <c r="J39" s="46"/>
      <c r="K39" s="46"/>
      <c r="L39" s="513" t="s">
        <v>20</v>
      </c>
      <c r="M39" s="513"/>
      <c r="N39" s="526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10"/>
      <c r="AK39" s="10"/>
      <c r="AL39" s="10"/>
      <c r="AM39" s="10"/>
      <c r="AN39" s="10"/>
      <c r="AO39" s="10"/>
      <c r="AP39" s="10"/>
      <c r="AQ39" s="10"/>
      <c r="AR39" s="11"/>
      <c r="AS39" s="11"/>
      <c r="AT39" s="11"/>
      <c r="AU39" s="11"/>
    </row>
    <row r="40" spans="1:58" s="40" customFormat="1" x14ac:dyDescent="0.3">
      <c r="A40" s="76" t="s">
        <v>40</v>
      </c>
      <c r="B40" s="77"/>
      <c r="C40" s="78"/>
      <c r="D40" s="77"/>
      <c r="E40" s="78"/>
      <c r="F40" s="77"/>
      <c r="G40" s="11"/>
      <c r="H40" s="11"/>
      <c r="I40" s="87"/>
      <c r="J40" s="87"/>
      <c r="K40" s="87"/>
      <c r="L40" s="527" t="s">
        <v>94</v>
      </c>
      <c r="M40" s="527"/>
      <c r="N40" s="49">
        <f>J37</f>
        <v>57.557002718676131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10"/>
      <c r="AK40" s="10"/>
      <c r="AL40" s="10"/>
      <c r="AM40" s="10"/>
      <c r="AN40" s="10"/>
      <c r="AO40" s="10"/>
      <c r="AP40" s="10"/>
      <c r="AQ40" s="10"/>
      <c r="AR40" s="11"/>
      <c r="AS40" s="11"/>
      <c r="AT40" s="11"/>
      <c r="AU40" s="11"/>
    </row>
    <row r="41" spans="1:58" s="40" customFormat="1" x14ac:dyDescent="0.3">
      <c r="A41" s="12" t="s">
        <v>46</v>
      </c>
      <c r="B41" s="2"/>
      <c r="C41" s="88"/>
      <c r="D41" s="2"/>
      <c r="E41" s="88"/>
      <c r="F41" s="88"/>
      <c r="G41" s="11"/>
      <c r="H41" s="11"/>
      <c r="I41" s="14"/>
      <c r="J41" s="14"/>
      <c r="K41" s="14"/>
      <c r="L41" s="534" t="s">
        <v>113</v>
      </c>
      <c r="M41" s="535"/>
      <c r="N41" s="114">
        <f>J7</f>
        <v>1022</v>
      </c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10"/>
      <c r="AK41" s="10"/>
      <c r="AL41" s="10"/>
      <c r="AM41" s="10"/>
      <c r="AN41" s="10"/>
      <c r="AO41" s="10"/>
      <c r="AP41" s="10"/>
      <c r="AQ41" s="10"/>
      <c r="AR41" s="11"/>
      <c r="AS41" s="11"/>
      <c r="AT41" s="11"/>
      <c r="AU41" s="11"/>
    </row>
    <row r="42" spans="1:58" s="40" customFormat="1" x14ac:dyDescent="0.3">
      <c r="A42" s="79" t="s">
        <v>29</v>
      </c>
      <c r="B42" s="80"/>
      <c r="C42" s="82"/>
      <c r="D42" s="80"/>
      <c r="E42" s="78"/>
      <c r="F42" s="77"/>
      <c r="G42" s="11"/>
      <c r="H42" s="11"/>
      <c r="I42" s="14"/>
      <c r="J42" s="14"/>
      <c r="K42" s="14"/>
      <c r="L42" s="520"/>
      <c r="M42" s="520"/>
      <c r="N42" s="528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10"/>
      <c r="AK42" s="10"/>
      <c r="AL42" s="10"/>
      <c r="AM42" s="10"/>
      <c r="AN42" s="10"/>
      <c r="AO42" s="10"/>
      <c r="AP42" s="10"/>
      <c r="AQ42" s="10"/>
      <c r="AR42" s="11"/>
      <c r="AS42" s="11"/>
      <c r="AT42" s="11"/>
      <c r="AU42" s="11"/>
    </row>
    <row r="43" spans="1:58" s="40" customFormat="1" ht="15" customHeight="1" x14ac:dyDescent="0.3">
      <c r="A43" s="12" t="s">
        <v>30</v>
      </c>
      <c r="B43" s="2"/>
      <c r="C43" s="88"/>
      <c r="D43" s="2"/>
      <c r="E43" s="53"/>
      <c r="F43" s="53"/>
      <c r="G43" s="11"/>
      <c r="H43" s="11"/>
      <c r="I43" s="62"/>
      <c r="J43" s="62"/>
      <c r="K43" s="62"/>
      <c r="L43" s="520"/>
      <c r="M43" s="520"/>
      <c r="N43" s="528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10"/>
      <c r="AK43" s="10"/>
      <c r="AL43" s="10"/>
      <c r="AM43" s="10"/>
      <c r="AN43" s="10"/>
      <c r="AO43" s="10"/>
      <c r="AP43" s="10"/>
      <c r="AQ43" s="10"/>
      <c r="AR43" s="11"/>
      <c r="AS43" s="11"/>
      <c r="AT43" s="11"/>
      <c r="AU43" s="11"/>
    </row>
    <row r="44" spans="1:58" s="40" customFormat="1" x14ac:dyDescent="0.3">
      <c r="A44" s="79" t="s">
        <v>65</v>
      </c>
      <c r="B44" s="80"/>
      <c r="C44" s="82"/>
      <c r="D44" s="80"/>
      <c r="E44" s="78"/>
      <c r="F44" s="77"/>
      <c r="G44" s="11"/>
      <c r="H44" s="11"/>
      <c r="I44" s="14"/>
      <c r="J44" s="14"/>
      <c r="K44" s="14"/>
      <c r="L44" s="529" t="s">
        <v>12</v>
      </c>
      <c r="M44" s="529"/>
      <c r="N44" s="530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10"/>
      <c r="AK44" s="10"/>
      <c r="AL44" s="10"/>
      <c r="AM44" s="10"/>
      <c r="AN44" s="10"/>
      <c r="AO44" s="10"/>
      <c r="AP44" s="10"/>
      <c r="AQ44" s="10"/>
      <c r="AR44" s="11"/>
      <c r="AS44" s="11"/>
      <c r="AT44" s="11"/>
      <c r="AU44" s="11"/>
    </row>
    <row r="45" spans="1:58" s="40" customFormat="1" x14ac:dyDescent="0.3">
      <c r="A45" s="12" t="s">
        <v>62</v>
      </c>
      <c r="B45" s="2"/>
      <c r="C45" s="88"/>
      <c r="D45" s="2"/>
      <c r="E45" s="88"/>
      <c r="F45" s="88"/>
      <c r="G45" s="11"/>
      <c r="H45" s="11"/>
      <c r="I45" s="63"/>
      <c r="J45" s="63"/>
      <c r="K45" s="63"/>
      <c r="L45" s="514" t="s">
        <v>109</v>
      </c>
      <c r="M45" s="514"/>
      <c r="N45" s="2">
        <v>17.8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10"/>
      <c r="AK45" s="10"/>
      <c r="AL45" s="10"/>
      <c r="AM45" s="10"/>
      <c r="AN45" s="10"/>
      <c r="AO45" s="10"/>
      <c r="AP45" s="10"/>
      <c r="AQ45" s="10"/>
      <c r="AR45" s="11"/>
      <c r="AS45" s="11"/>
      <c r="AT45" s="11"/>
      <c r="AU45" s="11"/>
    </row>
    <row r="46" spans="1:58" s="40" customFormat="1" x14ac:dyDescent="0.3">
      <c r="A46" s="79" t="s">
        <v>60</v>
      </c>
      <c r="B46" s="80"/>
      <c r="C46" s="82"/>
      <c r="D46" s="80"/>
      <c r="E46" s="78"/>
      <c r="F46" s="77"/>
      <c r="G46" s="11"/>
      <c r="H46" s="11"/>
      <c r="I46" s="14"/>
      <c r="J46" s="14"/>
      <c r="K46" s="14"/>
      <c r="L46" s="514" t="s">
        <v>110</v>
      </c>
      <c r="M46" s="514"/>
      <c r="N46" s="121">
        <v>19.82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10"/>
      <c r="AK46" s="10"/>
      <c r="AL46" s="10"/>
      <c r="AM46" s="10"/>
      <c r="AN46" s="10"/>
      <c r="AO46" s="10"/>
      <c r="AP46" s="10"/>
      <c r="AQ46" s="10"/>
      <c r="AR46" s="11"/>
      <c r="AS46" s="11"/>
      <c r="AT46" s="11"/>
      <c r="AU46" s="11"/>
    </row>
    <row r="47" spans="1:58" s="40" customFormat="1" ht="15" customHeight="1" x14ac:dyDescent="0.3">
      <c r="A47" s="12" t="s">
        <v>61</v>
      </c>
      <c r="B47" s="2"/>
      <c r="C47" s="88"/>
      <c r="D47" s="2"/>
      <c r="E47" s="88"/>
      <c r="F47" s="88"/>
      <c r="G47" s="11"/>
      <c r="H47" s="11"/>
      <c r="I47" s="63"/>
      <c r="J47" s="63"/>
      <c r="K47" s="63"/>
      <c r="L47" s="520" t="s">
        <v>111</v>
      </c>
      <c r="M47" s="520"/>
      <c r="N47" s="2">
        <v>19.82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10"/>
      <c r="AK47" s="10"/>
      <c r="AL47" s="10"/>
      <c r="AM47" s="10"/>
      <c r="AN47" s="10"/>
      <c r="AO47" s="10"/>
      <c r="AP47" s="10"/>
      <c r="AQ47" s="10"/>
      <c r="AR47" s="11"/>
      <c r="AS47" s="11"/>
      <c r="AT47" s="11"/>
      <c r="AU47" s="11"/>
    </row>
    <row r="48" spans="1:58" s="40" customFormat="1" ht="15" customHeight="1" x14ac:dyDescent="0.3">
      <c r="A48" s="79" t="s">
        <v>31</v>
      </c>
      <c r="B48" s="80"/>
      <c r="C48" s="82"/>
      <c r="D48" s="80"/>
      <c r="E48" s="78"/>
      <c r="F48" s="77"/>
      <c r="G48" s="11"/>
      <c r="H48" s="11"/>
      <c r="I48" s="14"/>
      <c r="J48" s="14"/>
      <c r="K48" s="14"/>
      <c r="L48" s="520" t="s">
        <v>112</v>
      </c>
      <c r="M48" s="520"/>
      <c r="N48" s="2">
        <v>19.95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10"/>
      <c r="AK48" s="10"/>
      <c r="AL48" s="10"/>
      <c r="AM48" s="10"/>
      <c r="AN48" s="10"/>
      <c r="AO48" s="10"/>
      <c r="AP48" s="10"/>
      <c r="AQ48" s="10"/>
      <c r="AR48" s="11"/>
      <c r="AS48" s="11"/>
      <c r="AT48" s="11"/>
      <c r="AU48" s="11"/>
    </row>
    <row r="49" spans="1:47" s="40" customFormat="1" ht="15" customHeight="1" x14ac:dyDescent="0.3">
      <c r="A49" s="12" t="s">
        <v>32</v>
      </c>
      <c r="B49" s="2"/>
      <c r="C49" s="88"/>
      <c r="D49" s="2"/>
      <c r="E49" s="88"/>
      <c r="F49" s="88"/>
      <c r="G49" s="11"/>
      <c r="H49" s="11"/>
      <c r="I49" s="63"/>
      <c r="J49" s="63"/>
      <c r="K49" s="63"/>
      <c r="L49" s="520" t="s">
        <v>101</v>
      </c>
      <c r="M49" s="520"/>
      <c r="N49" s="2">
        <v>19.84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11"/>
      <c r="AS49" s="11"/>
      <c r="AT49" s="11"/>
      <c r="AU49" s="11"/>
    </row>
    <row r="50" spans="1:47" s="40" customFormat="1" x14ac:dyDescent="0.3">
      <c r="A50" s="79" t="s">
        <v>57</v>
      </c>
      <c r="B50" s="80"/>
      <c r="C50" s="82"/>
      <c r="D50" s="80"/>
      <c r="E50" s="78"/>
      <c r="F50" s="77"/>
      <c r="G50" s="11"/>
      <c r="H50" s="11"/>
      <c r="I50" s="14"/>
      <c r="J50" s="14"/>
      <c r="K50" s="14"/>
      <c r="L50" s="520" t="s">
        <v>114</v>
      </c>
      <c r="M50" s="520"/>
      <c r="N50" s="2">
        <f>120*4</f>
        <v>480</v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11"/>
      <c r="AS50" s="11"/>
      <c r="AT50" s="11"/>
      <c r="AU50" s="11"/>
    </row>
    <row r="51" spans="1:47" s="40" customFormat="1" x14ac:dyDescent="0.3">
      <c r="A51" s="12" t="s">
        <v>58</v>
      </c>
      <c r="B51" s="2"/>
      <c r="C51" s="88"/>
      <c r="D51" s="2"/>
      <c r="E51" s="88"/>
      <c r="F51" s="88"/>
      <c r="G51" s="11"/>
      <c r="H51" s="11"/>
      <c r="I51" s="63"/>
      <c r="J51" s="63"/>
      <c r="K51" s="63"/>
      <c r="L51" s="541" t="s">
        <v>115</v>
      </c>
      <c r="M51" s="541"/>
      <c r="N51" s="2">
        <f>7.92*2</f>
        <v>15.84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11"/>
      <c r="AS51" s="11"/>
      <c r="AT51" s="11"/>
      <c r="AU51" s="11"/>
    </row>
    <row r="52" spans="1:47" s="40" customFormat="1" ht="15" customHeight="1" x14ac:dyDescent="0.3">
      <c r="A52" s="79" t="s">
        <v>63</v>
      </c>
      <c r="B52" s="80"/>
      <c r="C52" s="82"/>
      <c r="D52" s="80"/>
      <c r="E52" s="78"/>
      <c r="F52" s="77"/>
      <c r="G52" s="11"/>
      <c r="H52" s="11"/>
      <c r="I52" s="14"/>
      <c r="J52" s="14"/>
      <c r="K52" s="14"/>
      <c r="L52" s="520" t="s">
        <v>116</v>
      </c>
      <c r="M52" s="520"/>
      <c r="N52" s="2">
        <f>5*27</f>
        <v>135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11"/>
      <c r="AS52" s="11"/>
      <c r="AT52" s="11"/>
      <c r="AU52" s="11"/>
    </row>
    <row r="53" spans="1:47" s="40" customFormat="1" x14ac:dyDescent="0.3">
      <c r="A53" s="12" t="s">
        <v>64</v>
      </c>
      <c r="B53" s="2"/>
      <c r="C53" s="88"/>
      <c r="D53" s="2"/>
      <c r="E53" s="88"/>
      <c r="F53" s="88"/>
      <c r="G53" s="11"/>
      <c r="H53" s="11"/>
      <c r="I53" s="63"/>
      <c r="J53" s="63"/>
      <c r="K53" s="63"/>
      <c r="L53" s="520"/>
      <c r="M53" s="520"/>
      <c r="N53" s="90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11"/>
      <c r="AS53" s="11"/>
      <c r="AT53" s="11"/>
      <c r="AU53" s="11"/>
    </row>
    <row r="54" spans="1:47" s="40" customFormat="1" ht="18" customHeight="1" x14ac:dyDescent="0.3">
      <c r="A54" s="79" t="s">
        <v>33</v>
      </c>
      <c r="B54" s="80"/>
      <c r="C54" s="82"/>
      <c r="D54" s="80"/>
      <c r="E54" s="78"/>
      <c r="F54" s="77"/>
      <c r="G54" s="11"/>
      <c r="H54" s="11"/>
      <c r="I54" s="14"/>
      <c r="J54" s="14"/>
      <c r="K54" s="14"/>
      <c r="L54" s="520"/>
      <c r="M54" s="520"/>
      <c r="N54" s="91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11"/>
      <c r="AS54" s="11"/>
      <c r="AT54" s="11"/>
      <c r="AU54" s="11"/>
    </row>
    <row r="55" spans="1:47" s="40" customFormat="1" ht="18" customHeight="1" x14ac:dyDescent="0.3">
      <c r="A55" s="12" t="s">
        <v>34</v>
      </c>
      <c r="B55" s="2"/>
      <c r="C55" s="88"/>
      <c r="D55" s="2"/>
      <c r="E55" s="88"/>
      <c r="F55" s="88"/>
      <c r="G55" s="11"/>
      <c r="H55" s="11"/>
      <c r="I55" s="63"/>
      <c r="J55" s="63"/>
      <c r="K55" s="63"/>
      <c r="L55" s="520"/>
      <c r="M55" s="520"/>
      <c r="N55" s="91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11"/>
      <c r="AS55" s="11"/>
      <c r="AT55" s="11"/>
      <c r="AU55" s="11"/>
    </row>
    <row r="56" spans="1:47" s="11" customFormat="1" ht="15" customHeight="1" x14ac:dyDescent="0.3">
      <c r="A56" s="79" t="s">
        <v>41</v>
      </c>
      <c r="B56" s="80"/>
      <c r="C56" s="82"/>
      <c r="D56" s="80"/>
      <c r="E56" s="78"/>
      <c r="F56" s="77"/>
      <c r="L56" s="518"/>
      <c r="M56" s="518"/>
      <c r="N56" s="48"/>
    </row>
    <row r="57" spans="1:47" s="11" customFormat="1" x14ac:dyDescent="0.3">
      <c r="A57" s="12" t="s">
        <v>42</v>
      </c>
      <c r="B57" s="2"/>
      <c r="C57" s="88"/>
      <c r="D57" s="2"/>
      <c r="E57" s="88"/>
      <c r="F57" s="88"/>
      <c r="I57" s="63"/>
      <c r="J57" s="63"/>
      <c r="K57" s="63"/>
      <c r="L57" s="531" t="s">
        <v>26</v>
      </c>
      <c r="M57" s="531"/>
      <c r="N57" s="45">
        <f>SUM(N40:N56)</f>
        <v>1807.6270027186758</v>
      </c>
    </row>
    <row r="58" spans="1:47" s="11" customFormat="1" ht="15" customHeight="1" x14ac:dyDescent="0.3">
      <c r="A58" s="79" t="s">
        <v>66</v>
      </c>
      <c r="B58" s="80">
        <f>'GERAL 2021'!K12</f>
        <v>106.95</v>
      </c>
      <c r="C58" s="81">
        <v>6</v>
      </c>
      <c r="D58" s="80">
        <f>B58/C58</f>
        <v>17.824999999999999</v>
      </c>
      <c r="E58" s="82"/>
      <c r="F58" s="80"/>
      <c r="I58" s="14"/>
      <c r="J58" s="14"/>
      <c r="K58" s="14"/>
      <c r="L58" s="518"/>
      <c r="M58" s="518"/>
      <c r="N58" s="48"/>
    </row>
    <row r="59" spans="1:47" s="11" customFormat="1" x14ac:dyDescent="0.3">
      <c r="A59" s="12" t="s">
        <v>67</v>
      </c>
      <c r="B59" s="2"/>
      <c r="C59" s="88"/>
      <c r="D59" s="2"/>
      <c r="E59" s="88"/>
      <c r="F59" s="88"/>
      <c r="I59" s="63"/>
      <c r="J59" s="63"/>
      <c r="K59" s="63"/>
      <c r="L59" s="513" t="s">
        <v>11</v>
      </c>
      <c r="M59" s="513"/>
      <c r="N59" s="526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</row>
    <row r="60" spans="1:47" s="11" customFormat="1" x14ac:dyDescent="0.3">
      <c r="A60" s="79" t="s">
        <v>14</v>
      </c>
      <c r="B60" s="80"/>
      <c r="C60" s="82"/>
      <c r="D60" s="80"/>
      <c r="E60" s="82"/>
      <c r="F60" s="80"/>
      <c r="I60" s="14"/>
      <c r="J60" s="14"/>
      <c r="K60" s="14"/>
      <c r="L60" s="532">
        <f>I7+I37</f>
        <v>2728.4545626477538</v>
      </c>
      <c r="M60" s="532"/>
      <c r="N60" s="533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</row>
    <row r="61" spans="1:47" s="11" customFormat="1" x14ac:dyDescent="0.3">
      <c r="A61" s="12" t="s">
        <v>15</v>
      </c>
      <c r="B61" s="2"/>
      <c r="C61" s="88"/>
      <c r="D61" s="2"/>
      <c r="E61" s="88"/>
      <c r="F61" s="88"/>
      <c r="I61" s="87"/>
      <c r="J61" s="87"/>
      <c r="K61" s="87"/>
      <c r="L61" s="518"/>
      <c r="M61" s="518"/>
      <c r="N61" s="519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</row>
    <row r="62" spans="1:47" s="11" customFormat="1" ht="12.75" customHeight="1" x14ac:dyDescent="0.3">
      <c r="A62" s="79" t="s">
        <v>55</v>
      </c>
      <c r="B62" s="80"/>
      <c r="C62" s="82"/>
      <c r="D62" s="80"/>
      <c r="E62" s="82"/>
      <c r="F62" s="80"/>
      <c r="L62" s="513" t="s">
        <v>13</v>
      </c>
      <c r="M62" s="513"/>
      <c r="N62" s="49">
        <f>L60-N57</f>
        <v>920.82755992907801</v>
      </c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</row>
    <row r="63" spans="1:47" s="11" customFormat="1" x14ac:dyDescent="0.3">
      <c r="A63" s="12" t="s">
        <v>56</v>
      </c>
      <c r="B63" s="2"/>
      <c r="C63" s="88"/>
      <c r="D63" s="2"/>
      <c r="E63" s="88"/>
      <c r="F63" s="88"/>
      <c r="L63" s="539"/>
      <c r="M63" s="539"/>
      <c r="N63" s="539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</row>
    <row r="64" spans="1:47" s="11" customFormat="1" ht="12.75" customHeight="1" x14ac:dyDescent="0.3">
      <c r="A64" s="79" t="s">
        <v>35</v>
      </c>
      <c r="B64" s="80"/>
      <c r="C64" s="82"/>
      <c r="D64" s="80"/>
      <c r="E64" s="82"/>
      <c r="F64" s="80"/>
      <c r="L64" s="540"/>
      <c r="M64" s="540"/>
      <c r="N64" s="540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</row>
    <row r="65" spans="1:46" s="11" customFormat="1" x14ac:dyDescent="0.3">
      <c r="A65" s="12" t="s">
        <v>36</v>
      </c>
      <c r="B65" s="2"/>
      <c r="C65" s="88"/>
      <c r="D65" s="2"/>
      <c r="E65" s="88"/>
      <c r="F65" s="88"/>
      <c r="I65" s="14"/>
      <c r="J65" s="14"/>
      <c r="K65" s="14"/>
      <c r="L65" s="540"/>
      <c r="M65" s="540"/>
      <c r="N65" s="540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</row>
    <row r="66" spans="1:46" s="11" customFormat="1" ht="13.5" customHeight="1" x14ac:dyDescent="0.3">
      <c r="A66" s="79" t="s">
        <v>47</v>
      </c>
      <c r="B66" s="80"/>
      <c r="C66" s="82"/>
      <c r="D66" s="80"/>
      <c r="E66" s="82"/>
      <c r="F66" s="80"/>
      <c r="I66" s="15"/>
      <c r="J66" s="15"/>
      <c r="K66" s="15"/>
      <c r="L66" s="540"/>
      <c r="M66" s="540"/>
      <c r="N66" s="540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</row>
    <row r="67" spans="1:46" s="11" customFormat="1" x14ac:dyDescent="0.3">
      <c r="A67" s="12" t="s">
        <v>48</v>
      </c>
      <c r="B67" s="2"/>
      <c r="C67" s="88"/>
      <c r="D67" s="2"/>
      <c r="E67" s="88"/>
      <c r="F67" s="88"/>
      <c r="I67" s="14"/>
      <c r="J67" s="14"/>
      <c r="K67" s="14"/>
      <c r="L67" s="540"/>
      <c r="M67" s="540"/>
      <c r="N67" s="540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</row>
    <row r="68" spans="1:46" s="11" customFormat="1" x14ac:dyDescent="0.3">
      <c r="A68" s="79" t="s">
        <v>16</v>
      </c>
      <c r="B68" s="80"/>
      <c r="C68" s="82"/>
      <c r="D68" s="80"/>
      <c r="E68" s="81"/>
      <c r="F68" s="81"/>
      <c r="I68" s="14"/>
      <c r="J68" s="14"/>
      <c r="K68" s="14"/>
      <c r="L68" s="540"/>
      <c r="M68" s="540"/>
      <c r="N68" s="540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</row>
    <row r="69" spans="1:46" s="11" customFormat="1" x14ac:dyDescent="0.3">
      <c r="A69" s="12" t="s">
        <v>17</v>
      </c>
      <c r="B69" s="2"/>
      <c r="C69" s="88"/>
      <c r="D69" s="2"/>
      <c r="E69" s="88"/>
      <c r="F69" s="88"/>
      <c r="I69" s="14"/>
      <c r="J69" s="14"/>
      <c r="K69" s="14"/>
      <c r="L69" s="15"/>
      <c r="M69" s="14"/>
      <c r="N69" s="5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</row>
    <row r="70" spans="1:46" s="11" customFormat="1" x14ac:dyDescent="0.3">
      <c r="A70" s="79" t="s">
        <v>27</v>
      </c>
      <c r="B70" s="80">
        <f>'GERAL 2021'!K18</f>
        <v>118.87</v>
      </c>
      <c r="C70" s="82">
        <v>6</v>
      </c>
      <c r="D70" s="80">
        <f>B70/C70</f>
        <v>19.811666666666667</v>
      </c>
      <c r="E70" s="81"/>
      <c r="F70" s="82"/>
      <c r="I70" s="14"/>
      <c r="J70" s="14"/>
      <c r="K70" s="14"/>
      <c r="M70" s="15"/>
      <c r="N70" s="65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</row>
    <row r="71" spans="1:46" s="11" customFormat="1" x14ac:dyDescent="0.3">
      <c r="A71" s="12" t="s">
        <v>28</v>
      </c>
      <c r="B71" s="2">
        <f>'GERAL 2021'!I18</f>
        <v>1.0710401891252954</v>
      </c>
      <c r="C71" s="88">
        <v>7</v>
      </c>
      <c r="D71" s="2">
        <f>B71*C71</f>
        <v>7.4972813238770684</v>
      </c>
      <c r="E71" s="88"/>
      <c r="F71" s="90"/>
      <c r="I71" s="20"/>
      <c r="J71" s="20"/>
      <c r="K71" s="20"/>
      <c r="N71" s="65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</row>
    <row r="72" spans="1:46" s="18" customFormat="1" x14ac:dyDescent="0.3">
      <c r="A72" s="79" t="s">
        <v>18</v>
      </c>
      <c r="B72" s="80"/>
      <c r="C72" s="82"/>
      <c r="D72" s="80"/>
      <c r="E72" s="82"/>
      <c r="F72" s="80"/>
      <c r="I72" s="20"/>
      <c r="J72" s="20"/>
      <c r="K72" s="20"/>
      <c r="L72" s="14"/>
      <c r="M72" s="14"/>
      <c r="N72" s="65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</row>
    <row r="73" spans="1:46" s="18" customFormat="1" x14ac:dyDescent="0.3">
      <c r="A73" s="12" t="s">
        <v>19</v>
      </c>
      <c r="B73" s="2"/>
      <c r="C73" s="88"/>
      <c r="D73" s="2"/>
      <c r="E73" s="88"/>
      <c r="F73" s="88"/>
      <c r="I73" s="20"/>
      <c r="J73" s="20"/>
      <c r="K73" s="20"/>
      <c r="L73" s="20"/>
      <c r="M73" s="15"/>
      <c r="N73" s="65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</row>
    <row r="74" spans="1:46" s="18" customFormat="1" x14ac:dyDescent="0.3">
      <c r="A74" s="79" t="s">
        <v>37</v>
      </c>
      <c r="B74" s="80">
        <f>'GERAL 2021'!K20</f>
        <v>119.02</v>
      </c>
      <c r="C74" s="82">
        <v>6</v>
      </c>
      <c r="D74" s="80">
        <f>B74/C74</f>
        <v>19.836666666666666</v>
      </c>
      <c r="E74" s="81"/>
      <c r="F74" s="82"/>
      <c r="I74" s="20"/>
      <c r="J74" s="20"/>
      <c r="K74" s="20"/>
      <c r="L74" s="20"/>
      <c r="M74" s="11"/>
      <c r="N74" s="65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</row>
    <row r="75" spans="1:46" s="18" customFormat="1" x14ac:dyDescent="0.3">
      <c r="A75" s="12" t="s">
        <v>38</v>
      </c>
      <c r="B75" s="2">
        <f>'GERAL 2021'!I20</f>
        <v>1.0710401891252954</v>
      </c>
      <c r="C75" s="88">
        <v>7</v>
      </c>
      <c r="D75" s="2">
        <f>B75*C75</f>
        <v>7.4972813238770684</v>
      </c>
      <c r="E75" s="88"/>
      <c r="F75" s="88"/>
      <c r="I75" s="20"/>
      <c r="J75" s="20"/>
      <c r="K75" s="20"/>
      <c r="L75" s="20"/>
      <c r="M75" s="11"/>
      <c r="N75" s="65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</row>
    <row r="76" spans="1:46" s="18" customFormat="1" x14ac:dyDescent="0.3">
      <c r="A76" s="79" t="s">
        <v>45</v>
      </c>
      <c r="B76" s="80"/>
      <c r="C76" s="82"/>
      <c r="D76" s="80"/>
      <c r="E76" s="81"/>
      <c r="F76" s="82"/>
      <c r="I76" s="20"/>
      <c r="J76" s="20"/>
      <c r="K76" s="20"/>
      <c r="M76" s="11"/>
      <c r="N76" s="65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</row>
    <row r="77" spans="1:46" s="18" customFormat="1" x14ac:dyDescent="0.3">
      <c r="A77" s="12" t="s">
        <v>39</v>
      </c>
      <c r="B77" s="2"/>
      <c r="C77" s="88"/>
      <c r="D77" s="2"/>
      <c r="E77" s="88"/>
      <c r="F77" s="88"/>
      <c r="I77" s="20"/>
      <c r="J77" s="20"/>
      <c r="K77" s="20"/>
      <c r="M77" s="14"/>
      <c r="N77" s="65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</row>
    <row r="78" spans="1:46" s="18" customFormat="1" x14ac:dyDescent="0.3">
      <c r="A78" s="79" t="s">
        <v>49</v>
      </c>
      <c r="B78" s="80"/>
      <c r="C78" s="82"/>
      <c r="D78" s="80"/>
      <c r="E78" s="81"/>
      <c r="F78" s="82"/>
      <c r="I78" s="20"/>
      <c r="J78" s="20"/>
      <c r="K78" s="20"/>
      <c r="M78" s="20"/>
      <c r="N78" s="65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</row>
    <row r="79" spans="1:46" s="18" customFormat="1" x14ac:dyDescent="0.3">
      <c r="A79" s="12" t="s">
        <v>50</v>
      </c>
      <c r="B79" s="2"/>
      <c r="C79" s="88"/>
      <c r="D79" s="2"/>
      <c r="E79" s="88"/>
      <c r="F79" s="88"/>
      <c r="I79" s="20"/>
      <c r="J79" s="20"/>
      <c r="K79" s="20"/>
      <c r="M79" s="20"/>
      <c r="N79" s="65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</row>
    <row r="80" spans="1:46" s="18" customFormat="1" x14ac:dyDescent="0.3">
      <c r="A80" s="79" t="s">
        <v>43</v>
      </c>
      <c r="B80" s="80"/>
      <c r="C80" s="82"/>
      <c r="D80" s="80"/>
      <c r="E80" s="81"/>
      <c r="F80" s="82"/>
      <c r="I80" s="20"/>
      <c r="J80" s="20"/>
      <c r="K80" s="20"/>
      <c r="M80" s="20"/>
      <c r="N80" s="65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</row>
    <row r="81" spans="1:45" s="18" customFormat="1" x14ac:dyDescent="0.3">
      <c r="A81" s="12" t="s">
        <v>44</v>
      </c>
      <c r="B81" s="2"/>
      <c r="C81" s="88"/>
      <c r="D81" s="2"/>
      <c r="E81" s="88"/>
      <c r="F81" s="88"/>
      <c r="I81" s="20"/>
      <c r="J81" s="20"/>
      <c r="K81" s="20"/>
      <c r="N81" s="65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</row>
    <row r="82" spans="1:45" s="32" customFormat="1" x14ac:dyDescent="0.3">
      <c r="A82" s="79" t="s">
        <v>51</v>
      </c>
      <c r="B82" s="80"/>
      <c r="C82" s="82"/>
      <c r="D82" s="80"/>
      <c r="E82" s="82"/>
      <c r="F82" s="80"/>
      <c r="I82" s="21"/>
      <c r="J82" s="21"/>
      <c r="K82" s="21"/>
      <c r="L82" s="18"/>
      <c r="M82" s="18"/>
      <c r="N82" s="65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</row>
    <row r="83" spans="1:45" s="32" customFormat="1" x14ac:dyDescent="0.3">
      <c r="A83" s="12" t="s">
        <v>52</v>
      </c>
      <c r="B83" s="2"/>
      <c r="C83" s="88"/>
      <c r="D83" s="2"/>
      <c r="E83" s="88"/>
      <c r="F83" s="67"/>
      <c r="G83" s="63"/>
      <c r="H83" s="63"/>
      <c r="N83" s="65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</row>
    <row r="84" spans="1:45" s="32" customFormat="1" x14ac:dyDescent="0.3">
      <c r="A84" s="79" t="s">
        <v>53</v>
      </c>
      <c r="B84" s="80"/>
      <c r="C84" s="82"/>
      <c r="D84" s="80"/>
      <c r="E84" s="82"/>
      <c r="F84" s="82"/>
      <c r="G84" s="11"/>
      <c r="H84" s="63"/>
      <c r="I84" s="21"/>
      <c r="J84" s="21"/>
      <c r="K84" s="21"/>
      <c r="M84" s="18"/>
      <c r="N84" s="65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</row>
    <row r="85" spans="1:45" s="32" customFormat="1" ht="14.4" thickBot="1" x14ac:dyDescent="0.35">
      <c r="A85" s="59" t="s">
        <v>54</v>
      </c>
      <c r="B85" s="60"/>
      <c r="C85" s="61"/>
      <c r="D85" s="60"/>
      <c r="E85" s="61"/>
      <c r="F85" s="67"/>
      <c r="G85" s="21"/>
      <c r="H85" s="21"/>
      <c r="I85" s="21"/>
      <c r="J85" s="21"/>
      <c r="K85" s="21"/>
      <c r="L85" s="21"/>
      <c r="M85" s="21"/>
      <c r="N85" s="65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</row>
    <row r="86" spans="1:45" s="32" customFormat="1" x14ac:dyDescent="0.3">
      <c r="A86" s="79" t="s">
        <v>78</v>
      </c>
      <c r="B86" s="80"/>
      <c r="C86" s="82"/>
      <c r="D86" s="80"/>
      <c r="E86" s="82"/>
      <c r="F86" s="82"/>
      <c r="G86" s="11"/>
      <c r="H86" s="63"/>
      <c r="I86" s="21"/>
      <c r="J86" s="21"/>
      <c r="K86" s="21"/>
      <c r="M86" s="18"/>
      <c r="N86" s="65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</row>
    <row r="87" spans="1:45" s="32" customFormat="1" ht="14.4" thickBot="1" x14ac:dyDescent="0.35">
      <c r="A87" s="59" t="s">
        <v>79</v>
      </c>
      <c r="B87" s="60"/>
      <c r="C87" s="61"/>
      <c r="D87" s="60"/>
      <c r="E87" s="61"/>
      <c r="F87" s="67"/>
      <c r="G87" s="21"/>
      <c r="H87" s="21"/>
      <c r="I87" s="21"/>
      <c r="J87" s="21"/>
      <c r="K87" s="21"/>
      <c r="L87" s="21"/>
      <c r="M87" s="21"/>
      <c r="N87" s="65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</row>
    <row r="88" spans="1:45" s="32" customFormat="1" x14ac:dyDescent="0.3">
      <c r="A88" s="79" t="s">
        <v>80</v>
      </c>
      <c r="B88" s="80">
        <f>'GERAL 2021'!K27</f>
        <v>119.7</v>
      </c>
      <c r="C88" s="82">
        <v>6</v>
      </c>
      <c r="D88" s="80">
        <f>B88/C88</f>
        <v>19.95</v>
      </c>
      <c r="E88" s="82"/>
      <c r="F88" s="82"/>
      <c r="G88" s="11"/>
      <c r="H88" s="63"/>
      <c r="I88" s="21"/>
      <c r="J88" s="21"/>
      <c r="K88" s="21"/>
      <c r="M88" s="18"/>
      <c r="N88" s="65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</row>
    <row r="89" spans="1:45" s="32" customFormat="1" ht="14.4" thickBot="1" x14ac:dyDescent="0.35">
      <c r="A89" s="59" t="s">
        <v>81</v>
      </c>
      <c r="B89" s="60"/>
      <c r="C89" s="61"/>
      <c r="D89" s="60"/>
      <c r="E89" s="61"/>
      <c r="F89" s="67"/>
      <c r="G89" s="21"/>
      <c r="H89" s="21"/>
      <c r="I89" s="21"/>
      <c r="J89" s="21"/>
      <c r="K89" s="21"/>
      <c r="L89" s="21"/>
      <c r="M89" s="21"/>
      <c r="N89" s="65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</row>
    <row r="90" spans="1:45" s="32" customFormat="1" x14ac:dyDescent="0.3">
      <c r="A90" s="79" t="s">
        <v>82</v>
      </c>
      <c r="B90" s="80"/>
      <c r="C90" s="82"/>
      <c r="D90" s="80"/>
      <c r="E90" s="82"/>
      <c r="F90" s="82"/>
      <c r="G90" s="11"/>
      <c r="H90" s="63"/>
      <c r="I90" s="21"/>
      <c r="J90" s="21"/>
      <c r="K90" s="21"/>
      <c r="M90" s="18"/>
      <c r="N90" s="65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</row>
    <row r="91" spans="1:45" s="32" customFormat="1" ht="14.4" thickBot="1" x14ac:dyDescent="0.35">
      <c r="A91" s="59" t="s">
        <v>83</v>
      </c>
      <c r="B91" s="60"/>
      <c r="C91" s="61"/>
      <c r="D91" s="60"/>
      <c r="E91" s="61"/>
      <c r="F91" s="67"/>
      <c r="G91" s="21"/>
      <c r="H91" s="21"/>
      <c r="I91" s="21"/>
      <c r="J91" s="21"/>
      <c r="K91" s="21"/>
      <c r="L91" s="21"/>
      <c r="M91" s="21"/>
      <c r="N91" s="65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</row>
    <row r="92" spans="1:45" s="32" customFormat="1" x14ac:dyDescent="0.3">
      <c r="A92" s="79" t="s">
        <v>84</v>
      </c>
      <c r="B92" s="80">
        <f>'GERAL 2021'!K29</f>
        <v>119.02</v>
      </c>
      <c r="C92" s="82">
        <v>6</v>
      </c>
      <c r="D92" s="80">
        <f>B92/C92</f>
        <v>19.836666666666666</v>
      </c>
      <c r="E92" s="82"/>
      <c r="F92" s="82"/>
      <c r="G92" s="11"/>
      <c r="H92" s="63"/>
      <c r="I92" s="21"/>
      <c r="J92" s="21"/>
      <c r="K92" s="21"/>
      <c r="M92" s="18"/>
      <c r="N92" s="65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</row>
    <row r="93" spans="1:45" s="32" customFormat="1" ht="14.4" thickBot="1" x14ac:dyDescent="0.35">
      <c r="A93" s="59" t="s">
        <v>85</v>
      </c>
      <c r="B93" s="60"/>
      <c r="C93" s="61"/>
      <c r="D93" s="60"/>
      <c r="E93" s="61"/>
      <c r="F93" s="67"/>
      <c r="G93" s="66"/>
      <c r="H93" s="66"/>
      <c r="I93" s="66"/>
      <c r="J93" s="66"/>
      <c r="K93" s="66"/>
      <c r="L93" s="66"/>
      <c r="M93" s="66"/>
      <c r="N93" s="66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</row>
    <row r="94" spans="1:45" s="22" customFormat="1" x14ac:dyDescent="0.3">
      <c r="A94" s="32"/>
      <c r="B94" s="32"/>
      <c r="C94" s="32"/>
      <c r="D94" s="32"/>
      <c r="E94" s="32"/>
      <c r="F94" s="32"/>
      <c r="G94" s="32"/>
      <c r="H94" s="32"/>
      <c r="I94" s="21"/>
      <c r="J94" s="21"/>
      <c r="K94" s="21"/>
      <c r="L94" s="32"/>
      <c r="M94" s="32"/>
      <c r="N94" s="32"/>
    </row>
    <row r="95" spans="1:45" s="22" customFormat="1" x14ac:dyDescent="0.3">
      <c r="A95" s="32"/>
      <c r="B95" s="32"/>
      <c r="C95" s="32"/>
      <c r="D95" s="32"/>
      <c r="E95" s="32"/>
      <c r="F95" s="32"/>
      <c r="G95" s="32"/>
      <c r="H95" s="32"/>
      <c r="I95" s="21"/>
      <c r="J95" s="21"/>
      <c r="K95" s="21"/>
      <c r="L95" s="32"/>
      <c r="M95" s="32"/>
      <c r="N95" s="32"/>
    </row>
    <row r="96" spans="1:45" s="22" customFormat="1" x14ac:dyDescent="0.3">
      <c r="A96" s="32"/>
      <c r="B96" s="32"/>
      <c r="C96" s="32"/>
      <c r="D96" s="32"/>
      <c r="E96" s="32"/>
      <c r="F96" s="32"/>
      <c r="G96" s="32"/>
      <c r="H96" s="32"/>
      <c r="I96" s="21"/>
      <c r="J96" s="21"/>
      <c r="K96" s="21"/>
      <c r="L96" s="32"/>
      <c r="M96" s="32"/>
      <c r="N96" s="32"/>
    </row>
    <row r="97" spans="1:46" s="22" customFormat="1" x14ac:dyDescent="0.3">
      <c r="A97" s="32"/>
      <c r="B97" s="32"/>
      <c r="C97" s="32"/>
      <c r="D97" s="32"/>
      <c r="E97" s="32"/>
      <c r="F97" s="32"/>
      <c r="G97" s="32"/>
      <c r="H97" s="32"/>
      <c r="I97" s="21"/>
      <c r="J97" s="21"/>
      <c r="K97" s="21"/>
      <c r="L97" s="32"/>
      <c r="M97" s="32"/>
      <c r="N97" s="32"/>
    </row>
    <row r="98" spans="1:46" s="22" customFormat="1" x14ac:dyDescent="0.3">
      <c r="A98" s="32"/>
      <c r="B98" s="32"/>
      <c r="C98" s="32"/>
      <c r="D98" s="32"/>
      <c r="E98" s="32"/>
      <c r="F98" s="32"/>
      <c r="G98" s="32"/>
      <c r="H98" s="32"/>
      <c r="I98" s="21"/>
      <c r="J98" s="21"/>
      <c r="K98" s="21"/>
      <c r="L98" s="32"/>
      <c r="M98" s="32"/>
      <c r="N98" s="32"/>
    </row>
    <row r="99" spans="1:46" s="22" customFormat="1" x14ac:dyDescent="0.3">
      <c r="A99" s="32"/>
      <c r="B99" s="32"/>
      <c r="C99" s="32"/>
      <c r="D99" s="32"/>
      <c r="E99" s="32"/>
      <c r="F99" s="32"/>
      <c r="G99" s="32"/>
      <c r="H99" s="32"/>
      <c r="I99" s="21"/>
      <c r="J99" s="21"/>
      <c r="K99" s="21"/>
      <c r="L99" s="32"/>
      <c r="M99" s="32"/>
      <c r="N99" s="32"/>
    </row>
    <row r="100" spans="1:46" s="22" customFormat="1" x14ac:dyDescent="0.3">
      <c r="A100" s="32"/>
      <c r="B100" s="32"/>
      <c r="C100" s="32"/>
      <c r="D100" s="32"/>
      <c r="E100" s="32"/>
      <c r="F100" s="32"/>
      <c r="G100" s="32"/>
      <c r="H100" s="32"/>
      <c r="I100" s="23"/>
      <c r="J100" s="23"/>
      <c r="K100" s="23"/>
      <c r="L100" s="32"/>
      <c r="M100" s="32"/>
      <c r="N100" s="32"/>
      <c r="O100" s="6"/>
      <c r="P100" s="6"/>
    </row>
    <row r="101" spans="1:46" s="22" customFormat="1" x14ac:dyDescent="0.3">
      <c r="A101" s="32"/>
      <c r="B101" s="32"/>
      <c r="C101" s="32"/>
      <c r="D101" s="32"/>
      <c r="E101" s="32"/>
      <c r="F101" s="32"/>
      <c r="G101" s="32"/>
      <c r="H101" s="32"/>
      <c r="I101" s="23"/>
      <c r="J101" s="23"/>
      <c r="K101" s="23"/>
      <c r="L101" s="32"/>
      <c r="M101" s="32"/>
      <c r="N101" s="32"/>
      <c r="O101" s="6"/>
      <c r="P101" s="6"/>
    </row>
    <row r="102" spans="1:46" s="22" customFormat="1" x14ac:dyDescent="0.3">
      <c r="A102" s="32"/>
      <c r="B102" s="32"/>
      <c r="C102" s="32"/>
      <c r="D102" s="32"/>
      <c r="E102" s="32"/>
      <c r="F102" s="32"/>
      <c r="G102" s="32"/>
      <c r="H102" s="32"/>
      <c r="I102" s="21"/>
      <c r="J102" s="21"/>
      <c r="K102" s="21"/>
      <c r="L102" s="6"/>
      <c r="M102" s="32"/>
      <c r="N102" s="32"/>
    </row>
    <row r="103" spans="1:46" s="22" customFormat="1" x14ac:dyDescent="0.3">
      <c r="A103" s="32"/>
      <c r="B103" s="32"/>
      <c r="C103" s="32"/>
      <c r="D103" s="32"/>
      <c r="E103" s="32"/>
      <c r="F103" s="32"/>
      <c r="G103" s="32"/>
      <c r="H103" s="32"/>
      <c r="I103" s="21"/>
      <c r="J103" s="21"/>
      <c r="K103" s="21"/>
      <c r="L103" s="6"/>
      <c r="M103" s="32"/>
      <c r="N103" s="32"/>
    </row>
    <row r="104" spans="1:46" s="22" customFormat="1" x14ac:dyDescent="0.3">
      <c r="A104" s="32"/>
      <c r="B104" s="32"/>
      <c r="C104" s="32"/>
      <c r="D104" s="32"/>
      <c r="E104" s="32"/>
      <c r="F104" s="32"/>
      <c r="G104" s="32"/>
      <c r="H104" s="32"/>
      <c r="I104" s="21"/>
      <c r="J104" s="21"/>
      <c r="K104" s="21"/>
      <c r="L104" s="32"/>
      <c r="M104" s="32"/>
      <c r="N104" s="32"/>
    </row>
    <row r="105" spans="1:46" s="22" customFormat="1" x14ac:dyDescent="0.3">
      <c r="A105" s="32"/>
      <c r="B105" s="32"/>
      <c r="C105" s="32"/>
      <c r="D105" s="32"/>
      <c r="E105" s="32"/>
      <c r="F105" s="32"/>
      <c r="G105" s="32"/>
      <c r="H105" s="32"/>
      <c r="I105" s="21"/>
      <c r="J105" s="21"/>
      <c r="K105" s="21"/>
      <c r="L105" s="32"/>
      <c r="M105" s="32"/>
      <c r="N105" s="6"/>
      <c r="AT105" s="32"/>
    </row>
    <row r="106" spans="1:46" s="22" customFormat="1" x14ac:dyDescent="0.3">
      <c r="A106" s="32"/>
      <c r="B106" s="32"/>
      <c r="C106" s="32"/>
      <c r="D106" s="32"/>
      <c r="E106" s="32"/>
      <c r="F106" s="32"/>
      <c r="G106" s="32"/>
      <c r="H106" s="32"/>
      <c r="I106" s="21"/>
      <c r="J106" s="21"/>
      <c r="K106" s="21"/>
      <c r="L106" s="32"/>
      <c r="M106" s="32"/>
      <c r="N106" s="6"/>
      <c r="AT106" s="32"/>
    </row>
    <row r="107" spans="1:46" s="22" customFormat="1" x14ac:dyDescent="0.3">
      <c r="A107" s="32"/>
      <c r="B107" s="32"/>
      <c r="C107" s="32"/>
      <c r="D107" s="32"/>
      <c r="E107" s="32"/>
      <c r="F107" s="32"/>
      <c r="G107" s="32"/>
      <c r="H107" s="32"/>
      <c r="I107" s="21"/>
      <c r="J107" s="21"/>
      <c r="K107" s="21"/>
      <c r="L107" s="32"/>
      <c r="M107" s="6"/>
      <c r="N107" s="32"/>
      <c r="AT107" s="32"/>
    </row>
    <row r="108" spans="1:46" s="22" customFormat="1" x14ac:dyDescent="0.3">
      <c r="A108" s="32"/>
      <c r="B108" s="32"/>
      <c r="C108" s="32"/>
      <c r="D108" s="32"/>
      <c r="E108" s="32"/>
      <c r="F108" s="32"/>
      <c r="G108" s="32"/>
      <c r="H108" s="32"/>
      <c r="I108" s="21"/>
      <c r="J108" s="21"/>
      <c r="K108" s="21"/>
      <c r="L108" s="32"/>
      <c r="M108" s="6"/>
      <c r="N108" s="32"/>
      <c r="AT108" s="32"/>
    </row>
    <row r="109" spans="1:46" s="22" customFormat="1" x14ac:dyDescent="0.3">
      <c r="A109" s="32"/>
      <c r="B109" s="32"/>
      <c r="C109" s="32"/>
      <c r="D109" s="32"/>
      <c r="E109" s="32"/>
      <c r="F109" s="32"/>
      <c r="G109" s="32"/>
      <c r="H109" s="32"/>
      <c r="I109" s="21"/>
      <c r="J109" s="21"/>
      <c r="K109" s="21"/>
      <c r="L109" s="32"/>
      <c r="M109" s="32"/>
      <c r="N109" s="32"/>
      <c r="AT109" s="32"/>
    </row>
    <row r="110" spans="1:46" s="22" customFormat="1" x14ac:dyDescent="0.3">
      <c r="A110" s="32"/>
      <c r="B110" s="32"/>
      <c r="C110" s="32"/>
      <c r="D110" s="32"/>
      <c r="E110" s="32"/>
      <c r="F110" s="32"/>
      <c r="G110" s="6"/>
      <c r="H110" s="6"/>
      <c r="I110" s="21"/>
      <c r="J110" s="21"/>
      <c r="K110" s="21"/>
      <c r="L110" s="32"/>
      <c r="M110" s="32"/>
      <c r="N110" s="32"/>
      <c r="AT110" s="32"/>
    </row>
    <row r="111" spans="1:46" s="22" customFormat="1" x14ac:dyDescent="0.3">
      <c r="A111" s="32"/>
      <c r="B111" s="32"/>
      <c r="C111" s="32"/>
      <c r="D111" s="32"/>
      <c r="E111" s="32"/>
      <c r="F111" s="32"/>
      <c r="G111" s="6"/>
      <c r="H111" s="6"/>
      <c r="I111" s="21"/>
      <c r="J111" s="21"/>
      <c r="K111" s="21"/>
      <c r="L111" s="32"/>
      <c r="M111" s="32"/>
      <c r="N111" s="32"/>
      <c r="AT111" s="32"/>
    </row>
    <row r="112" spans="1:46" s="22" customFormat="1" x14ac:dyDescent="0.3">
      <c r="A112" s="32"/>
      <c r="B112" s="32"/>
      <c r="C112" s="32"/>
      <c r="D112" s="32"/>
      <c r="E112" s="32"/>
      <c r="F112" s="32"/>
      <c r="G112" s="32"/>
      <c r="H112" s="32"/>
      <c r="I112" s="21"/>
      <c r="J112" s="21"/>
      <c r="K112" s="21"/>
      <c r="L112" s="32"/>
      <c r="M112" s="32"/>
      <c r="N112" s="32"/>
      <c r="AT112" s="32"/>
    </row>
    <row r="113" spans="1:46" s="22" customFormat="1" x14ac:dyDescent="0.3">
      <c r="A113" s="32"/>
      <c r="B113" s="32"/>
      <c r="C113" s="32"/>
      <c r="D113" s="32"/>
      <c r="E113" s="32"/>
      <c r="F113" s="32"/>
      <c r="G113" s="32"/>
      <c r="H113" s="32"/>
      <c r="I113" s="21"/>
      <c r="J113" s="21"/>
      <c r="K113" s="21"/>
      <c r="L113" s="32"/>
      <c r="M113" s="32"/>
      <c r="N113" s="32"/>
      <c r="AT113" s="32"/>
    </row>
    <row r="114" spans="1:46" s="22" customFormat="1" x14ac:dyDescent="0.3">
      <c r="A114" s="32"/>
      <c r="B114" s="32"/>
      <c r="C114" s="32"/>
      <c r="D114" s="32"/>
      <c r="E114" s="32"/>
      <c r="F114" s="32"/>
      <c r="G114" s="32"/>
      <c r="H114" s="32"/>
      <c r="I114" s="21"/>
      <c r="J114" s="21"/>
      <c r="K114" s="21"/>
      <c r="L114" s="32"/>
      <c r="M114" s="32"/>
      <c r="N114" s="32"/>
      <c r="AT114" s="32"/>
    </row>
    <row r="115" spans="1:46" s="22" customFormat="1" x14ac:dyDescent="0.3">
      <c r="A115" s="32"/>
      <c r="B115" s="32"/>
      <c r="C115" s="32"/>
      <c r="D115" s="32"/>
      <c r="E115" s="32"/>
      <c r="F115" s="32"/>
      <c r="G115" s="32"/>
      <c r="H115" s="32"/>
      <c r="I115" s="21"/>
      <c r="J115" s="21"/>
      <c r="K115" s="21"/>
      <c r="L115" s="32"/>
      <c r="M115" s="32"/>
      <c r="N115" s="32"/>
      <c r="AT115" s="32"/>
    </row>
    <row r="116" spans="1:46" s="22" customFormat="1" x14ac:dyDescent="0.3">
      <c r="A116" s="32"/>
      <c r="B116" s="32"/>
      <c r="C116" s="32"/>
      <c r="D116" s="32"/>
      <c r="E116" s="32"/>
      <c r="F116" s="32"/>
      <c r="G116" s="32"/>
      <c r="H116" s="32"/>
      <c r="I116" s="21"/>
      <c r="J116" s="21"/>
      <c r="K116" s="21"/>
      <c r="L116" s="32"/>
      <c r="M116" s="32"/>
      <c r="N116" s="32"/>
      <c r="AT116" s="32"/>
    </row>
    <row r="117" spans="1:46" s="22" customFormat="1" x14ac:dyDescent="0.3">
      <c r="A117" s="32"/>
      <c r="B117" s="32"/>
      <c r="C117" s="32"/>
      <c r="D117" s="32"/>
      <c r="E117" s="32"/>
      <c r="F117" s="32"/>
      <c r="G117" s="32"/>
      <c r="H117" s="32"/>
      <c r="I117" s="21"/>
      <c r="J117" s="21"/>
      <c r="K117" s="21"/>
      <c r="L117" s="32"/>
      <c r="M117" s="32"/>
      <c r="N117" s="32"/>
      <c r="AT117" s="32"/>
    </row>
    <row r="118" spans="1:46" s="22" customFormat="1" x14ac:dyDescent="0.3">
      <c r="A118" s="32"/>
      <c r="B118" s="32"/>
      <c r="C118" s="32"/>
      <c r="D118" s="32"/>
      <c r="E118" s="32"/>
      <c r="F118" s="32"/>
      <c r="G118" s="32"/>
      <c r="H118" s="32"/>
      <c r="I118" s="21"/>
      <c r="J118" s="21"/>
      <c r="K118" s="21"/>
      <c r="L118" s="32"/>
      <c r="M118" s="32"/>
      <c r="N118" s="32"/>
      <c r="AT118" s="32"/>
    </row>
    <row r="119" spans="1:46" s="22" customFormat="1" x14ac:dyDescent="0.3">
      <c r="A119" s="32"/>
      <c r="B119" s="32"/>
      <c r="C119" s="32"/>
      <c r="D119" s="32"/>
      <c r="E119" s="32"/>
      <c r="F119" s="32"/>
      <c r="G119" s="32"/>
      <c r="H119" s="32"/>
      <c r="I119" s="21"/>
      <c r="J119" s="21"/>
      <c r="K119" s="21"/>
      <c r="L119" s="32"/>
      <c r="M119" s="32"/>
      <c r="N119" s="32"/>
      <c r="AT119" s="32"/>
    </row>
    <row r="120" spans="1:46" s="22" customFormat="1" x14ac:dyDescent="0.3">
      <c r="A120" s="32"/>
      <c r="B120" s="32"/>
      <c r="C120" s="32"/>
      <c r="D120" s="32"/>
      <c r="E120" s="32"/>
      <c r="F120" s="32"/>
      <c r="G120" s="32"/>
      <c r="H120" s="32"/>
      <c r="I120" s="21"/>
      <c r="J120" s="21"/>
      <c r="K120" s="21"/>
      <c r="L120" s="32"/>
      <c r="M120" s="32"/>
      <c r="N120" s="32"/>
      <c r="AT120" s="32"/>
    </row>
    <row r="121" spans="1:46" s="22" customFormat="1" x14ac:dyDescent="0.3">
      <c r="A121" s="32"/>
      <c r="B121" s="32"/>
      <c r="C121" s="32"/>
      <c r="D121" s="32"/>
      <c r="E121" s="32"/>
      <c r="F121" s="32"/>
      <c r="G121" s="32"/>
      <c r="H121" s="32"/>
      <c r="I121" s="21"/>
      <c r="J121" s="21"/>
      <c r="K121" s="21"/>
      <c r="L121" s="32"/>
      <c r="M121" s="32"/>
      <c r="N121" s="32"/>
      <c r="AT121" s="32"/>
    </row>
    <row r="122" spans="1:46" s="22" customFormat="1" x14ac:dyDescent="0.3">
      <c r="A122" s="32"/>
      <c r="B122" s="32"/>
      <c r="C122" s="32"/>
      <c r="D122" s="32"/>
      <c r="E122" s="32"/>
      <c r="F122" s="32"/>
      <c r="G122" s="32"/>
      <c r="H122" s="32"/>
      <c r="I122" s="21"/>
      <c r="J122" s="21"/>
      <c r="K122" s="21"/>
      <c r="L122" s="32"/>
      <c r="M122" s="32"/>
      <c r="N122" s="32"/>
      <c r="AT122" s="32"/>
    </row>
    <row r="123" spans="1:46" s="22" customFormat="1" x14ac:dyDescent="0.3">
      <c r="A123" s="32"/>
      <c r="B123" s="32"/>
      <c r="C123" s="32"/>
      <c r="D123" s="32"/>
      <c r="E123" s="32"/>
      <c r="F123" s="32"/>
      <c r="G123" s="32"/>
      <c r="H123" s="32"/>
      <c r="I123" s="21"/>
      <c r="J123" s="21"/>
      <c r="K123" s="21"/>
      <c r="L123" s="32"/>
      <c r="M123" s="32"/>
      <c r="N123" s="32"/>
      <c r="AT123" s="32"/>
    </row>
    <row r="124" spans="1:46" s="22" customFormat="1" x14ac:dyDescent="0.3">
      <c r="A124" s="32"/>
      <c r="B124" s="32"/>
      <c r="C124" s="32"/>
      <c r="D124" s="32"/>
      <c r="E124" s="32"/>
      <c r="F124" s="32"/>
      <c r="G124" s="32"/>
      <c r="H124" s="32"/>
      <c r="I124" s="21"/>
      <c r="J124" s="21"/>
      <c r="K124" s="21"/>
      <c r="L124" s="32"/>
      <c r="M124" s="32"/>
      <c r="N124" s="32"/>
      <c r="AT124" s="32"/>
    </row>
    <row r="125" spans="1:46" s="22" customFormat="1" x14ac:dyDescent="0.3">
      <c r="A125" s="32"/>
      <c r="B125" s="32"/>
      <c r="C125" s="32"/>
      <c r="D125" s="32"/>
      <c r="E125" s="32"/>
      <c r="F125" s="32"/>
      <c r="G125" s="32"/>
      <c r="H125" s="32"/>
      <c r="I125" s="21"/>
      <c r="J125" s="21"/>
      <c r="K125" s="21"/>
      <c r="L125" s="32"/>
      <c r="M125" s="32"/>
      <c r="N125" s="32"/>
      <c r="AT125" s="32"/>
    </row>
    <row r="126" spans="1:46" s="22" customFormat="1" x14ac:dyDescent="0.3">
      <c r="A126" s="32"/>
      <c r="B126" s="32"/>
      <c r="C126" s="32"/>
      <c r="D126" s="32"/>
      <c r="E126" s="32"/>
      <c r="F126" s="32"/>
      <c r="G126" s="32"/>
      <c r="H126" s="32"/>
      <c r="I126" s="21"/>
      <c r="J126" s="21"/>
      <c r="K126" s="21"/>
      <c r="L126" s="32"/>
      <c r="M126" s="32"/>
      <c r="N126" s="32"/>
      <c r="AT126" s="32"/>
    </row>
    <row r="127" spans="1:46" s="22" customFormat="1" x14ac:dyDescent="0.3">
      <c r="A127" s="32"/>
      <c r="B127" s="32"/>
      <c r="C127" s="32"/>
      <c r="D127" s="32"/>
      <c r="E127" s="32"/>
      <c r="F127" s="32"/>
      <c r="G127" s="32"/>
      <c r="H127" s="32"/>
      <c r="I127" s="21"/>
      <c r="J127" s="21"/>
      <c r="K127" s="21"/>
      <c r="L127" s="32"/>
      <c r="M127" s="32"/>
      <c r="N127" s="32"/>
      <c r="AT127" s="32"/>
    </row>
    <row r="128" spans="1:46" s="22" customFormat="1" x14ac:dyDescent="0.3">
      <c r="A128" s="32"/>
      <c r="B128" s="32"/>
      <c r="C128" s="32"/>
      <c r="D128" s="32"/>
      <c r="E128" s="32"/>
      <c r="F128" s="32"/>
      <c r="G128" s="32"/>
      <c r="H128" s="32"/>
      <c r="I128" s="21"/>
      <c r="J128" s="21"/>
      <c r="K128" s="21"/>
      <c r="L128" s="32"/>
      <c r="M128" s="32"/>
      <c r="N128" s="32"/>
      <c r="AT128" s="32"/>
    </row>
    <row r="129" spans="1:46" s="22" customFormat="1" x14ac:dyDescent="0.3">
      <c r="A129" s="32"/>
      <c r="B129" s="32"/>
      <c r="C129" s="32"/>
      <c r="D129" s="32"/>
      <c r="E129" s="32"/>
      <c r="F129" s="32"/>
      <c r="G129" s="32"/>
      <c r="H129" s="32"/>
      <c r="I129" s="21"/>
      <c r="J129" s="21"/>
      <c r="K129" s="21"/>
      <c r="L129" s="32"/>
      <c r="M129" s="32"/>
      <c r="N129" s="32"/>
      <c r="AT129" s="32"/>
    </row>
    <row r="130" spans="1:46" s="22" customFormat="1" x14ac:dyDescent="0.3">
      <c r="A130" s="32"/>
      <c r="B130" s="32"/>
      <c r="C130" s="32"/>
      <c r="D130" s="32"/>
      <c r="E130" s="32"/>
      <c r="F130" s="32"/>
      <c r="G130" s="32"/>
      <c r="H130" s="32"/>
      <c r="I130" s="21"/>
      <c r="J130" s="21"/>
      <c r="K130" s="21"/>
      <c r="L130" s="32"/>
      <c r="M130" s="32"/>
      <c r="N130" s="32"/>
      <c r="AT130" s="32"/>
    </row>
    <row r="131" spans="1:46" s="22" customFormat="1" x14ac:dyDescent="0.3">
      <c r="A131" s="32"/>
      <c r="B131" s="32"/>
      <c r="C131" s="32"/>
      <c r="D131" s="32"/>
      <c r="E131" s="32"/>
      <c r="F131" s="32"/>
      <c r="G131" s="32"/>
      <c r="H131" s="32"/>
      <c r="I131" s="21"/>
      <c r="J131" s="21"/>
      <c r="K131" s="21"/>
      <c r="L131" s="32"/>
      <c r="M131" s="32"/>
      <c r="N131" s="32"/>
      <c r="AT131" s="32"/>
    </row>
    <row r="132" spans="1:46" s="22" customFormat="1" x14ac:dyDescent="0.3">
      <c r="A132" s="32"/>
      <c r="B132" s="32"/>
      <c r="C132" s="32"/>
      <c r="D132" s="32"/>
      <c r="E132" s="32"/>
      <c r="F132" s="32"/>
      <c r="G132" s="32"/>
      <c r="H132" s="32"/>
      <c r="I132" s="21"/>
      <c r="J132" s="21"/>
      <c r="K132" s="21"/>
      <c r="L132" s="32"/>
      <c r="M132" s="32"/>
      <c r="N132" s="32"/>
      <c r="AT132" s="32"/>
    </row>
    <row r="133" spans="1:46" s="22" customFormat="1" x14ac:dyDescent="0.3">
      <c r="A133" s="32"/>
      <c r="B133" s="32"/>
      <c r="C133" s="32"/>
      <c r="D133" s="32"/>
      <c r="E133" s="32"/>
      <c r="F133" s="32"/>
      <c r="G133" s="32"/>
      <c r="H133" s="32"/>
      <c r="I133" s="21"/>
      <c r="J133" s="21"/>
      <c r="K133" s="21"/>
      <c r="L133" s="32"/>
      <c r="M133" s="32"/>
      <c r="N133" s="32"/>
      <c r="AT133" s="32"/>
    </row>
    <row r="134" spans="1:46" s="22" customFormat="1" x14ac:dyDescent="0.3">
      <c r="A134" s="32"/>
      <c r="B134" s="32"/>
      <c r="C134" s="32"/>
      <c r="D134" s="32"/>
      <c r="E134" s="32"/>
      <c r="F134" s="32"/>
      <c r="G134" s="32"/>
      <c r="H134" s="32"/>
      <c r="I134" s="21"/>
      <c r="J134" s="21"/>
      <c r="K134" s="21"/>
      <c r="L134" s="32"/>
      <c r="M134" s="32"/>
      <c r="N134" s="32"/>
      <c r="AT134" s="32"/>
    </row>
    <row r="135" spans="1:46" s="22" customFormat="1" x14ac:dyDescent="0.3">
      <c r="A135" s="32"/>
      <c r="B135" s="32"/>
      <c r="C135" s="32"/>
      <c r="D135" s="32"/>
      <c r="E135" s="32"/>
      <c r="F135" s="32"/>
      <c r="G135" s="32"/>
      <c r="H135" s="32"/>
      <c r="I135" s="21"/>
      <c r="J135" s="21"/>
      <c r="K135" s="21"/>
      <c r="L135" s="32"/>
      <c r="M135" s="32"/>
      <c r="N135" s="32"/>
      <c r="AT135" s="32"/>
    </row>
    <row r="136" spans="1:46" s="22" customFormat="1" x14ac:dyDescent="0.3">
      <c r="A136" s="32"/>
      <c r="B136" s="32"/>
      <c r="C136" s="32"/>
      <c r="D136" s="32"/>
      <c r="E136" s="32"/>
      <c r="F136" s="32"/>
      <c r="G136" s="32"/>
      <c r="H136" s="32"/>
      <c r="I136" s="21"/>
      <c r="J136" s="21"/>
      <c r="K136" s="21"/>
      <c r="L136" s="32"/>
      <c r="M136" s="32"/>
      <c r="N136" s="32"/>
      <c r="AT136" s="32"/>
    </row>
    <row r="137" spans="1:46" s="22" customFormat="1" x14ac:dyDescent="0.3">
      <c r="A137" s="32"/>
      <c r="B137" s="32"/>
      <c r="C137" s="32"/>
      <c r="D137" s="32"/>
      <c r="E137" s="32"/>
      <c r="F137" s="32"/>
      <c r="G137" s="32"/>
      <c r="H137" s="32"/>
      <c r="I137" s="24"/>
      <c r="J137" s="24"/>
      <c r="K137" s="24"/>
      <c r="L137" s="32"/>
      <c r="M137" s="32"/>
      <c r="N137" s="32"/>
      <c r="AT137" s="32"/>
    </row>
    <row r="138" spans="1:46" s="22" customFormat="1" x14ac:dyDescent="0.3">
      <c r="A138" s="32"/>
      <c r="B138" s="32"/>
      <c r="C138" s="32"/>
      <c r="D138" s="32"/>
      <c r="E138" s="32"/>
      <c r="F138" s="32"/>
      <c r="G138" s="32"/>
      <c r="H138" s="32"/>
      <c r="I138" s="24"/>
      <c r="J138" s="24"/>
      <c r="K138" s="24"/>
      <c r="L138" s="32"/>
      <c r="M138" s="32"/>
      <c r="N138" s="32"/>
      <c r="AT138" s="32"/>
    </row>
    <row r="139" spans="1:46" s="22" customFormat="1" x14ac:dyDescent="0.3">
      <c r="A139" s="32"/>
      <c r="B139" s="32"/>
      <c r="C139" s="32"/>
      <c r="D139" s="32"/>
      <c r="E139" s="32"/>
      <c r="F139" s="32"/>
      <c r="G139" s="32"/>
      <c r="H139" s="32"/>
      <c r="I139" s="24"/>
      <c r="J139" s="24"/>
      <c r="K139" s="24"/>
      <c r="L139" s="25"/>
      <c r="M139" s="32"/>
      <c r="N139" s="32"/>
      <c r="AT139" s="32"/>
    </row>
    <row r="140" spans="1:46" s="22" customFormat="1" x14ac:dyDescent="0.3">
      <c r="A140" s="32"/>
      <c r="B140" s="32"/>
      <c r="C140" s="32"/>
      <c r="D140" s="32"/>
      <c r="E140" s="32"/>
      <c r="F140" s="32"/>
      <c r="G140" s="32"/>
      <c r="H140" s="32"/>
      <c r="I140" s="24"/>
      <c r="J140" s="24"/>
      <c r="K140" s="24"/>
      <c r="L140" s="25"/>
      <c r="M140" s="32"/>
      <c r="N140" s="32"/>
      <c r="AT140" s="32"/>
    </row>
    <row r="141" spans="1:46" s="22" customFormat="1" x14ac:dyDescent="0.3">
      <c r="A141" s="32"/>
      <c r="B141" s="32"/>
      <c r="C141" s="32"/>
      <c r="D141" s="32"/>
      <c r="E141" s="32"/>
      <c r="F141" s="32"/>
      <c r="G141" s="32"/>
      <c r="H141" s="32"/>
      <c r="I141" s="24"/>
      <c r="J141" s="24"/>
      <c r="K141" s="24"/>
      <c r="L141" s="25"/>
      <c r="M141" s="32"/>
      <c r="AT141" s="32"/>
    </row>
    <row r="142" spans="1:46" s="22" customFormat="1" x14ac:dyDescent="0.3">
      <c r="A142" s="32"/>
      <c r="B142" s="32"/>
      <c r="C142" s="32"/>
      <c r="D142" s="32"/>
      <c r="E142" s="32"/>
      <c r="F142" s="32"/>
      <c r="G142" s="32"/>
      <c r="H142" s="32"/>
      <c r="I142" s="24"/>
      <c r="J142" s="24"/>
      <c r="K142" s="24"/>
      <c r="L142" s="25"/>
      <c r="M142" s="32"/>
      <c r="AT142" s="32"/>
    </row>
    <row r="143" spans="1:46" s="22" customFormat="1" x14ac:dyDescent="0.3">
      <c r="A143" s="32"/>
      <c r="B143" s="32"/>
      <c r="C143" s="32"/>
      <c r="D143" s="32"/>
      <c r="E143" s="32"/>
      <c r="F143" s="32"/>
      <c r="G143" s="32"/>
      <c r="H143" s="32"/>
      <c r="I143" s="24"/>
      <c r="J143" s="24"/>
      <c r="K143" s="24"/>
      <c r="L143" s="25"/>
      <c r="M143" s="32"/>
      <c r="AT143" s="32"/>
    </row>
    <row r="144" spans="1:46" s="22" customFormat="1" x14ac:dyDescent="0.3">
      <c r="A144" s="32"/>
      <c r="B144" s="32"/>
      <c r="C144" s="32"/>
      <c r="D144" s="32"/>
      <c r="E144" s="32"/>
      <c r="F144" s="32"/>
      <c r="G144" s="32"/>
      <c r="H144" s="32"/>
      <c r="I144" s="24"/>
      <c r="J144" s="24"/>
      <c r="K144" s="24"/>
      <c r="L144" s="25"/>
      <c r="M144" s="25"/>
      <c r="AT144" s="32"/>
    </row>
    <row r="145" spans="1:46" s="22" customFormat="1" x14ac:dyDescent="0.3">
      <c r="A145" s="32"/>
      <c r="B145" s="32"/>
      <c r="C145" s="32"/>
      <c r="D145" s="32"/>
      <c r="E145" s="32"/>
      <c r="F145" s="32"/>
      <c r="G145" s="32"/>
      <c r="H145" s="32"/>
      <c r="I145" s="24"/>
      <c r="J145" s="24"/>
      <c r="K145" s="24"/>
      <c r="L145" s="25"/>
      <c r="M145" s="25"/>
      <c r="AT145" s="32"/>
    </row>
    <row r="146" spans="1:46" s="22" customFormat="1" x14ac:dyDescent="0.3">
      <c r="A146" s="32"/>
      <c r="B146" s="32"/>
      <c r="C146" s="32"/>
      <c r="D146" s="32"/>
      <c r="E146" s="32"/>
      <c r="F146" s="32"/>
      <c r="G146" s="32"/>
      <c r="H146" s="32"/>
      <c r="I146" s="24"/>
      <c r="J146" s="24"/>
      <c r="K146" s="24"/>
      <c r="L146" s="25"/>
      <c r="M146" s="25"/>
      <c r="AT146" s="32"/>
    </row>
    <row r="147" spans="1:46" s="22" customFormat="1" x14ac:dyDescent="0.3">
      <c r="I147" s="24"/>
      <c r="J147" s="24"/>
      <c r="K147" s="24"/>
      <c r="L147" s="25"/>
      <c r="M147" s="25"/>
      <c r="AT147" s="32"/>
    </row>
    <row r="148" spans="1:46" s="22" customFormat="1" x14ac:dyDescent="0.3">
      <c r="I148" s="24"/>
      <c r="J148" s="24"/>
      <c r="K148" s="24"/>
      <c r="L148" s="25"/>
      <c r="M148" s="25"/>
      <c r="AT148" s="32"/>
    </row>
    <row r="149" spans="1:46" s="22" customFormat="1" x14ac:dyDescent="0.3">
      <c r="I149" s="24"/>
      <c r="J149" s="24"/>
      <c r="K149" s="24"/>
      <c r="L149" s="25"/>
      <c r="M149" s="25"/>
      <c r="AT149" s="32"/>
    </row>
    <row r="150" spans="1:46" s="22" customFormat="1" x14ac:dyDescent="0.3">
      <c r="I150" s="24"/>
      <c r="J150" s="24"/>
      <c r="K150" s="24"/>
      <c r="L150" s="25"/>
      <c r="M150" s="25"/>
      <c r="AT150" s="32"/>
    </row>
    <row r="151" spans="1:46" s="22" customFormat="1" x14ac:dyDescent="0.3">
      <c r="I151" s="24"/>
      <c r="J151" s="24"/>
      <c r="K151" s="24"/>
      <c r="L151" s="25"/>
      <c r="M151" s="25"/>
      <c r="AT151" s="32"/>
    </row>
    <row r="152" spans="1:46" s="22" customFormat="1" x14ac:dyDescent="0.3">
      <c r="I152" s="24"/>
      <c r="J152" s="24"/>
      <c r="K152" s="24"/>
      <c r="L152" s="25"/>
      <c r="M152" s="25"/>
      <c r="AT152" s="32"/>
    </row>
    <row r="153" spans="1:46" s="22" customFormat="1" x14ac:dyDescent="0.3">
      <c r="I153" s="24"/>
      <c r="J153" s="24"/>
      <c r="K153" s="24"/>
      <c r="L153" s="25"/>
      <c r="M153" s="25"/>
      <c r="AT153" s="32"/>
    </row>
    <row r="154" spans="1:46" s="22" customFormat="1" x14ac:dyDescent="0.3">
      <c r="I154" s="24"/>
      <c r="J154" s="24"/>
      <c r="K154" s="24"/>
      <c r="L154" s="25"/>
      <c r="M154" s="25"/>
      <c r="AT154" s="32"/>
    </row>
    <row r="155" spans="1:46" s="22" customFormat="1" x14ac:dyDescent="0.3">
      <c r="I155" s="24"/>
      <c r="J155" s="24"/>
      <c r="K155" s="24"/>
      <c r="L155" s="25"/>
      <c r="M155" s="25"/>
      <c r="AT155" s="32"/>
    </row>
    <row r="156" spans="1:46" s="22" customFormat="1" x14ac:dyDescent="0.3">
      <c r="I156" s="24"/>
      <c r="J156" s="24"/>
      <c r="K156" s="24"/>
      <c r="L156" s="25"/>
      <c r="M156" s="25"/>
      <c r="AT156" s="32"/>
    </row>
    <row r="157" spans="1:46" s="22" customFormat="1" x14ac:dyDescent="0.3">
      <c r="I157" s="24"/>
      <c r="J157" s="24"/>
      <c r="K157" s="24"/>
      <c r="L157" s="25"/>
      <c r="M157" s="25"/>
      <c r="AT157" s="32"/>
    </row>
    <row r="158" spans="1:46" s="22" customFormat="1" x14ac:dyDescent="0.3">
      <c r="I158" s="24"/>
      <c r="J158" s="24"/>
      <c r="K158" s="24"/>
      <c r="L158" s="25"/>
      <c r="M158" s="25"/>
      <c r="AT158" s="32"/>
    </row>
    <row r="159" spans="1:46" s="22" customFormat="1" x14ac:dyDescent="0.3">
      <c r="I159" s="24"/>
      <c r="J159" s="24"/>
      <c r="K159" s="24"/>
      <c r="L159" s="25"/>
      <c r="M159" s="25"/>
      <c r="AT159" s="32"/>
    </row>
    <row r="160" spans="1:46" s="22" customFormat="1" x14ac:dyDescent="0.3">
      <c r="I160" s="24"/>
      <c r="J160" s="24"/>
      <c r="K160" s="24"/>
      <c r="L160" s="25"/>
      <c r="M160" s="25"/>
      <c r="AT160" s="32"/>
    </row>
    <row r="161" spans="9:46" s="22" customFormat="1" x14ac:dyDescent="0.3">
      <c r="I161" s="24"/>
      <c r="J161" s="24"/>
      <c r="K161" s="24"/>
      <c r="L161" s="25"/>
      <c r="M161" s="25"/>
      <c r="AT161" s="32"/>
    </row>
    <row r="162" spans="9:46" s="22" customFormat="1" x14ac:dyDescent="0.3">
      <c r="I162" s="24"/>
      <c r="J162" s="24"/>
      <c r="K162" s="24"/>
      <c r="L162" s="25"/>
      <c r="M162" s="25"/>
      <c r="AT162" s="32"/>
    </row>
    <row r="163" spans="9:46" s="22" customFormat="1" x14ac:dyDescent="0.3">
      <c r="I163" s="24"/>
      <c r="J163" s="24"/>
      <c r="K163" s="24"/>
      <c r="L163" s="25"/>
      <c r="M163" s="25"/>
      <c r="AT163" s="32"/>
    </row>
    <row r="164" spans="9:46" s="22" customFormat="1" x14ac:dyDescent="0.3">
      <c r="I164" s="24"/>
      <c r="J164" s="24"/>
      <c r="K164" s="24"/>
      <c r="L164" s="25"/>
      <c r="M164" s="25"/>
      <c r="AT164" s="32"/>
    </row>
    <row r="165" spans="9:46" s="22" customFormat="1" x14ac:dyDescent="0.3">
      <c r="I165" s="24"/>
      <c r="J165" s="24"/>
      <c r="K165" s="24"/>
      <c r="L165" s="25"/>
      <c r="M165" s="25"/>
      <c r="AT165" s="32"/>
    </row>
    <row r="166" spans="9:46" s="22" customFormat="1" x14ac:dyDescent="0.3">
      <c r="I166" s="24"/>
      <c r="J166" s="24"/>
      <c r="K166" s="24"/>
      <c r="L166" s="25"/>
      <c r="M166" s="25"/>
      <c r="AT166" s="32"/>
    </row>
    <row r="167" spans="9:46" s="22" customFormat="1" x14ac:dyDescent="0.3">
      <c r="I167" s="24"/>
      <c r="J167" s="24"/>
      <c r="K167" s="24"/>
      <c r="L167" s="25"/>
      <c r="M167" s="25"/>
      <c r="AT167" s="32"/>
    </row>
    <row r="168" spans="9:46" s="22" customFormat="1" x14ac:dyDescent="0.3">
      <c r="I168" s="24"/>
      <c r="J168" s="24"/>
      <c r="K168" s="24"/>
      <c r="L168" s="25"/>
      <c r="M168" s="25"/>
      <c r="AT168" s="32"/>
    </row>
    <row r="169" spans="9:46" s="22" customFormat="1" x14ac:dyDescent="0.3">
      <c r="I169" s="24"/>
      <c r="J169" s="24"/>
      <c r="K169" s="24"/>
      <c r="L169" s="25"/>
      <c r="M169" s="25"/>
      <c r="AT169" s="32"/>
    </row>
    <row r="170" spans="9:46" s="22" customFormat="1" x14ac:dyDescent="0.3">
      <c r="I170" s="24"/>
      <c r="J170" s="24"/>
      <c r="K170" s="24"/>
      <c r="L170" s="25"/>
      <c r="M170" s="25"/>
      <c r="AT170" s="32"/>
    </row>
    <row r="171" spans="9:46" s="22" customFormat="1" x14ac:dyDescent="0.3">
      <c r="I171" s="24"/>
      <c r="J171" s="24"/>
      <c r="K171" s="24"/>
      <c r="L171" s="25"/>
      <c r="M171" s="25"/>
      <c r="AT171" s="32"/>
    </row>
    <row r="172" spans="9:46" s="22" customFormat="1" x14ac:dyDescent="0.3">
      <c r="I172" s="24"/>
      <c r="J172" s="24"/>
      <c r="K172" s="24"/>
      <c r="L172" s="25"/>
      <c r="M172" s="25"/>
      <c r="AT172" s="32"/>
    </row>
    <row r="173" spans="9:46" s="22" customFormat="1" x14ac:dyDescent="0.3">
      <c r="I173" s="24"/>
      <c r="J173" s="24"/>
      <c r="K173" s="24"/>
      <c r="L173" s="25"/>
      <c r="M173" s="25"/>
      <c r="AT173" s="32"/>
    </row>
    <row r="174" spans="9:46" s="22" customFormat="1" x14ac:dyDescent="0.3">
      <c r="I174" s="24"/>
      <c r="J174" s="24"/>
      <c r="K174" s="24"/>
      <c r="L174" s="25"/>
      <c r="M174" s="25"/>
      <c r="AT174" s="32"/>
    </row>
    <row r="175" spans="9:46" s="22" customFormat="1" x14ac:dyDescent="0.3">
      <c r="I175" s="24"/>
      <c r="J175" s="24"/>
      <c r="K175" s="24"/>
      <c r="L175" s="25"/>
      <c r="M175" s="25"/>
      <c r="AT175" s="32"/>
    </row>
    <row r="176" spans="9:46" s="22" customFormat="1" x14ac:dyDescent="0.3">
      <c r="I176" s="24"/>
      <c r="J176" s="24"/>
      <c r="K176" s="24"/>
      <c r="L176" s="25"/>
      <c r="M176" s="25"/>
      <c r="AT176" s="32"/>
    </row>
    <row r="177" spans="9:46" s="22" customFormat="1" x14ac:dyDescent="0.3">
      <c r="I177" s="24"/>
      <c r="J177" s="24"/>
      <c r="K177" s="24"/>
      <c r="L177" s="25"/>
      <c r="M177" s="25"/>
      <c r="AT177" s="32"/>
    </row>
    <row r="178" spans="9:46" s="22" customFormat="1" x14ac:dyDescent="0.3">
      <c r="I178" s="24"/>
      <c r="J178" s="24"/>
      <c r="K178" s="24"/>
      <c r="L178" s="25"/>
      <c r="M178" s="25"/>
      <c r="AT178" s="32"/>
    </row>
    <row r="179" spans="9:46" s="22" customFormat="1" x14ac:dyDescent="0.3">
      <c r="I179" s="24"/>
      <c r="J179" s="24"/>
      <c r="K179" s="24"/>
      <c r="L179" s="25"/>
      <c r="M179" s="25"/>
      <c r="AT179" s="32"/>
    </row>
    <row r="180" spans="9:46" s="22" customFormat="1" x14ac:dyDescent="0.3">
      <c r="I180" s="24"/>
      <c r="J180" s="24"/>
      <c r="K180" s="24"/>
      <c r="L180" s="25"/>
      <c r="M180" s="25"/>
      <c r="AT180" s="32"/>
    </row>
    <row r="181" spans="9:46" s="22" customFormat="1" x14ac:dyDescent="0.3">
      <c r="I181" s="24"/>
      <c r="J181" s="24"/>
      <c r="K181" s="24"/>
      <c r="L181" s="25"/>
      <c r="M181" s="25"/>
      <c r="AT181" s="32"/>
    </row>
    <row r="182" spans="9:46" s="22" customFormat="1" x14ac:dyDescent="0.3">
      <c r="I182" s="24"/>
      <c r="J182" s="24"/>
      <c r="K182" s="24"/>
      <c r="L182" s="25"/>
      <c r="M182" s="25"/>
      <c r="AT182" s="32"/>
    </row>
    <row r="183" spans="9:46" s="22" customFormat="1" x14ac:dyDescent="0.3">
      <c r="I183" s="24"/>
      <c r="J183" s="24"/>
      <c r="K183" s="24"/>
      <c r="L183" s="25"/>
      <c r="M183" s="25"/>
      <c r="AT183" s="32"/>
    </row>
    <row r="184" spans="9:46" s="22" customFormat="1" x14ac:dyDescent="0.3">
      <c r="I184" s="24"/>
      <c r="J184" s="24"/>
      <c r="K184" s="24"/>
      <c r="L184" s="25"/>
      <c r="M184" s="25"/>
      <c r="AT184" s="32"/>
    </row>
    <row r="185" spans="9:46" s="22" customFormat="1" x14ac:dyDescent="0.3">
      <c r="I185" s="24"/>
      <c r="J185" s="24"/>
      <c r="K185" s="24"/>
      <c r="L185" s="25"/>
      <c r="M185" s="25"/>
      <c r="AT185" s="32"/>
    </row>
    <row r="186" spans="9:46" s="22" customFormat="1" x14ac:dyDescent="0.3">
      <c r="I186" s="24"/>
      <c r="J186" s="24"/>
      <c r="K186" s="24"/>
      <c r="L186" s="25"/>
      <c r="M186" s="25"/>
      <c r="AT186" s="32"/>
    </row>
    <row r="187" spans="9:46" s="22" customFormat="1" x14ac:dyDescent="0.3">
      <c r="I187" s="24"/>
      <c r="J187" s="24"/>
      <c r="K187" s="24"/>
      <c r="L187" s="25"/>
      <c r="M187" s="25"/>
      <c r="AT187" s="32"/>
    </row>
    <row r="188" spans="9:46" s="22" customFormat="1" x14ac:dyDescent="0.3">
      <c r="I188" s="24"/>
      <c r="J188" s="24"/>
      <c r="K188" s="24"/>
      <c r="L188" s="25"/>
      <c r="M188" s="25"/>
      <c r="AT188" s="32"/>
    </row>
    <row r="189" spans="9:46" s="22" customFormat="1" x14ac:dyDescent="0.3">
      <c r="I189" s="24"/>
      <c r="J189" s="24"/>
      <c r="K189" s="24"/>
      <c r="L189" s="25"/>
      <c r="M189" s="25"/>
      <c r="AT189" s="32"/>
    </row>
    <row r="190" spans="9:46" s="22" customFormat="1" x14ac:dyDescent="0.3">
      <c r="I190" s="24"/>
      <c r="J190" s="24"/>
      <c r="K190" s="24"/>
      <c r="L190" s="25"/>
      <c r="M190" s="25"/>
      <c r="AT190" s="32"/>
    </row>
    <row r="191" spans="9:46" s="22" customFormat="1" x14ac:dyDescent="0.3">
      <c r="I191" s="24"/>
      <c r="J191" s="24"/>
      <c r="K191" s="24"/>
      <c r="L191" s="25"/>
      <c r="M191" s="25"/>
      <c r="AT191" s="32"/>
    </row>
    <row r="192" spans="9:46" s="22" customFormat="1" x14ac:dyDescent="0.3">
      <c r="I192" s="24"/>
      <c r="J192" s="24"/>
      <c r="K192" s="24"/>
      <c r="L192" s="25"/>
      <c r="M192" s="25"/>
      <c r="AT192" s="32"/>
    </row>
    <row r="193" spans="9:46" s="22" customFormat="1" x14ac:dyDescent="0.3">
      <c r="I193" s="24"/>
      <c r="J193" s="24"/>
      <c r="K193" s="24"/>
      <c r="L193" s="25"/>
      <c r="M193" s="25"/>
      <c r="AT193" s="32"/>
    </row>
    <row r="194" spans="9:46" s="22" customFormat="1" x14ac:dyDescent="0.3">
      <c r="I194" s="24"/>
      <c r="J194" s="24"/>
      <c r="K194" s="24"/>
      <c r="L194" s="25"/>
      <c r="M194" s="25"/>
      <c r="AT194" s="32"/>
    </row>
    <row r="195" spans="9:46" s="22" customFormat="1" x14ac:dyDescent="0.3">
      <c r="I195" s="24"/>
      <c r="J195" s="24"/>
      <c r="K195" s="24"/>
      <c r="L195" s="25"/>
      <c r="M195" s="25"/>
      <c r="AT195" s="32"/>
    </row>
    <row r="196" spans="9:46" s="22" customFormat="1" x14ac:dyDescent="0.3">
      <c r="I196" s="24"/>
      <c r="J196" s="24"/>
      <c r="K196" s="24"/>
      <c r="L196" s="25"/>
      <c r="M196" s="25"/>
      <c r="AT196" s="32"/>
    </row>
    <row r="197" spans="9:46" s="22" customFormat="1" x14ac:dyDescent="0.3">
      <c r="I197" s="24"/>
      <c r="J197" s="24"/>
      <c r="K197" s="24"/>
      <c r="L197" s="25"/>
      <c r="M197" s="25"/>
      <c r="AT197" s="32"/>
    </row>
    <row r="198" spans="9:46" s="22" customFormat="1" x14ac:dyDescent="0.3">
      <c r="I198" s="24"/>
      <c r="J198" s="24"/>
      <c r="K198" s="24"/>
      <c r="L198" s="25"/>
      <c r="M198" s="25"/>
      <c r="AT198" s="32"/>
    </row>
    <row r="199" spans="9:46" s="22" customFormat="1" x14ac:dyDescent="0.3">
      <c r="I199" s="24"/>
      <c r="J199" s="24"/>
      <c r="K199" s="24"/>
      <c r="L199" s="25"/>
      <c r="M199" s="25"/>
      <c r="AT199" s="32"/>
    </row>
    <row r="200" spans="9:46" s="22" customFormat="1" x14ac:dyDescent="0.3">
      <c r="I200" s="24"/>
      <c r="J200" s="24"/>
      <c r="K200" s="24"/>
      <c r="L200" s="25"/>
      <c r="M200" s="25"/>
      <c r="AT200" s="32"/>
    </row>
    <row r="201" spans="9:46" s="22" customFormat="1" x14ac:dyDescent="0.3">
      <c r="I201" s="24"/>
      <c r="J201" s="24"/>
      <c r="K201" s="24"/>
      <c r="L201" s="25"/>
      <c r="M201" s="25"/>
      <c r="AT201" s="32"/>
    </row>
    <row r="202" spans="9:46" s="22" customFormat="1" x14ac:dyDescent="0.3">
      <c r="I202" s="24"/>
      <c r="J202" s="24"/>
      <c r="K202" s="24"/>
      <c r="L202" s="25"/>
      <c r="M202" s="25"/>
      <c r="AT202" s="32"/>
    </row>
    <row r="203" spans="9:46" s="22" customFormat="1" x14ac:dyDescent="0.3">
      <c r="I203" s="24"/>
      <c r="J203" s="24"/>
      <c r="K203" s="24"/>
      <c r="L203" s="25"/>
      <c r="M203" s="25"/>
      <c r="AT203" s="32"/>
    </row>
    <row r="204" spans="9:46" s="22" customFormat="1" x14ac:dyDescent="0.3">
      <c r="I204" s="24"/>
      <c r="J204" s="24"/>
      <c r="K204" s="24"/>
      <c r="L204" s="25"/>
      <c r="M204" s="25"/>
      <c r="AT204" s="32"/>
    </row>
    <row r="205" spans="9:46" s="22" customFormat="1" x14ac:dyDescent="0.3">
      <c r="I205" s="24"/>
      <c r="J205" s="24"/>
      <c r="K205" s="24"/>
      <c r="L205" s="25"/>
      <c r="M205" s="25"/>
      <c r="AT205" s="32"/>
    </row>
    <row r="206" spans="9:46" s="22" customFormat="1" x14ac:dyDescent="0.3">
      <c r="I206" s="24"/>
      <c r="J206" s="24"/>
      <c r="K206" s="24"/>
      <c r="L206" s="25"/>
      <c r="M206" s="25"/>
      <c r="AT206" s="32"/>
    </row>
    <row r="207" spans="9:46" s="22" customFormat="1" x14ac:dyDescent="0.3">
      <c r="I207" s="24"/>
      <c r="J207" s="24"/>
      <c r="K207" s="24"/>
      <c r="L207" s="25"/>
      <c r="M207" s="25"/>
      <c r="AT207" s="32"/>
    </row>
    <row r="208" spans="9:46" s="22" customFormat="1" x14ac:dyDescent="0.3">
      <c r="I208" s="24"/>
      <c r="J208" s="24"/>
      <c r="K208" s="24"/>
      <c r="L208" s="25"/>
      <c r="M208" s="25"/>
      <c r="AT208" s="32"/>
    </row>
    <row r="209" spans="1:47" s="22" customFormat="1" x14ac:dyDescent="0.3">
      <c r="I209" s="24"/>
      <c r="J209" s="24"/>
      <c r="K209" s="24"/>
      <c r="L209" s="25"/>
      <c r="M209" s="25"/>
      <c r="AT209" s="32"/>
    </row>
    <row r="210" spans="1:47" s="22" customFormat="1" x14ac:dyDescent="0.3">
      <c r="I210" s="24"/>
      <c r="J210" s="24"/>
      <c r="K210" s="24"/>
      <c r="L210" s="25"/>
      <c r="M210" s="25"/>
      <c r="AT210" s="32"/>
    </row>
    <row r="211" spans="1:47" s="22" customFormat="1" x14ac:dyDescent="0.3">
      <c r="I211" s="24"/>
      <c r="J211" s="24"/>
      <c r="K211" s="24"/>
      <c r="L211" s="25"/>
      <c r="M211" s="25"/>
      <c r="AT211" s="32"/>
    </row>
    <row r="212" spans="1:47" s="22" customFormat="1" x14ac:dyDescent="0.3">
      <c r="I212" s="24"/>
      <c r="J212" s="24"/>
      <c r="K212" s="24"/>
      <c r="L212" s="25"/>
      <c r="M212" s="25"/>
      <c r="AT212" s="32"/>
    </row>
    <row r="213" spans="1:47" s="22" customFormat="1" x14ac:dyDescent="0.3">
      <c r="I213" s="24"/>
      <c r="J213" s="24"/>
      <c r="K213" s="24"/>
      <c r="L213" s="25"/>
      <c r="M213" s="25"/>
      <c r="AT213" s="32"/>
    </row>
    <row r="214" spans="1:47" s="30" customFormat="1" x14ac:dyDescent="0.3">
      <c r="A214" s="22"/>
      <c r="B214" s="22"/>
      <c r="C214" s="22"/>
      <c r="D214" s="22"/>
      <c r="E214" s="22"/>
      <c r="F214" s="22"/>
      <c r="G214" s="22"/>
      <c r="H214" s="22"/>
      <c r="I214" s="27"/>
      <c r="J214" s="27"/>
      <c r="K214" s="27"/>
      <c r="L214" s="25"/>
      <c r="M214" s="25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32"/>
      <c r="AU214" s="22"/>
    </row>
    <row r="215" spans="1:47" s="30" customFormat="1" x14ac:dyDescent="0.3">
      <c r="A215" s="22"/>
      <c r="B215" s="22"/>
      <c r="C215" s="22"/>
      <c r="D215" s="22"/>
      <c r="E215" s="22"/>
      <c r="F215" s="22"/>
      <c r="G215" s="22"/>
      <c r="H215" s="22"/>
      <c r="I215" s="27"/>
      <c r="J215" s="27"/>
      <c r="K215" s="27"/>
      <c r="L215" s="25"/>
      <c r="M215" s="25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32"/>
      <c r="AU215" s="22"/>
    </row>
    <row r="216" spans="1:47" s="30" customFormat="1" x14ac:dyDescent="0.3">
      <c r="A216" s="22"/>
      <c r="B216" s="22"/>
      <c r="C216" s="22"/>
      <c r="D216" s="22"/>
      <c r="E216" s="22"/>
      <c r="F216" s="22"/>
      <c r="G216" s="22"/>
      <c r="H216" s="22"/>
      <c r="I216" s="27"/>
      <c r="J216" s="27"/>
      <c r="K216" s="27"/>
      <c r="L216" s="28"/>
      <c r="M216" s="25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32"/>
      <c r="AU216" s="22"/>
    </row>
    <row r="217" spans="1:47" s="30" customFormat="1" x14ac:dyDescent="0.3">
      <c r="A217" s="22"/>
      <c r="B217" s="22"/>
      <c r="C217" s="22"/>
      <c r="D217" s="22"/>
      <c r="E217" s="22"/>
      <c r="F217" s="22"/>
      <c r="G217" s="22"/>
      <c r="H217" s="22"/>
      <c r="I217" s="27"/>
      <c r="J217" s="27"/>
      <c r="K217" s="27"/>
      <c r="L217" s="28"/>
      <c r="M217" s="25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32"/>
      <c r="AU217" s="22"/>
    </row>
    <row r="218" spans="1:47" s="30" customFormat="1" x14ac:dyDescent="0.3">
      <c r="A218" s="22"/>
      <c r="B218" s="22"/>
      <c r="C218" s="22"/>
      <c r="D218" s="22"/>
      <c r="E218" s="22"/>
      <c r="F218" s="22"/>
      <c r="G218" s="22"/>
      <c r="H218" s="22"/>
      <c r="I218" s="27"/>
      <c r="J218" s="27"/>
      <c r="K218" s="27"/>
      <c r="L218" s="28"/>
      <c r="M218" s="25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32"/>
      <c r="AU218" s="22"/>
    </row>
    <row r="219" spans="1:47" s="30" customFormat="1" x14ac:dyDescent="0.3">
      <c r="A219" s="22"/>
      <c r="B219" s="22"/>
      <c r="C219" s="22"/>
      <c r="D219" s="22"/>
      <c r="E219" s="22"/>
      <c r="F219" s="22"/>
      <c r="G219" s="22"/>
      <c r="H219" s="22"/>
      <c r="I219" s="27"/>
      <c r="J219" s="27"/>
      <c r="K219" s="27"/>
      <c r="L219" s="28"/>
      <c r="M219" s="25"/>
      <c r="N219" s="26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32"/>
      <c r="AU219" s="22"/>
    </row>
    <row r="220" spans="1:47" s="30" customFormat="1" x14ac:dyDescent="0.3">
      <c r="A220" s="22"/>
      <c r="B220" s="22"/>
      <c r="C220" s="22"/>
      <c r="D220" s="22"/>
      <c r="E220" s="22"/>
      <c r="F220" s="22"/>
      <c r="G220" s="22"/>
      <c r="H220" s="22"/>
      <c r="I220" s="27"/>
      <c r="J220" s="27"/>
      <c r="K220" s="27"/>
      <c r="L220" s="28"/>
      <c r="M220" s="25"/>
      <c r="N220" s="26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32"/>
      <c r="AU220" s="22"/>
    </row>
    <row r="221" spans="1:47" s="30" customFormat="1" x14ac:dyDescent="0.3">
      <c r="A221" s="22"/>
      <c r="B221" s="22"/>
      <c r="C221" s="22"/>
      <c r="D221" s="22"/>
      <c r="E221" s="22"/>
      <c r="F221" s="22"/>
      <c r="G221" s="22"/>
      <c r="H221" s="22"/>
      <c r="I221" s="27"/>
      <c r="J221" s="27"/>
      <c r="K221" s="27"/>
      <c r="L221" s="28"/>
      <c r="M221" s="28"/>
      <c r="N221" s="26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32"/>
      <c r="AU221" s="22"/>
    </row>
    <row r="222" spans="1:47" s="30" customFormat="1" x14ac:dyDescent="0.3">
      <c r="A222" s="22"/>
      <c r="B222" s="22"/>
      <c r="C222" s="22"/>
      <c r="D222" s="22"/>
      <c r="E222" s="22"/>
      <c r="F222" s="22"/>
      <c r="G222" s="22"/>
      <c r="H222" s="22"/>
      <c r="I222" s="27"/>
      <c r="J222" s="27"/>
      <c r="K222" s="27"/>
      <c r="L222" s="28"/>
      <c r="M222" s="28"/>
      <c r="N222" s="26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32"/>
      <c r="AU222" s="22"/>
    </row>
    <row r="223" spans="1:47" s="30" customFormat="1" x14ac:dyDescent="0.3">
      <c r="A223" s="22"/>
      <c r="B223" s="22"/>
      <c r="C223" s="22"/>
      <c r="D223" s="22"/>
      <c r="E223" s="22"/>
      <c r="F223" s="22"/>
      <c r="G223" s="22"/>
      <c r="H223" s="22"/>
      <c r="I223" s="27"/>
      <c r="J223" s="27"/>
      <c r="K223" s="27"/>
      <c r="L223" s="28"/>
      <c r="M223" s="28"/>
      <c r="N223" s="26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32"/>
      <c r="AU223" s="22"/>
    </row>
    <row r="224" spans="1:47" s="30" customFormat="1" x14ac:dyDescent="0.3">
      <c r="A224" s="26"/>
      <c r="B224" s="26"/>
      <c r="C224" s="26"/>
      <c r="D224" s="26"/>
      <c r="E224" s="26"/>
      <c r="F224" s="26"/>
      <c r="G224" s="26"/>
      <c r="H224" s="26"/>
      <c r="I224" s="27"/>
      <c r="J224" s="27"/>
      <c r="K224" s="27"/>
      <c r="L224" s="28"/>
      <c r="M224" s="28"/>
      <c r="N224" s="26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32"/>
      <c r="AU224" s="22"/>
    </row>
    <row r="225" spans="1:47" s="30" customFormat="1" x14ac:dyDescent="0.3">
      <c r="A225" s="26"/>
      <c r="B225" s="26"/>
      <c r="C225" s="26"/>
      <c r="D225" s="26"/>
      <c r="E225" s="26"/>
      <c r="F225" s="26"/>
      <c r="G225" s="26"/>
      <c r="H225" s="26"/>
      <c r="I225" s="27"/>
      <c r="J225" s="27"/>
      <c r="K225" s="27"/>
      <c r="L225" s="28"/>
      <c r="M225" s="28"/>
      <c r="N225" s="26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32"/>
      <c r="AU225" s="22"/>
    </row>
    <row r="226" spans="1:47" s="30" customFormat="1" x14ac:dyDescent="0.3">
      <c r="A226" s="26"/>
      <c r="B226" s="26"/>
      <c r="C226" s="26"/>
      <c r="D226" s="26"/>
      <c r="E226" s="26"/>
      <c r="F226" s="26"/>
      <c r="G226" s="26"/>
      <c r="H226" s="26"/>
      <c r="I226" s="27"/>
      <c r="J226" s="27"/>
      <c r="K226" s="27"/>
      <c r="L226" s="28"/>
      <c r="M226" s="28"/>
      <c r="N226" s="26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32"/>
      <c r="AU226" s="22"/>
    </row>
    <row r="227" spans="1:47" s="30" customFormat="1" x14ac:dyDescent="0.3">
      <c r="A227" s="26"/>
      <c r="B227" s="26"/>
      <c r="C227" s="26"/>
      <c r="D227" s="26"/>
      <c r="E227" s="26"/>
      <c r="F227" s="26"/>
      <c r="G227" s="26"/>
      <c r="H227" s="26"/>
      <c r="I227" s="27"/>
      <c r="J227" s="27"/>
      <c r="K227" s="27"/>
      <c r="L227" s="28"/>
      <c r="M227" s="28"/>
      <c r="N227" s="26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32"/>
      <c r="AU227" s="22"/>
    </row>
    <row r="228" spans="1:47" s="30" customFormat="1" x14ac:dyDescent="0.3">
      <c r="A228" s="26"/>
      <c r="B228" s="26"/>
      <c r="C228" s="26"/>
      <c r="D228" s="26"/>
      <c r="E228" s="26"/>
      <c r="F228" s="26"/>
      <c r="G228" s="26"/>
      <c r="H228" s="26"/>
      <c r="I228" s="27"/>
      <c r="J228" s="27"/>
      <c r="K228" s="27"/>
      <c r="L228" s="28"/>
      <c r="M228" s="28"/>
      <c r="N228" s="26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32"/>
      <c r="AU228" s="22"/>
    </row>
    <row r="229" spans="1:47" s="30" customFormat="1" x14ac:dyDescent="0.3">
      <c r="A229" s="26"/>
      <c r="B229" s="26"/>
      <c r="C229" s="26"/>
      <c r="D229" s="26"/>
      <c r="E229" s="26"/>
      <c r="F229" s="26"/>
      <c r="G229" s="26"/>
      <c r="H229" s="26"/>
      <c r="I229" s="27"/>
      <c r="J229" s="27"/>
      <c r="K229" s="27"/>
      <c r="L229" s="28"/>
      <c r="M229" s="28"/>
      <c r="N229" s="26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32"/>
      <c r="AU229" s="22"/>
    </row>
    <row r="230" spans="1:47" s="30" customFormat="1" x14ac:dyDescent="0.3">
      <c r="A230" s="26"/>
      <c r="B230" s="26"/>
      <c r="C230" s="26"/>
      <c r="D230" s="26"/>
      <c r="E230" s="26"/>
      <c r="F230" s="26"/>
      <c r="G230" s="26"/>
      <c r="H230" s="26"/>
      <c r="I230" s="27"/>
      <c r="J230" s="27"/>
      <c r="K230" s="27"/>
      <c r="L230" s="28"/>
      <c r="M230" s="28"/>
      <c r="N230" s="26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32"/>
      <c r="AU230" s="22"/>
    </row>
    <row r="231" spans="1:47" x14ac:dyDescent="0.3">
      <c r="A231" s="26"/>
      <c r="B231" s="26"/>
      <c r="C231" s="26"/>
      <c r="D231" s="26"/>
      <c r="E231" s="26"/>
      <c r="F231" s="26"/>
      <c r="G231" s="26"/>
      <c r="H231" s="26"/>
      <c r="L231" s="28"/>
      <c r="M231" s="28"/>
      <c r="AT231" s="29"/>
      <c r="AU231" s="29"/>
    </row>
    <row r="232" spans="1:47" x14ac:dyDescent="0.3">
      <c r="A232" s="26"/>
      <c r="B232" s="26"/>
      <c r="C232" s="26"/>
      <c r="D232" s="26"/>
      <c r="E232" s="26"/>
      <c r="F232" s="26"/>
      <c r="G232" s="26"/>
      <c r="H232" s="26"/>
      <c r="L232" s="28"/>
      <c r="M232" s="28"/>
      <c r="AT232" s="29"/>
      <c r="AU232" s="29"/>
    </row>
    <row r="233" spans="1:47" x14ac:dyDescent="0.3">
      <c r="A233" s="26"/>
      <c r="B233" s="26"/>
      <c r="C233" s="26"/>
      <c r="D233" s="26"/>
      <c r="E233" s="26"/>
      <c r="F233" s="26"/>
      <c r="G233" s="26"/>
      <c r="H233" s="26"/>
      <c r="M233" s="28"/>
      <c r="AT233" s="29"/>
      <c r="AU233" s="29"/>
    </row>
    <row r="234" spans="1:47" x14ac:dyDescent="0.3">
      <c r="A234" s="26"/>
      <c r="B234" s="26"/>
      <c r="C234" s="26"/>
      <c r="D234" s="26"/>
      <c r="E234" s="26"/>
      <c r="F234" s="26"/>
      <c r="G234" s="26"/>
      <c r="H234" s="26"/>
      <c r="M234" s="28"/>
      <c r="AT234" s="29"/>
      <c r="AU234" s="29"/>
    </row>
    <row r="235" spans="1:47" x14ac:dyDescent="0.3">
      <c r="A235" s="26"/>
      <c r="B235" s="26"/>
      <c r="C235" s="26"/>
      <c r="D235" s="26"/>
      <c r="E235" s="26"/>
      <c r="F235" s="26"/>
      <c r="G235" s="26"/>
      <c r="H235" s="26"/>
      <c r="M235" s="28"/>
      <c r="AT235" s="29"/>
      <c r="AU235" s="29"/>
    </row>
    <row r="236" spans="1:47" x14ac:dyDescent="0.3">
      <c r="A236" s="26"/>
      <c r="B236" s="26"/>
      <c r="C236" s="26"/>
      <c r="D236" s="26"/>
      <c r="E236" s="26"/>
      <c r="F236" s="26"/>
      <c r="G236" s="26"/>
      <c r="H236" s="26"/>
      <c r="M236" s="28"/>
      <c r="AT236" s="29"/>
      <c r="AU236" s="29"/>
    </row>
    <row r="237" spans="1:47" x14ac:dyDescent="0.3">
      <c r="A237" s="26"/>
      <c r="B237" s="26"/>
      <c r="C237" s="26"/>
      <c r="D237" s="26"/>
      <c r="E237" s="26"/>
      <c r="F237" s="26"/>
      <c r="G237" s="26"/>
      <c r="H237" s="26"/>
      <c r="L237" s="29"/>
      <c r="M237" s="28"/>
      <c r="AT237" s="29"/>
      <c r="AU237" s="29"/>
    </row>
    <row r="238" spans="1:47" x14ac:dyDescent="0.3">
      <c r="A238" s="26"/>
      <c r="B238" s="26"/>
      <c r="C238" s="26"/>
      <c r="D238" s="26"/>
      <c r="E238" s="26"/>
      <c r="F238" s="26"/>
      <c r="G238" s="26"/>
      <c r="H238" s="26"/>
      <c r="AT238" s="29"/>
      <c r="AU238" s="29"/>
    </row>
    <row r="239" spans="1:47" x14ac:dyDescent="0.3">
      <c r="A239" s="26"/>
      <c r="B239" s="26"/>
      <c r="C239" s="26"/>
      <c r="D239" s="26"/>
      <c r="E239" s="26"/>
      <c r="F239" s="26"/>
      <c r="G239" s="26"/>
      <c r="H239" s="26"/>
      <c r="AT239" s="29"/>
      <c r="AU239" s="29"/>
    </row>
    <row r="240" spans="1:47" x14ac:dyDescent="0.3">
      <c r="A240" s="26"/>
      <c r="B240" s="26"/>
      <c r="C240" s="26"/>
      <c r="D240" s="26"/>
      <c r="E240" s="26"/>
      <c r="F240" s="26"/>
      <c r="G240" s="26"/>
      <c r="H240" s="26"/>
      <c r="AT240" s="29"/>
      <c r="AU240" s="29"/>
    </row>
    <row r="241" spans="9:47" x14ac:dyDescent="0.3">
      <c r="AT241" s="29"/>
      <c r="AU241" s="29"/>
    </row>
    <row r="242" spans="9:47" x14ac:dyDescent="0.3">
      <c r="AT242" s="29"/>
      <c r="AU242" s="29"/>
    </row>
    <row r="244" spans="9:47" x14ac:dyDescent="0.3">
      <c r="I244" s="29"/>
      <c r="J244" s="29"/>
      <c r="K244" s="29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29"/>
      <c r="AU244" s="29"/>
    </row>
    <row r="1048575" spans="14:14" x14ac:dyDescent="0.3">
      <c r="N1048575" s="65"/>
    </row>
  </sheetData>
  <mergeCells count="31">
    <mergeCell ref="L61:N61"/>
    <mergeCell ref="L62:M62"/>
    <mergeCell ref="L63:N68"/>
    <mergeCell ref="L60:N60"/>
    <mergeCell ref="L51:M51"/>
    <mergeCell ref="L52:M52"/>
    <mergeCell ref="L53:M53"/>
    <mergeCell ref="L54:M54"/>
    <mergeCell ref="L55:M55"/>
    <mergeCell ref="L56:M56"/>
    <mergeCell ref="L57:M57"/>
    <mergeCell ref="L58:M58"/>
    <mergeCell ref="L59:N59"/>
    <mergeCell ref="L42:N43"/>
    <mergeCell ref="L44:N44"/>
    <mergeCell ref="L45:M45"/>
    <mergeCell ref="L50:M50"/>
    <mergeCell ref="L49:M49"/>
    <mergeCell ref="L46:M46"/>
    <mergeCell ref="L47:M47"/>
    <mergeCell ref="L48:M48"/>
    <mergeCell ref="L41:M41"/>
    <mergeCell ref="A1:N1"/>
    <mergeCell ref="A37:B37"/>
    <mergeCell ref="A38:N38"/>
    <mergeCell ref="A39:F39"/>
    <mergeCell ref="L39:N39"/>
    <mergeCell ref="A2:N2"/>
    <mergeCell ref="A7:B7"/>
    <mergeCell ref="A8:N8"/>
    <mergeCell ref="L40:M40"/>
  </mergeCells>
  <pageMargins left="0" right="0" top="0" bottom="0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8DFC0-3BCC-4742-B025-13D32D1513F0}">
  <dimension ref="A1:BF1048574"/>
  <sheetViews>
    <sheetView topLeftCell="A16" zoomScale="60" zoomScaleNormal="60" workbookViewId="0">
      <selection activeCell="A33" sqref="A33:XFD33"/>
    </sheetView>
  </sheetViews>
  <sheetFormatPr defaultColWidth="9.109375" defaultRowHeight="13.8" x14ac:dyDescent="0.3"/>
  <cols>
    <col min="1" max="1" width="22.6640625" style="29" customWidth="1"/>
    <col min="2" max="2" width="11.33203125" style="29" bestFit="1" customWidth="1"/>
    <col min="3" max="3" width="16.6640625" style="29" bestFit="1" customWidth="1"/>
    <col min="4" max="4" width="16.44140625" style="29" bestFit="1" customWidth="1"/>
    <col min="5" max="5" width="18.33203125" style="29" bestFit="1" customWidth="1"/>
    <col min="6" max="6" width="14" style="29" bestFit="1" customWidth="1"/>
    <col min="7" max="7" width="13.6640625" style="29" bestFit="1" customWidth="1"/>
    <col min="8" max="8" width="13.88671875" style="29" bestFit="1" customWidth="1"/>
    <col min="9" max="9" width="17.33203125" style="31" bestFit="1" customWidth="1"/>
    <col min="10" max="10" width="17.5546875" style="31" bestFit="1" customWidth="1"/>
    <col min="11" max="11" width="16.6640625" style="31" bestFit="1" customWidth="1"/>
    <col min="12" max="12" width="113.5546875" style="31" customWidth="1"/>
    <col min="13" max="13" width="9.5546875" style="31" customWidth="1"/>
    <col min="14" max="14" width="17.5546875" style="29" bestFit="1" customWidth="1"/>
    <col min="15" max="15" width="10.5546875" style="22" bestFit="1" customWidth="1"/>
    <col min="16" max="45" width="9.109375" style="22"/>
    <col min="46" max="47" width="9.109375" style="32"/>
    <col min="48" max="16384" width="9.109375" style="29"/>
  </cols>
  <sheetData>
    <row r="1" spans="1:47" s="10" customFormat="1" ht="29.25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47" s="10" customFormat="1" ht="29.25" customHeight="1" x14ac:dyDescent="0.3">
      <c r="A2" s="538" t="s">
        <v>128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47" s="11" customFormat="1" ht="27.6" x14ac:dyDescent="0.3">
      <c r="A3" s="83" t="s">
        <v>3</v>
      </c>
      <c r="B3" s="83" t="s">
        <v>0</v>
      </c>
      <c r="C3" s="84" t="s">
        <v>1</v>
      </c>
      <c r="D3" s="84" t="s">
        <v>68</v>
      </c>
      <c r="E3" s="84" t="s">
        <v>69</v>
      </c>
      <c r="F3" s="85" t="s">
        <v>2</v>
      </c>
      <c r="G3" s="84" t="s">
        <v>6</v>
      </c>
      <c r="H3" s="84" t="s">
        <v>7</v>
      </c>
      <c r="I3" s="84" t="s">
        <v>4</v>
      </c>
      <c r="J3" s="84" t="s">
        <v>5</v>
      </c>
      <c r="K3" s="84" t="s">
        <v>70</v>
      </c>
      <c r="L3" s="83" t="s">
        <v>59</v>
      </c>
      <c r="M3" s="86" t="s">
        <v>8</v>
      </c>
      <c r="N3" s="86" t="s">
        <v>10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 spans="1:47" s="52" customFormat="1" x14ac:dyDescent="0.3">
      <c r="A4" s="117" t="s">
        <v>100</v>
      </c>
      <c r="B4" s="3">
        <v>16</v>
      </c>
      <c r="C4" s="2">
        <f>'GERAL 2021'!G18</f>
        <v>640</v>
      </c>
      <c r="D4" s="2">
        <f>10%*C4</f>
        <v>64</v>
      </c>
      <c r="E4" s="5">
        <f>C4-D4</f>
        <v>576</v>
      </c>
      <c r="F4" s="2">
        <f>60</f>
        <v>60</v>
      </c>
      <c r="G4" s="2">
        <v>0</v>
      </c>
      <c r="H4" s="2">
        <f>D69</f>
        <v>19.811666666666667</v>
      </c>
      <c r="I4" s="109">
        <f>SUM(E4:H4)</f>
        <v>655.81166666666672</v>
      </c>
      <c r="J4" s="2">
        <f>60%*(C4+F4)</f>
        <v>420</v>
      </c>
      <c r="K4" s="2">
        <f>I4-J4</f>
        <v>235.81166666666672</v>
      </c>
      <c r="L4" s="71" t="s">
        <v>98</v>
      </c>
      <c r="M4" s="3">
        <v>10</v>
      </c>
      <c r="N4" s="3">
        <v>11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1"/>
      <c r="AP4" s="11"/>
      <c r="AQ4" s="11"/>
      <c r="AR4" s="11"/>
      <c r="AS4" s="11"/>
      <c r="AT4" s="11"/>
      <c r="AU4" s="11"/>
    </row>
    <row r="5" spans="1:47" s="52" customFormat="1" ht="14.25" customHeight="1" x14ac:dyDescent="0.3">
      <c r="A5" s="116" t="s">
        <v>103</v>
      </c>
      <c r="B5" s="90">
        <v>18</v>
      </c>
      <c r="C5" s="2">
        <f>'GERAL 2021'!G20</f>
        <v>650</v>
      </c>
      <c r="D5" s="2">
        <f>10%*C5</f>
        <v>65</v>
      </c>
      <c r="E5" s="5">
        <f>C5-D5</f>
        <v>585</v>
      </c>
      <c r="F5" s="2">
        <f>30</f>
        <v>30</v>
      </c>
      <c r="G5" s="2">
        <v>0</v>
      </c>
      <c r="H5" s="2">
        <v>19.899999999999999</v>
      </c>
      <c r="I5" s="109">
        <f>SUM(E5:H5)</f>
        <v>634.9</v>
      </c>
      <c r="J5" s="2">
        <f>60%*(C5+F5)</f>
        <v>408</v>
      </c>
      <c r="K5" s="2">
        <f>I5-J5</f>
        <v>226.89999999999998</v>
      </c>
      <c r="L5" s="71" t="s">
        <v>98</v>
      </c>
      <c r="M5" s="3">
        <v>10</v>
      </c>
      <c r="N5" s="3">
        <v>11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1"/>
      <c r="AP5" s="11"/>
      <c r="AQ5" s="11"/>
      <c r="AR5" s="11"/>
      <c r="AS5" s="11"/>
      <c r="AT5" s="11"/>
      <c r="AU5" s="11"/>
    </row>
    <row r="6" spans="1:47" s="52" customFormat="1" x14ac:dyDescent="0.3">
      <c r="A6" s="518" t="s">
        <v>4</v>
      </c>
      <c r="B6" s="518"/>
      <c r="C6" s="109">
        <f t="shared" ref="C6:K6" si="0">SUM(C4:C5)</f>
        <v>1290</v>
      </c>
      <c r="D6" s="109">
        <f t="shared" si="0"/>
        <v>129</v>
      </c>
      <c r="E6" s="109">
        <f t="shared" si="0"/>
        <v>1161</v>
      </c>
      <c r="F6" s="109">
        <f t="shared" si="0"/>
        <v>90</v>
      </c>
      <c r="G6" s="109">
        <f t="shared" si="0"/>
        <v>0</v>
      </c>
      <c r="H6" s="109">
        <f t="shared" si="0"/>
        <v>39.711666666666666</v>
      </c>
      <c r="I6" s="109">
        <f t="shared" si="0"/>
        <v>1290.7116666666666</v>
      </c>
      <c r="J6" s="109">
        <f t="shared" si="0"/>
        <v>828</v>
      </c>
      <c r="K6" s="109">
        <f t="shared" si="0"/>
        <v>462.7116666666667</v>
      </c>
      <c r="L6" s="90"/>
      <c r="M6" s="3"/>
      <c r="N6" s="3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1"/>
      <c r="AH6" s="11"/>
      <c r="AI6" s="11"/>
      <c r="AJ6" s="11"/>
      <c r="AK6" s="11"/>
      <c r="AL6" s="11"/>
      <c r="AM6" s="11"/>
    </row>
    <row r="7" spans="1:47" s="52" customFormat="1" ht="29.25" customHeight="1" x14ac:dyDescent="0.3">
      <c r="A7" s="521" t="s">
        <v>130</v>
      </c>
      <c r="B7" s="521"/>
      <c r="C7" s="521"/>
      <c r="D7" s="521"/>
      <c r="E7" s="521"/>
      <c r="F7" s="521"/>
      <c r="G7" s="521"/>
      <c r="H7" s="521"/>
      <c r="I7" s="521"/>
      <c r="J7" s="521"/>
      <c r="K7" s="521"/>
      <c r="L7" s="521"/>
      <c r="M7" s="521"/>
      <c r="N7" s="521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1"/>
      <c r="AH7" s="11"/>
      <c r="AI7" s="11"/>
      <c r="AJ7" s="11"/>
      <c r="AK7" s="11"/>
      <c r="AL7" s="11"/>
      <c r="AM7" s="11"/>
    </row>
    <row r="8" spans="1:47" s="11" customFormat="1" ht="27.6" x14ac:dyDescent="0.3">
      <c r="A8" s="83" t="s">
        <v>3</v>
      </c>
      <c r="B8" s="83" t="s">
        <v>0</v>
      </c>
      <c r="C8" s="84" t="s">
        <v>1</v>
      </c>
      <c r="D8" s="84" t="s">
        <v>68</v>
      </c>
      <c r="E8" s="84" t="s">
        <v>69</v>
      </c>
      <c r="F8" s="85" t="s">
        <v>2</v>
      </c>
      <c r="G8" s="84" t="s">
        <v>6</v>
      </c>
      <c r="H8" s="84" t="s">
        <v>7</v>
      </c>
      <c r="I8" s="84" t="s">
        <v>4</v>
      </c>
      <c r="J8" s="84" t="s">
        <v>5</v>
      </c>
      <c r="K8" s="84" t="s">
        <v>70</v>
      </c>
      <c r="L8" s="83" t="s">
        <v>59</v>
      </c>
      <c r="M8" s="86" t="s">
        <v>8</v>
      </c>
      <c r="N8" s="86" t="s">
        <v>10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</row>
    <row r="9" spans="1:47" s="15" customFormat="1" ht="34.5" customHeight="1" x14ac:dyDescent="0.3">
      <c r="A9" s="116" t="s">
        <v>132</v>
      </c>
      <c r="B9" s="90">
        <v>1</v>
      </c>
      <c r="C9" s="2">
        <f>600/31*2</f>
        <v>38.70967741935484</v>
      </c>
      <c r="D9" s="2">
        <f>C9*10%</f>
        <v>3.870967741935484</v>
      </c>
      <c r="E9" s="2">
        <f>C9-D9</f>
        <v>34.838709677419359</v>
      </c>
      <c r="F9" s="5">
        <f>50/31*2</f>
        <v>3.225806451612903</v>
      </c>
      <c r="G9" s="2">
        <f>D40</f>
        <v>6.4262411347517725</v>
      </c>
      <c r="H9" s="2">
        <v>0</v>
      </c>
      <c r="I9" s="109">
        <f>SUM(E9:H9)</f>
        <v>44.490757263784033</v>
      </c>
      <c r="J9" s="2">
        <f>I9*7%</f>
        <v>3.1143530084648825</v>
      </c>
      <c r="K9" s="2">
        <f>I9-J9</f>
        <v>41.376404255319152</v>
      </c>
      <c r="L9" s="90" t="s">
        <v>133</v>
      </c>
      <c r="M9" s="3">
        <v>10</v>
      </c>
      <c r="N9" s="3">
        <v>11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7" s="50" customFormat="1" x14ac:dyDescent="0.3">
      <c r="A10" s="90"/>
      <c r="B10" s="4">
        <v>2</v>
      </c>
      <c r="C10" s="5"/>
      <c r="D10" s="5"/>
      <c r="E10" s="5"/>
      <c r="F10" s="5"/>
      <c r="G10" s="5"/>
      <c r="H10" s="5"/>
      <c r="I10" s="109"/>
      <c r="J10" s="2"/>
      <c r="K10" s="2"/>
      <c r="L10" s="90"/>
      <c r="M10" s="3"/>
      <c r="N10" s="3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16"/>
      <c r="AK10" s="17"/>
      <c r="AL10" s="17"/>
      <c r="AM10" s="17"/>
      <c r="AN10" s="17"/>
      <c r="AO10" s="96"/>
      <c r="AP10" s="96"/>
      <c r="AQ10" s="96"/>
      <c r="AR10" s="96"/>
      <c r="AS10" s="96"/>
      <c r="AT10" s="96"/>
      <c r="AU10" s="96"/>
    </row>
    <row r="11" spans="1:47" s="73" customFormat="1" x14ac:dyDescent="0.3">
      <c r="A11" s="12"/>
      <c r="B11" s="4">
        <v>3</v>
      </c>
      <c r="C11" s="5"/>
      <c r="D11" s="5"/>
      <c r="E11" s="5"/>
      <c r="F11" s="5"/>
      <c r="G11" s="5"/>
      <c r="H11" s="5"/>
      <c r="I11" s="109"/>
      <c r="J11" s="2"/>
      <c r="K11" s="2"/>
      <c r="L11" s="90"/>
      <c r="M11" s="3"/>
      <c r="N11" s="13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6"/>
      <c r="AP11" s="6"/>
      <c r="AQ11" s="6"/>
      <c r="AR11" s="6"/>
      <c r="AS11" s="6"/>
      <c r="AT11" s="6"/>
      <c r="AU11" s="6"/>
    </row>
    <row r="12" spans="1:47" s="51" customFormat="1" x14ac:dyDescent="0.3">
      <c r="A12" s="90"/>
      <c r="B12" s="90">
        <v>4</v>
      </c>
      <c r="C12" s="1"/>
      <c r="D12" s="1"/>
      <c r="E12" s="1"/>
      <c r="F12" s="2"/>
      <c r="G12" s="1"/>
      <c r="H12" s="1"/>
      <c r="I12" s="111"/>
      <c r="J12" s="2"/>
      <c r="K12" s="2"/>
      <c r="L12" s="90"/>
      <c r="M12" s="3"/>
      <c r="N12" s="67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15"/>
      <c r="AP12" s="15"/>
      <c r="AQ12" s="15"/>
      <c r="AR12" s="15"/>
      <c r="AS12" s="15"/>
      <c r="AT12" s="15"/>
      <c r="AU12" s="15"/>
    </row>
    <row r="13" spans="1:47" s="51" customFormat="1" ht="15.75" customHeight="1" x14ac:dyDescent="0.3">
      <c r="A13" s="90"/>
      <c r="B13" s="90">
        <v>5</v>
      </c>
      <c r="C13" s="2"/>
      <c r="D13" s="2"/>
      <c r="E13" s="2"/>
      <c r="F13" s="2"/>
      <c r="G13" s="2"/>
      <c r="H13" s="2"/>
      <c r="I13" s="109"/>
      <c r="J13" s="2"/>
      <c r="K13" s="2"/>
      <c r="L13" s="90"/>
      <c r="M13" s="3"/>
      <c r="N13" s="3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15"/>
      <c r="AP13" s="15"/>
      <c r="AQ13" s="15"/>
      <c r="AR13" s="15"/>
      <c r="AS13" s="15"/>
      <c r="AT13" s="15"/>
      <c r="AU13" s="15"/>
    </row>
    <row r="14" spans="1:47" s="52" customFormat="1" x14ac:dyDescent="0.3">
      <c r="A14" s="90"/>
      <c r="B14" s="90">
        <v>6</v>
      </c>
      <c r="C14" s="5"/>
      <c r="D14" s="5"/>
      <c r="E14" s="5"/>
      <c r="F14" s="2"/>
      <c r="G14" s="2"/>
      <c r="H14" s="2"/>
      <c r="I14" s="109"/>
      <c r="J14" s="2"/>
      <c r="K14" s="2"/>
      <c r="L14" s="90"/>
      <c r="M14" s="3"/>
      <c r="N14" s="3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1"/>
      <c r="AP14" s="11"/>
      <c r="AQ14" s="11"/>
      <c r="AR14" s="11"/>
      <c r="AS14" s="11"/>
      <c r="AT14" s="11"/>
      <c r="AU14" s="11"/>
    </row>
    <row r="15" spans="1:47" s="51" customFormat="1" ht="14.25" customHeight="1" x14ac:dyDescent="0.3">
      <c r="A15" s="90"/>
      <c r="B15" s="90">
        <v>7</v>
      </c>
      <c r="C15" s="2"/>
      <c r="D15" s="2"/>
      <c r="E15" s="5"/>
      <c r="F15" s="2"/>
      <c r="G15" s="2"/>
      <c r="H15" s="2"/>
      <c r="I15" s="109"/>
      <c r="J15" s="2"/>
      <c r="K15" s="2"/>
      <c r="L15" s="90"/>
      <c r="M15" s="3"/>
      <c r="N15" s="3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15"/>
      <c r="AP15" s="15"/>
      <c r="AQ15" s="15"/>
      <c r="AR15" s="15"/>
      <c r="AS15" s="15"/>
      <c r="AT15" s="15"/>
      <c r="AU15" s="15"/>
    </row>
    <row r="16" spans="1:47" s="51" customFormat="1" x14ac:dyDescent="0.3">
      <c r="A16" s="90"/>
      <c r="B16" s="90">
        <v>8</v>
      </c>
      <c r="C16" s="2"/>
      <c r="D16" s="2"/>
      <c r="E16" s="5"/>
      <c r="F16" s="2"/>
      <c r="G16" s="2"/>
      <c r="H16" s="2"/>
      <c r="I16" s="109"/>
      <c r="J16" s="2"/>
      <c r="K16" s="2"/>
      <c r="L16" s="90"/>
      <c r="M16" s="3"/>
      <c r="N16" s="3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15"/>
      <c r="AP16" s="15"/>
      <c r="AQ16" s="15"/>
      <c r="AR16" s="15"/>
      <c r="AS16" s="15"/>
      <c r="AT16" s="15"/>
      <c r="AU16" s="15"/>
    </row>
    <row r="17" spans="1:47" s="51" customFormat="1" ht="15.75" customHeight="1" x14ac:dyDescent="0.3">
      <c r="A17" s="90"/>
      <c r="B17" s="90">
        <v>9</v>
      </c>
      <c r="C17" s="2"/>
      <c r="D17" s="2"/>
      <c r="E17" s="5"/>
      <c r="F17" s="2"/>
      <c r="G17" s="2"/>
      <c r="H17" s="2"/>
      <c r="I17" s="109"/>
      <c r="J17" s="2"/>
      <c r="K17" s="2"/>
      <c r="L17" s="90"/>
      <c r="M17" s="3"/>
      <c r="N17" s="3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15"/>
      <c r="AP17" s="15"/>
      <c r="AQ17" s="15"/>
      <c r="AR17" s="15"/>
      <c r="AS17" s="15"/>
      <c r="AT17" s="15"/>
      <c r="AU17" s="15"/>
    </row>
    <row r="18" spans="1:47" s="32" customFormat="1" x14ac:dyDescent="0.3">
      <c r="A18" s="67" t="s">
        <v>92</v>
      </c>
      <c r="B18" s="67">
        <v>10</v>
      </c>
      <c r="C18" s="2">
        <v>600</v>
      </c>
      <c r="D18" s="2">
        <f>10%*C18</f>
        <v>60</v>
      </c>
      <c r="E18" s="5">
        <f>C18-D18</f>
        <v>540</v>
      </c>
      <c r="F18" s="2">
        <v>0</v>
      </c>
      <c r="G18" s="2">
        <v>0</v>
      </c>
      <c r="H18" s="2">
        <f>D57</f>
        <v>17.824999999999999</v>
      </c>
      <c r="I18" s="109">
        <f>SUM(E18:H18)</f>
        <v>557.82500000000005</v>
      </c>
      <c r="J18" s="2">
        <f>I18*7%</f>
        <v>39.047750000000008</v>
      </c>
      <c r="K18" s="2">
        <f>I18-J18</f>
        <v>518.77725000000009</v>
      </c>
      <c r="L18" s="47" t="s">
        <v>117</v>
      </c>
      <c r="M18" s="3">
        <v>10</v>
      </c>
      <c r="N18" s="67">
        <v>11</v>
      </c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69"/>
      <c r="AU18" s="69"/>
    </row>
    <row r="19" spans="1:47" s="32" customFormat="1" x14ac:dyDescent="0.3">
      <c r="A19" s="67"/>
      <c r="B19" s="67">
        <v>11</v>
      </c>
      <c r="C19" s="2"/>
      <c r="D19" s="2"/>
      <c r="E19" s="5"/>
      <c r="F19" s="2"/>
      <c r="G19" s="2"/>
      <c r="H19" s="2"/>
      <c r="I19" s="109"/>
      <c r="J19" s="2"/>
      <c r="K19" s="2"/>
      <c r="L19" s="47"/>
      <c r="M19" s="3"/>
      <c r="N19" s="67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69"/>
      <c r="AU19" s="69"/>
    </row>
    <row r="20" spans="1:47" s="51" customFormat="1" x14ac:dyDescent="0.3">
      <c r="A20" s="90"/>
      <c r="B20" s="90">
        <v>12</v>
      </c>
      <c r="C20" s="2"/>
      <c r="D20" s="2"/>
      <c r="E20" s="5"/>
      <c r="F20" s="5"/>
      <c r="G20" s="5"/>
      <c r="H20" s="5"/>
      <c r="I20" s="109"/>
      <c r="J20" s="2"/>
      <c r="K20" s="2"/>
      <c r="L20" s="90"/>
      <c r="M20" s="3"/>
      <c r="N20" s="3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15"/>
      <c r="AP20" s="15"/>
      <c r="AQ20" s="15"/>
      <c r="AR20" s="15"/>
      <c r="AS20" s="15"/>
      <c r="AT20" s="15"/>
      <c r="AU20" s="15"/>
    </row>
    <row r="21" spans="1:47" s="32" customFormat="1" x14ac:dyDescent="0.3">
      <c r="A21" s="67"/>
      <c r="B21" s="67">
        <v>13</v>
      </c>
      <c r="C21" s="2"/>
      <c r="D21" s="2"/>
      <c r="E21" s="5"/>
      <c r="F21" s="2"/>
      <c r="G21" s="2"/>
      <c r="H21" s="2"/>
      <c r="I21" s="109"/>
      <c r="J21" s="2"/>
      <c r="K21" s="2"/>
      <c r="L21" s="90"/>
      <c r="M21" s="3"/>
      <c r="N21" s="67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69"/>
      <c r="AU21" s="69"/>
    </row>
    <row r="22" spans="1:47" s="32" customFormat="1" x14ac:dyDescent="0.3">
      <c r="A22" s="67"/>
      <c r="B22" s="67">
        <v>15</v>
      </c>
      <c r="C22" s="2"/>
      <c r="D22" s="2"/>
      <c r="E22" s="5"/>
      <c r="F22" s="2"/>
      <c r="G22" s="2"/>
      <c r="H22" s="2"/>
      <c r="I22" s="109"/>
      <c r="J22" s="2"/>
      <c r="K22" s="2"/>
      <c r="L22" s="90"/>
      <c r="M22" s="3"/>
      <c r="N22" s="67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69"/>
      <c r="AU22" s="69"/>
    </row>
    <row r="23" spans="1:47" s="11" customFormat="1" ht="14.25" customHeight="1" x14ac:dyDescent="0.3">
      <c r="A23" s="90"/>
      <c r="B23" s="90">
        <v>15</v>
      </c>
      <c r="C23" s="41"/>
      <c r="D23" s="53"/>
      <c r="E23" s="53"/>
      <c r="F23" s="53"/>
      <c r="G23" s="53"/>
      <c r="H23" s="53"/>
      <c r="I23" s="109"/>
      <c r="J23" s="2"/>
      <c r="K23" s="2"/>
      <c r="L23" s="90"/>
      <c r="M23" s="3"/>
      <c r="N23" s="3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10"/>
      <c r="AH23" s="10"/>
      <c r="AI23" s="10"/>
      <c r="AJ23" s="10"/>
      <c r="AK23" s="10"/>
      <c r="AL23" s="10"/>
    </row>
    <row r="24" spans="1:47" s="52" customFormat="1" x14ac:dyDescent="0.3">
      <c r="A24" s="3" t="s">
        <v>100</v>
      </c>
      <c r="B24" s="3">
        <v>16</v>
      </c>
      <c r="C24" s="2">
        <v>0</v>
      </c>
      <c r="D24" s="2">
        <f>10%*C24</f>
        <v>0</v>
      </c>
      <c r="E24" s="5">
        <f>C24-D24</f>
        <v>0</v>
      </c>
      <c r="F24" s="2">
        <v>0</v>
      </c>
      <c r="G24" s="2">
        <v>0</v>
      </c>
      <c r="H24" s="2">
        <v>0</v>
      </c>
      <c r="I24" s="109">
        <f>SUM(E24:H24)</f>
        <v>0</v>
      </c>
      <c r="J24" s="2">
        <f>I24*7%</f>
        <v>0</v>
      </c>
      <c r="K24" s="2">
        <f>I24-J24</f>
        <v>0</v>
      </c>
      <c r="L24" s="71" t="s">
        <v>108</v>
      </c>
      <c r="M24" s="3">
        <v>10</v>
      </c>
      <c r="N24" s="3">
        <v>11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1"/>
      <c r="AP24" s="11"/>
      <c r="AQ24" s="11"/>
      <c r="AR24" s="11"/>
      <c r="AS24" s="11"/>
      <c r="AT24" s="11"/>
      <c r="AU24" s="11"/>
    </row>
    <row r="25" spans="1:47" s="52" customFormat="1" x14ac:dyDescent="0.3">
      <c r="A25" s="116" t="s">
        <v>119</v>
      </c>
      <c r="B25" s="88">
        <v>17</v>
      </c>
      <c r="C25" s="2">
        <f>'GERAL 2021'!G19/31*20</f>
        <v>412.90322580645159</v>
      </c>
      <c r="D25" s="2">
        <f>10%*C25</f>
        <v>41.29032258064516</v>
      </c>
      <c r="E25" s="5">
        <f>(C25-D25)</f>
        <v>371.61290322580641</v>
      </c>
      <c r="F25" s="2">
        <v>0</v>
      </c>
      <c r="G25" s="2">
        <f>D72</f>
        <v>6.4262411347517725</v>
      </c>
      <c r="H25" s="2">
        <v>19.82</v>
      </c>
      <c r="I25" s="109">
        <f>SUM(E25:H25)</f>
        <v>397.85914436055816</v>
      </c>
      <c r="J25" s="2">
        <f>I25*7%</f>
        <v>27.850140105239074</v>
      </c>
      <c r="K25" s="2">
        <f>I25-J25</f>
        <v>370.0090042553191</v>
      </c>
      <c r="L25" s="47" t="s">
        <v>131</v>
      </c>
      <c r="M25" s="3"/>
      <c r="N25" s="3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1"/>
      <c r="AP25" s="11"/>
      <c r="AQ25" s="11"/>
      <c r="AR25" s="11"/>
      <c r="AS25" s="11"/>
      <c r="AT25" s="11"/>
      <c r="AU25" s="11"/>
    </row>
    <row r="26" spans="1:47" s="52" customFormat="1" ht="14.25" customHeight="1" x14ac:dyDescent="0.3">
      <c r="A26" s="88" t="s">
        <v>103</v>
      </c>
      <c r="B26" s="90">
        <v>18</v>
      </c>
      <c r="C26" s="2">
        <v>0</v>
      </c>
      <c r="D26" s="2">
        <f>10%*C26</f>
        <v>0</v>
      </c>
      <c r="E26" s="5">
        <f>C26-D26</f>
        <v>0</v>
      </c>
      <c r="F26" s="2">
        <v>0</v>
      </c>
      <c r="G26" s="2">
        <v>0</v>
      </c>
      <c r="H26" s="2">
        <v>0</v>
      </c>
      <c r="I26" s="109">
        <f>SUM(E26:H26)</f>
        <v>0</v>
      </c>
      <c r="J26" s="2">
        <f>I26*7%</f>
        <v>0</v>
      </c>
      <c r="K26" s="2">
        <f>I26-J26</f>
        <v>0</v>
      </c>
      <c r="L26" s="71" t="s">
        <v>108</v>
      </c>
      <c r="M26" s="3">
        <v>10</v>
      </c>
      <c r="N26" s="3">
        <v>11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1"/>
      <c r="AP26" s="11"/>
      <c r="AQ26" s="11"/>
      <c r="AR26" s="11"/>
      <c r="AS26" s="11"/>
      <c r="AT26" s="11"/>
      <c r="AU26" s="11"/>
    </row>
    <row r="27" spans="1:47" s="18" customFormat="1" x14ac:dyDescent="0.3">
      <c r="A27" s="95"/>
      <c r="B27" s="90">
        <v>19</v>
      </c>
      <c r="C27" s="2"/>
      <c r="D27" s="2"/>
      <c r="E27" s="5"/>
      <c r="F27" s="2"/>
      <c r="G27" s="2"/>
      <c r="H27" s="2"/>
      <c r="I27" s="109"/>
      <c r="J27" s="2"/>
      <c r="K27" s="2"/>
      <c r="L27" s="90"/>
      <c r="M27" s="3"/>
      <c r="N27" s="3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1"/>
      <c r="AP27" s="11"/>
      <c r="AQ27" s="11"/>
      <c r="AR27" s="11"/>
      <c r="AS27" s="11"/>
      <c r="AT27" s="11"/>
      <c r="AU27" s="11"/>
    </row>
    <row r="28" spans="1:47" s="52" customFormat="1" x14ac:dyDescent="0.3">
      <c r="A28" s="88"/>
      <c r="B28" s="90">
        <v>20</v>
      </c>
      <c r="C28" s="2"/>
      <c r="D28" s="2"/>
      <c r="E28" s="5"/>
      <c r="F28" s="2"/>
      <c r="G28" s="2"/>
      <c r="H28" s="2"/>
      <c r="I28" s="109"/>
      <c r="J28" s="2"/>
      <c r="K28" s="2"/>
      <c r="L28" s="90"/>
      <c r="M28" s="3"/>
      <c r="N28" s="3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1"/>
      <c r="AP28" s="11"/>
      <c r="AQ28" s="11"/>
      <c r="AR28" s="11"/>
      <c r="AS28" s="11"/>
      <c r="AT28" s="11"/>
      <c r="AU28" s="11"/>
    </row>
    <row r="29" spans="1:47" s="52" customFormat="1" ht="15" customHeight="1" x14ac:dyDescent="0.3">
      <c r="A29" s="88"/>
      <c r="B29" s="90">
        <v>21</v>
      </c>
      <c r="C29" s="2"/>
      <c r="D29" s="2"/>
      <c r="E29" s="5"/>
      <c r="F29" s="2"/>
      <c r="G29" s="2"/>
      <c r="H29" s="2"/>
      <c r="I29" s="109"/>
      <c r="J29" s="2"/>
      <c r="K29" s="2"/>
      <c r="L29" s="90"/>
      <c r="M29" s="3"/>
      <c r="N29" s="3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1"/>
      <c r="AP29" s="11"/>
      <c r="AQ29" s="11"/>
      <c r="AR29" s="11"/>
      <c r="AS29" s="11"/>
      <c r="AT29" s="11"/>
      <c r="AU29" s="11"/>
    </row>
    <row r="30" spans="1:47" s="52" customFormat="1" ht="15.75" customHeight="1" x14ac:dyDescent="0.3">
      <c r="A30" s="88"/>
      <c r="B30" s="90">
        <v>22</v>
      </c>
      <c r="C30" s="2"/>
      <c r="D30" s="2"/>
      <c r="E30" s="5"/>
      <c r="F30" s="2"/>
      <c r="G30" s="2"/>
      <c r="H30" s="2"/>
      <c r="I30" s="109"/>
      <c r="J30" s="2"/>
      <c r="K30" s="2"/>
      <c r="L30" s="90"/>
      <c r="M30" s="3"/>
      <c r="N30" s="3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1"/>
      <c r="AP30" s="11"/>
      <c r="AQ30" s="11"/>
      <c r="AR30" s="11"/>
      <c r="AS30" s="11"/>
      <c r="AT30" s="11"/>
      <c r="AU30" s="11"/>
    </row>
    <row r="31" spans="1:47" s="52" customFormat="1" x14ac:dyDescent="0.3">
      <c r="A31" s="88"/>
      <c r="B31" s="90">
        <v>23</v>
      </c>
      <c r="C31" s="2"/>
      <c r="D31" s="2"/>
      <c r="E31" s="5"/>
      <c r="F31" s="2"/>
      <c r="G31" s="2"/>
      <c r="H31" s="2"/>
      <c r="I31" s="109"/>
      <c r="J31" s="2"/>
      <c r="K31" s="2"/>
      <c r="L31" s="90"/>
      <c r="M31" s="3"/>
      <c r="N31" s="3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1"/>
      <c r="AP31" s="11"/>
      <c r="AQ31" s="11"/>
      <c r="AR31" s="11"/>
      <c r="AS31" s="11"/>
      <c r="AT31" s="11"/>
      <c r="AU31" s="11"/>
    </row>
    <row r="32" spans="1:47" s="52" customFormat="1" x14ac:dyDescent="0.3">
      <c r="A32" s="88"/>
      <c r="B32" s="90">
        <v>24</v>
      </c>
      <c r="C32" s="2"/>
      <c r="D32" s="2"/>
      <c r="E32" s="5"/>
      <c r="F32" s="2"/>
      <c r="G32" s="2"/>
      <c r="H32" s="2"/>
      <c r="I32" s="109"/>
      <c r="J32" s="2"/>
      <c r="K32" s="2"/>
      <c r="L32" s="90"/>
      <c r="M32" s="3"/>
      <c r="N32" s="3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1"/>
      <c r="AP32" s="11"/>
      <c r="AQ32" s="11"/>
      <c r="AR32" s="11"/>
      <c r="AS32" s="11"/>
      <c r="AT32" s="11"/>
      <c r="AU32" s="11"/>
    </row>
    <row r="33" spans="1:58" s="52" customFormat="1" ht="17.25" customHeight="1" x14ac:dyDescent="0.3">
      <c r="A33" s="11" t="s">
        <v>87</v>
      </c>
      <c r="B33" s="90">
        <v>25</v>
      </c>
      <c r="C33" s="2">
        <f>704</f>
        <v>704</v>
      </c>
      <c r="D33" s="2">
        <f>10%*C33</f>
        <v>70.400000000000006</v>
      </c>
      <c r="E33" s="5">
        <f>C33-D33</f>
        <v>633.6</v>
      </c>
      <c r="F33" s="2">
        <f>30</f>
        <v>30</v>
      </c>
      <c r="G33" s="2">
        <v>0</v>
      </c>
      <c r="H33" s="2">
        <v>19.989999999999998</v>
      </c>
      <c r="I33" s="109">
        <f>SUM(E33:H33)</f>
        <v>683.59</v>
      </c>
      <c r="J33" s="2">
        <f>I33*7%</f>
        <v>47.851300000000009</v>
      </c>
      <c r="K33" s="2">
        <f>I33-J33</f>
        <v>635.73869999999999</v>
      </c>
      <c r="L33" s="71" t="s">
        <v>117</v>
      </c>
      <c r="M33" s="98">
        <v>10</v>
      </c>
      <c r="N33" s="3">
        <v>11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1"/>
      <c r="AP33" s="11"/>
      <c r="AQ33" s="11"/>
      <c r="AR33" s="11"/>
      <c r="AS33" s="11"/>
      <c r="AT33" s="11"/>
      <c r="AU33" s="11"/>
    </row>
    <row r="34" spans="1:58" s="52" customFormat="1" x14ac:dyDescent="0.3">
      <c r="A34" s="88"/>
      <c r="B34" s="90">
        <v>26</v>
      </c>
      <c r="C34" s="2"/>
      <c r="D34" s="2"/>
      <c r="E34" s="5"/>
      <c r="F34" s="2"/>
      <c r="G34" s="2"/>
      <c r="H34" s="2"/>
      <c r="I34" s="109"/>
      <c r="J34" s="2"/>
      <c r="K34" s="2"/>
      <c r="L34" s="90"/>
      <c r="M34" s="3"/>
      <c r="N34" s="3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1"/>
      <c r="AP34" s="11"/>
      <c r="AQ34" s="11"/>
      <c r="AR34" s="11"/>
      <c r="AS34" s="11"/>
      <c r="AT34" s="11"/>
      <c r="AU34" s="11"/>
    </row>
    <row r="35" spans="1:58" s="52" customFormat="1" x14ac:dyDescent="0.3">
      <c r="A35" s="88" t="s">
        <v>86</v>
      </c>
      <c r="B35" s="90">
        <v>27</v>
      </c>
      <c r="C35" s="72">
        <f>650</f>
        <v>650</v>
      </c>
      <c r="D35" s="72">
        <f>10%*C35</f>
        <v>65</v>
      </c>
      <c r="E35" s="5">
        <f>C35-D35</f>
        <v>585</v>
      </c>
      <c r="F35" s="72">
        <f>60</f>
        <v>60</v>
      </c>
      <c r="G35" s="72">
        <v>0</v>
      </c>
      <c r="H35" s="72">
        <f>D91</f>
        <v>19.836666666666666</v>
      </c>
      <c r="I35" s="112">
        <f>SUM(E35:H35)</f>
        <v>664.8366666666667</v>
      </c>
      <c r="J35" s="2">
        <f>I35*7%</f>
        <v>46.538566666666675</v>
      </c>
      <c r="K35" s="72">
        <f>I35-J35</f>
        <v>618.29809999999998</v>
      </c>
      <c r="L35" s="71" t="s">
        <v>118</v>
      </c>
      <c r="M35" s="98">
        <v>10</v>
      </c>
      <c r="N35" s="3">
        <v>11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1"/>
      <c r="AP35" s="11"/>
      <c r="AQ35" s="11"/>
      <c r="AR35" s="11"/>
      <c r="AS35" s="11"/>
      <c r="AT35" s="11"/>
      <c r="AU35" s="11"/>
    </row>
    <row r="36" spans="1:58" s="52" customFormat="1" ht="14.4" thickBot="1" x14ac:dyDescent="0.35">
      <c r="A36" s="518" t="s">
        <v>4</v>
      </c>
      <c r="B36" s="518"/>
      <c r="C36" s="109">
        <f t="shared" ref="C36:K36" si="1">SUM(C9:C35)</f>
        <v>2405.6129032258063</v>
      </c>
      <c r="D36" s="109">
        <f t="shared" si="1"/>
        <v>240.56129032258065</v>
      </c>
      <c r="E36" s="109">
        <f t="shared" si="1"/>
        <v>2165.0516129032258</v>
      </c>
      <c r="F36" s="109">
        <f t="shared" si="1"/>
        <v>93.225806451612897</v>
      </c>
      <c r="G36" s="109">
        <f t="shared" si="1"/>
        <v>12.852482269503545</v>
      </c>
      <c r="H36" s="109">
        <f t="shared" si="1"/>
        <v>77.471666666666664</v>
      </c>
      <c r="I36" s="109">
        <f t="shared" si="1"/>
        <v>2348.6015682910088</v>
      </c>
      <c r="J36" s="109">
        <f t="shared" si="1"/>
        <v>164.40210978037064</v>
      </c>
      <c r="K36" s="109">
        <f t="shared" si="1"/>
        <v>2184.1994585106381</v>
      </c>
      <c r="L36" s="90"/>
      <c r="M36" s="120"/>
      <c r="N36" s="56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1"/>
      <c r="AP36" s="11"/>
      <c r="AQ36" s="11"/>
      <c r="AR36" s="11"/>
      <c r="AS36" s="11"/>
      <c r="AT36" s="11"/>
      <c r="AU36" s="11"/>
    </row>
    <row r="37" spans="1:58" s="19" customFormat="1" ht="14.4" thickBot="1" x14ac:dyDescent="0.35">
      <c r="A37" s="536"/>
      <c r="B37" s="537"/>
      <c r="C37" s="537"/>
      <c r="D37" s="537"/>
      <c r="E37" s="537"/>
      <c r="F37" s="537"/>
      <c r="G37" s="537"/>
      <c r="H37" s="537"/>
      <c r="I37" s="537"/>
      <c r="J37" s="537"/>
      <c r="K37" s="537"/>
      <c r="L37" s="537"/>
      <c r="M37" s="524"/>
      <c r="N37" s="525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</row>
    <row r="38" spans="1:58" s="40" customFormat="1" ht="15" customHeight="1" x14ac:dyDescent="0.3">
      <c r="A38" s="518" t="s">
        <v>9</v>
      </c>
      <c r="B38" s="518"/>
      <c r="C38" s="518"/>
      <c r="D38" s="518"/>
      <c r="E38" s="518"/>
      <c r="F38" s="518"/>
      <c r="G38" s="46"/>
      <c r="H38" s="46"/>
      <c r="I38" s="64"/>
      <c r="J38" s="46"/>
      <c r="K38" s="46"/>
      <c r="L38" s="513" t="s">
        <v>20</v>
      </c>
      <c r="M38" s="513"/>
      <c r="N38" s="526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10"/>
      <c r="AK38" s="10"/>
      <c r="AL38" s="10"/>
      <c r="AM38" s="10"/>
      <c r="AN38" s="10"/>
      <c r="AO38" s="10"/>
      <c r="AP38" s="10"/>
      <c r="AQ38" s="10"/>
      <c r="AR38" s="11"/>
      <c r="AS38" s="11"/>
      <c r="AT38" s="11"/>
      <c r="AU38" s="11"/>
    </row>
    <row r="39" spans="1:58" s="40" customFormat="1" x14ac:dyDescent="0.3">
      <c r="A39" s="76" t="s">
        <v>40</v>
      </c>
      <c r="B39" s="77">
        <f>'GERAL 2021'!K3</f>
        <v>118.43</v>
      </c>
      <c r="C39" s="78">
        <v>6</v>
      </c>
      <c r="D39" s="77">
        <f>B39/C39</f>
        <v>19.738333333333333</v>
      </c>
      <c r="E39" s="78"/>
      <c r="F39" s="77"/>
      <c r="G39" s="11"/>
      <c r="H39" s="11"/>
      <c r="I39" s="87"/>
      <c r="J39" s="87"/>
      <c r="K39" s="87"/>
      <c r="L39" s="527" t="s">
        <v>94</v>
      </c>
      <c r="M39" s="527"/>
      <c r="N39" s="49">
        <f>J36</f>
        <v>164.40210978037064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10"/>
      <c r="AK39" s="10"/>
      <c r="AL39" s="10"/>
      <c r="AM39" s="10"/>
      <c r="AN39" s="10"/>
      <c r="AO39" s="10"/>
      <c r="AP39" s="10"/>
      <c r="AQ39" s="10"/>
      <c r="AR39" s="11"/>
      <c r="AS39" s="11"/>
      <c r="AT39" s="11"/>
      <c r="AU39" s="11"/>
    </row>
    <row r="40" spans="1:58" s="40" customFormat="1" x14ac:dyDescent="0.3">
      <c r="A40" s="12" t="s">
        <v>46</v>
      </c>
      <c r="B40" s="2">
        <f>'GERAL 2021'!I3</f>
        <v>1.0710401891252954</v>
      </c>
      <c r="C40" s="88">
        <v>6</v>
      </c>
      <c r="D40" s="2">
        <f>B40*C40</f>
        <v>6.4262411347517725</v>
      </c>
      <c r="E40" s="88"/>
      <c r="F40" s="88"/>
      <c r="G40" s="11"/>
      <c r="H40" s="11"/>
      <c r="I40" s="14"/>
      <c r="J40" s="14"/>
      <c r="K40" s="14"/>
      <c r="L40" s="534" t="s">
        <v>113</v>
      </c>
      <c r="M40" s="535"/>
      <c r="N40" s="114">
        <f>J6</f>
        <v>828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10"/>
      <c r="AK40" s="10"/>
      <c r="AL40" s="10"/>
      <c r="AM40" s="10"/>
      <c r="AN40" s="10"/>
      <c r="AO40" s="10"/>
      <c r="AP40" s="10"/>
      <c r="AQ40" s="10"/>
      <c r="AR40" s="11"/>
      <c r="AS40" s="11"/>
      <c r="AT40" s="11"/>
      <c r="AU40" s="11"/>
    </row>
    <row r="41" spans="1:58" s="40" customFormat="1" x14ac:dyDescent="0.3">
      <c r="A41" s="79" t="s">
        <v>29</v>
      </c>
      <c r="B41" s="80"/>
      <c r="C41" s="82"/>
      <c r="D41" s="80"/>
      <c r="E41" s="78"/>
      <c r="F41" s="77"/>
      <c r="G41" s="11"/>
      <c r="H41" s="11"/>
      <c r="I41" s="14"/>
      <c r="J41" s="14"/>
      <c r="K41" s="14"/>
      <c r="L41" s="520"/>
      <c r="M41" s="520"/>
      <c r="N41" s="528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10"/>
      <c r="AK41" s="10"/>
      <c r="AL41" s="10"/>
      <c r="AM41" s="10"/>
      <c r="AN41" s="10"/>
      <c r="AO41" s="10"/>
      <c r="AP41" s="10"/>
      <c r="AQ41" s="10"/>
      <c r="AR41" s="11"/>
      <c r="AS41" s="11"/>
      <c r="AT41" s="11"/>
      <c r="AU41" s="11"/>
    </row>
    <row r="42" spans="1:58" s="40" customFormat="1" ht="15" customHeight="1" x14ac:dyDescent="0.3">
      <c r="A42" s="12" t="s">
        <v>30</v>
      </c>
      <c r="B42" s="2"/>
      <c r="C42" s="88"/>
      <c r="D42" s="2"/>
      <c r="E42" s="53"/>
      <c r="F42" s="53"/>
      <c r="G42" s="11"/>
      <c r="H42" s="11"/>
      <c r="I42" s="62"/>
      <c r="J42" s="62"/>
      <c r="K42" s="62"/>
      <c r="L42" s="520"/>
      <c r="M42" s="520"/>
      <c r="N42" s="528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10"/>
      <c r="AK42" s="10"/>
      <c r="AL42" s="10"/>
      <c r="AM42" s="10"/>
      <c r="AN42" s="10"/>
      <c r="AO42" s="10"/>
      <c r="AP42" s="10"/>
      <c r="AQ42" s="10"/>
      <c r="AR42" s="11"/>
      <c r="AS42" s="11"/>
      <c r="AT42" s="11"/>
      <c r="AU42" s="11"/>
    </row>
    <row r="43" spans="1:58" s="40" customFormat="1" x14ac:dyDescent="0.3">
      <c r="A43" s="79" t="s">
        <v>65</v>
      </c>
      <c r="B43" s="80"/>
      <c r="C43" s="82"/>
      <c r="D43" s="80"/>
      <c r="E43" s="78"/>
      <c r="F43" s="77"/>
      <c r="G43" s="11"/>
      <c r="H43" s="11"/>
      <c r="I43" s="14"/>
      <c r="J43" s="14"/>
      <c r="K43" s="14"/>
      <c r="L43" s="529" t="s">
        <v>12</v>
      </c>
      <c r="M43" s="529"/>
      <c r="N43" s="530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10"/>
      <c r="AK43" s="10"/>
      <c r="AL43" s="10"/>
      <c r="AM43" s="10"/>
      <c r="AN43" s="10"/>
      <c r="AO43" s="10"/>
      <c r="AP43" s="10"/>
      <c r="AQ43" s="10"/>
      <c r="AR43" s="11"/>
      <c r="AS43" s="11"/>
      <c r="AT43" s="11"/>
      <c r="AU43" s="11"/>
    </row>
    <row r="44" spans="1:58" s="40" customFormat="1" x14ac:dyDescent="0.3">
      <c r="A44" s="12" t="s">
        <v>62</v>
      </c>
      <c r="B44" s="2"/>
      <c r="C44" s="88"/>
      <c r="D44" s="2"/>
      <c r="E44" s="88"/>
      <c r="F44" s="88"/>
      <c r="G44" s="11"/>
      <c r="H44" s="11"/>
      <c r="I44" s="63"/>
      <c r="J44" s="63"/>
      <c r="K44" s="63"/>
      <c r="L44" s="514" t="s">
        <v>121</v>
      </c>
      <c r="M44" s="514"/>
      <c r="N44" s="2">
        <v>17.82</v>
      </c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10"/>
      <c r="AK44" s="10"/>
      <c r="AL44" s="10"/>
      <c r="AM44" s="10"/>
      <c r="AN44" s="10"/>
      <c r="AO44" s="10"/>
      <c r="AP44" s="10"/>
      <c r="AQ44" s="10"/>
      <c r="AR44" s="11"/>
      <c r="AS44" s="11"/>
      <c r="AT44" s="11"/>
      <c r="AU44" s="11"/>
    </row>
    <row r="45" spans="1:58" s="40" customFormat="1" x14ac:dyDescent="0.3">
      <c r="A45" s="79" t="s">
        <v>60</v>
      </c>
      <c r="B45" s="80"/>
      <c r="C45" s="82"/>
      <c r="D45" s="80"/>
      <c r="E45" s="78"/>
      <c r="F45" s="77"/>
      <c r="G45" s="11"/>
      <c r="H45" s="11"/>
      <c r="I45" s="14"/>
      <c r="J45" s="14"/>
      <c r="K45" s="14"/>
      <c r="L45" s="514" t="s">
        <v>122</v>
      </c>
      <c r="M45" s="514"/>
      <c r="N45" s="121">
        <v>19.809999999999999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10"/>
      <c r="AK45" s="10"/>
      <c r="AL45" s="10"/>
      <c r="AM45" s="10"/>
      <c r="AN45" s="10"/>
      <c r="AO45" s="10"/>
      <c r="AP45" s="10"/>
      <c r="AQ45" s="10"/>
      <c r="AR45" s="11"/>
      <c r="AS45" s="11"/>
      <c r="AT45" s="11"/>
      <c r="AU45" s="11"/>
    </row>
    <row r="46" spans="1:58" s="40" customFormat="1" ht="15" customHeight="1" x14ac:dyDescent="0.3">
      <c r="A46" s="12" t="s">
        <v>61</v>
      </c>
      <c r="B46" s="2"/>
      <c r="C46" s="88"/>
      <c r="D46" s="2"/>
      <c r="E46" s="88"/>
      <c r="F46" s="88"/>
      <c r="G46" s="11"/>
      <c r="H46" s="11"/>
      <c r="I46" s="63"/>
      <c r="J46" s="63"/>
      <c r="K46" s="63"/>
      <c r="L46" s="514" t="s">
        <v>120</v>
      </c>
      <c r="M46" s="514"/>
      <c r="N46" s="121">
        <v>19.82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10"/>
      <c r="AK46" s="10"/>
      <c r="AL46" s="10"/>
      <c r="AM46" s="10"/>
      <c r="AN46" s="10"/>
      <c r="AO46" s="10"/>
      <c r="AP46" s="10"/>
      <c r="AQ46" s="10"/>
      <c r="AR46" s="11"/>
      <c r="AS46" s="11"/>
      <c r="AT46" s="11"/>
      <c r="AU46" s="11"/>
    </row>
    <row r="47" spans="1:58" s="40" customFormat="1" ht="15" customHeight="1" x14ac:dyDescent="0.3">
      <c r="A47" s="79" t="s">
        <v>31</v>
      </c>
      <c r="B47" s="80"/>
      <c r="C47" s="82"/>
      <c r="D47" s="80"/>
      <c r="E47" s="78"/>
      <c r="F47" s="77"/>
      <c r="G47" s="11"/>
      <c r="H47" s="11"/>
      <c r="I47" s="14"/>
      <c r="J47" s="14"/>
      <c r="K47" s="14"/>
      <c r="L47" s="520" t="s">
        <v>123</v>
      </c>
      <c r="M47" s="520"/>
      <c r="N47" s="2">
        <v>19.899999999999999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10"/>
      <c r="AK47" s="10"/>
      <c r="AL47" s="10"/>
      <c r="AM47" s="10"/>
      <c r="AN47" s="10"/>
      <c r="AO47" s="10"/>
      <c r="AP47" s="10"/>
      <c r="AQ47" s="10"/>
      <c r="AR47" s="11"/>
      <c r="AS47" s="11"/>
      <c r="AT47" s="11"/>
      <c r="AU47" s="11"/>
    </row>
    <row r="48" spans="1:58" s="40" customFormat="1" ht="15" customHeight="1" x14ac:dyDescent="0.3">
      <c r="A48" s="12" t="s">
        <v>32</v>
      </c>
      <c r="B48" s="2"/>
      <c r="C48" s="88"/>
      <c r="D48" s="2"/>
      <c r="E48" s="88"/>
      <c r="F48" s="88"/>
      <c r="G48" s="11"/>
      <c r="H48" s="11"/>
      <c r="I48" s="63"/>
      <c r="J48" s="63"/>
      <c r="K48" s="63"/>
      <c r="L48" s="520" t="s">
        <v>124</v>
      </c>
      <c r="M48" s="520"/>
      <c r="N48" s="2">
        <v>19.989999999999998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11"/>
      <c r="AS48" s="11"/>
      <c r="AT48" s="11"/>
      <c r="AU48" s="11"/>
    </row>
    <row r="49" spans="1:47" s="40" customFormat="1" x14ac:dyDescent="0.3">
      <c r="A49" s="79" t="s">
        <v>57</v>
      </c>
      <c r="B49" s="80"/>
      <c r="C49" s="82"/>
      <c r="D49" s="80"/>
      <c r="E49" s="78"/>
      <c r="F49" s="77"/>
      <c r="G49" s="11"/>
      <c r="H49" s="11"/>
      <c r="I49" s="14"/>
      <c r="J49" s="14"/>
      <c r="K49" s="14"/>
      <c r="L49" s="520" t="s">
        <v>125</v>
      </c>
      <c r="M49" s="520"/>
      <c r="N49" s="2">
        <v>19.84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11"/>
      <c r="AS49" s="11"/>
      <c r="AT49" s="11"/>
      <c r="AU49" s="11"/>
    </row>
    <row r="50" spans="1:47" s="40" customFormat="1" x14ac:dyDescent="0.3">
      <c r="A50" s="12" t="s">
        <v>58</v>
      </c>
      <c r="B50" s="2"/>
      <c r="C50" s="88"/>
      <c r="D50" s="2"/>
      <c r="E50" s="88"/>
      <c r="F50" s="88"/>
      <c r="G50" s="11"/>
      <c r="H50" s="11"/>
      <c r="I50" s="63"/>
      <c r="J50" s="63"/>
      <c r="K50" s="63"/>
      <c r="L50" s="520" t="s">
        <v>135</v>
      </c>
      <c r="M50" s="520"/>
      <c r="N50" s="2">
        <f>120*5</f>
        <v>600</v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11"/>
      <c r="AS50" s="11"/>
      <c r="AT50" s="11"/>
      <c r="AU50" s="11"/>
    </row>
    <row r="51" spans="1:47" s="40" customFormat="1" x14ac:dyDescent="0.3">
      <c r="A51" s="79" t="s">
        <v>63</v>
      </c>
      <c r="B51" s="80"/>
      <c r="C51" s="82"/>
      <c r="D51" s="80"/>
      <c r="E51" s="78"/>
      <c r="F51" s="77"/>
      <c r="G51" s="11"/>
      <c r="H51" s="11"/>
      <c r="I51" s="14"/>
      <c r="J51" s="14"/>
      <c r="K51" s="14"/>
      <c r="L51" s="541" t="s">
        <v>134</v>
      </c>
      <c r="M51" s="541"/>
      <c r="N51" s="2">
        <f>7.92*2</f>
        <v>15.84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11"/>
      <c r="AS51" s="11"/>
      <c r="AT51" s="11"/>
      <c r="AU51" s="11"/>
    </row>
    <row r="52" spans="1:47" s="40" customFormat="1" x14ac:dyDescent="0.3">
      <c r="A52" s="12" t="s">
        <v>64</v>
      </c>
      <c r="B52" s="2"/>
      <c r="C52" s="88"/>
      <c r="D52" s="2"/>
      <c r="E52" s="88"/>
      <c r="F52" s="88"/>
      <c r="G52" s="11"/>
      <c r="H52" s="11"/>
      <c r="I52" s="63"/>
      <c r="J52" s="63"/>
      <c r="K52" s="63"/>
      <c r="L52" s="520" t="s">
        <v>126</v>
      </c>
      <c r="M52" s="520"/>
      <c r="N52" s="2">
        <v>555.55999999999995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11"/>
      <c r="AS52" s="11"/>
      <c r="AT52" s="11"/>
      <c r="AU52" s="11"/>
    </row>
    <row r="53" spans="1:47" s="40" customFormat="1" x14ac:dyDescent="0.3">
      <c r="A53" s="79" t="s">
        <v>33</v>
      </c>
      <c r="B53" s="80"/>
      <c r="C53" s="82"/>
      <c r="D53" s="80"/>
      <c r="E53" s="78"/>
      <c r="F53" s="77"/>
      <c r="G53" s="11"/>
      <c r="H53" s="11"/>
      <c r="I53" s="14"/>
      <c r="J53" s="14"/>
      <c r="K53" s="14"/>
      <c r="L53" s="520" t="s">
        <v>127</v>
      </c>
      <c r="M53" s="520"/>
      <c r="N53" s="2">
        <v>500.39</v>
      </c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11"/>
      <c r="AS53" s="11"/>
      <c r="AT53" s="11"/>
      <c r="AU53" s="11"/>
    </row>
    <row r="54" spans="1:47" s="40" customFormat="1" x14ac:dyDescent="0.3">
      <c r="A54" s="12" t="s">
        <v>34</v>
      </c>
      <c r="B54" s="2"/>
      <c r="C54" s="88"/>
      <c r="D54" s="2"/>
      <c r="E54" s="88"/>
      <c r="F54" s="88"/>
      <c r="G54" s="11"/>
      <c r="H54" s="11"/>
      <c r="I54" s="63"/>
      <c r="J54" s="63"/>
      <c r="K54" s="63"/>
      <c r="L54" s="520"/>
      <c r="M54" s="520"/>
      <c r="N54" s="91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11"/>
      <c r="AS54" s="11"/>
      <c r="AT54" s="11"/>
      <c r="AU54" s="11"/>
    </row>
    <row r="55" spans="1:47" s="11" customFormat="1" ht="15" customHeight="1" x14ac:dyDescent="0.3">
      <c r="A55" s="79" t="s">
        <v>41</v>
      </c>
      <c r="B55" s="80"/>
      <c r="C55" s="82"/>
      <c r="D55" s="80"/>
      <c r="E55" s="78"/>
      <c r="F55" s="77"/>
      <c r="L55" s="520"/>
      <c r="M55" s="520"/>
      <c r="N55" s="91"/>
    </row>
    <row r="56" spans="1:47" s="11" customFormat="1" x14ac:dyDescent="0.3">
      <c r="A56" s="12" t="s">
        <v>42</v>
      </c>
      <c r="B56" s="2"/>
      <c r="C56" s="88"/>
      <c r="D56" s="2"/>
      <c r="E56" s="88"/>
      <c r="F56" s="88"/>
      <c r="I56" s="63"/>
      <c r="J56" s="63"/>
      <c r="K56" s="63"/>
      <c r="L56" s="518"/>
      <c r="M56" s="518"/>
      <c r="N56" s="48"/>
    </row>
    <row r="57" spans="1:47" s="11" customFormat="1" ht="15" customHeight="1" x14ac:dyDescent="0.3">
      <c r="A57" s="79" t="s">
        <v>66</v>
      </c>
      <c r="B57" s="80">
        <f>'GERAL 2021'!K12</f>
        <v>106.95</v>
      </c>
      <c r="C57" s="81">
        <v>6</v>
      </c>
      <c r="D57" s="80">
        <f>B57/C57</f>
        <v>17.824999999999999</v>
      </c>
      <c r="E57" s="82"/>
      <c r="F57" s="80"/>
      <c r="I57" s="14"/>
      <c r="J57" s="14"/>
      <c r="K57" s="14"/>
      <c r="L57" s="531" t="s">
        <v>26</v>
      </c>
      <c r="M57" s="531"/>
      <c r="N57" s="45">
        <f>SUM(N39:N56)</f>
        <v>2781.3721097803705</v>
      </c>
    </row>
    <row r="58" spans="1:47" s="11" customFormat="1" x14ac:dyDescent="0.3">
      <c r="A58" s="12" t="s">
        <v>67</v>
      </c>
      <c r="B58" s="2">
        <f>'GERAL 2021'!I12</f>
        <v>1.0710401891252954</v>
      </c>
      <c r="C58" s="88">
        <v>8</v>
      </c>
      <c r="D58" s="2">
        <f>B58*C58</f>
        <v>8.5683215130023633</v>
      </c>
      <c r="E58" s="88"/>
      <c r="F58" s="88"/>
      <c r="I58" s="63"/>
      <c r="J58" s="63"/>
      <c r="K58" s="63"/>
      <c r="L58" s="518"/>
      <c r="M58" s="518"/>
      <c r="N58" s="48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</row>
    <row r="59" spans="1:47" s="11" customFormat="1" x14ac:dyDescent="0.3">
      <c r="A59" s="79" t="s">
        <v>14</v>
      </c>
      <c r="B59" s="80"/>
      <c r="C59" s="82"/>
      <c r="D59" s="80"/>
      <c r="E59" s="82"/>
      <c r="F59" s="80"/>
      <c r="I59" s="14"/>
      <c r="J59" s="14"/>
      <c r="K59" s="14"/>
      <c r="L59" s="513" t="s">
        <v>11</v>
      </c>
      <c r="M59" s="513"/>
      <c r="N59" s="526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</row>
    <row r="60" spans="1:47" s="11" customFormat="1" x14ac:dyDescent="0.3">
      <c r="A60" s="12" t="s">
        <v>15</v>
      </c>
      <c r="B60" s="2"/>
      <c r="C60" s="88"/>
      <c r="D60" s="2"/>
      <c r="E60" s="88"/>
      <c r="F60" s="88"/>
      <c r="I60" s="87"/>
      <c r="J60" s="87"/>
      <c r="K60" s="87"/>
      <c r="L60" s="532">
        <f>I6+I36</f>
        <v>3639.3132349576754</v>
      </c>
      <c r="M60" s="532"/>
      <c r="N60" s="533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</row>
    <row r="61" spans="1:47" s="11" customFormat="1" ht="12.75" customHeight="1" x14ac:dyDescent="0.3">
      <c r="A61" s="79" t="s">
        <v>55</v>
      </c>
      <c r="B61" s="80"/>
      <c r="C61" s="82"/>
      <c r="D61" s="80"/>
      <c r="E61" s="82"/>
      <c r="F61" s="80"/>
      <c r="L61" s="518"/>
      <c r="M61" s="518"/>
      <c r="N61" s="519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</row>
    <row r="62" spans="1:47" s="11" customFormat="1" x14ac:dyDescent="0.3">
      <c r="A62" s="12" t="s">
        <v>56</v>
      </c>
      <c r="B62" s="2"/>
      <c r="C62" s="88"/>
      <c r="D62" s="2"/>
      <c r="E62" s="88"/>
      <c r="F62" s="88"/>
      <c r="L62" s="513" t="s">
        <v>13</v>
      </c>
      <c r="M62" s="513"/>
      <c r="N62" s="49">
        <f>L60-N57</f>
        <v>857.94112517730491</v>
      </c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</row>
    <row r="63" spans="1:47" s="11" customFormat="1" ht="12.75" customHeight="1" x14ac:dyDescent="0.3">
      <c r="A63" s="79" t="s">
        <v>35</v>
      </c>
      <c r="B63" s="80"/>
      <c r="C63" s="82"/>
      <c r="D63" s="80"/>
      <c r="E63" s="82"/>
      <c r="F63" s="80"/>
      <c r="L63" s="539"/>
      <c r="M63" s="539"/>
      <c r="N63" s="539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</row>
    <row r="64" spans="1:47" s="11" customFormat="1" x14ac:dyDescent="0.3">
      <c r="A64" s="12" t="s">
        <v>36</v>
      </c>
      <c r="B64" s="2"/>
      <c r="C64" s="88"/>
      <c r="D64" s="2"/>
      <c r="E64" s="88"/>
      <c r="F64" s="88"/>
      <c r="I64" s="14"/>
      <c r="J64" s="14"/>
      <c r="K64" s="14"/>
      <c r="L64" s="540"/>
      <c r="M64" s="540"/>
      <c r="N64" s="540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</row>
    <row r="65" spans="1:46" s="11" customFormat="1" ht="13.5" customHeight="1" x14ac:dyDescent="0.3">
      <c r="A65" s="79" t="s">
        <v>47</v>
      </c>
      <c r="B65" s="80"/>
      <c r="C65" s="82"/>
      <c r="D65" s="80"/>
      <c r="E65" s="82"/>
      <c r="F65" s="80"/>
      <c r="I65" s="15"/>
      <c r="J65" s="15"/>
      <c r="K65" s="15"/>
      <c r="L65" s="540"/>
      <c r="M65" s="540"/>
      <c r="N65" s="540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</row>
    <row r="66" spans="1:46" s="11" customFormat="1" x14ac:dyDescent="0.3">
      <c r="A66" s="12" t="s">
        <v>48</v>
      </c>
      <c r="B66" s="2"/>
      <c r="C66" s="88"/>
      <c r="D66" s="2"/>
      <c r="E66" s="88"/>
      <c r="F66" s="88"/>
      <c r="I66" s="14"/>
      <c r="J66" s="14"/>
      <c r="K66" s="14"/>
      <c r="L66" s="540"/>
      <c r="M66" s="540"/>
      <c r="N66" s="540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</row>
    <row r="67" spans="1:46" s="11" customFormat="1" x14ac:dyDescent="0.3">
      <c r="A67" s="79" t="s">
        <v>16</v>
      </c>
      <c r="B67" s="80"/>
      <c r="C67" s="82"/>
      <c r="D67" s="80"/>
      <c r="E67" s="81"/>
      <c r="F67" s="81"/>
      <c r="I67" s="14"/>
      <c r="J67" s="14"/>
      <c r="K67" s="14"/>
      <c r="L67" s="540"/>
      <c r="M67" s="540"/>
      <c r="N67" s="540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</row>
    <row r="68" spans="1:46" s="11" customFormat="1" x14ac:dyDescent="0.3">
      <c r="A68" s="12" t="s">
        <v>17</v>
      </c>
      <c r="B68" s="2"/>
      <c r="C68" s="88"/>
      <c r="D68" s="2"/>
      <c r="E68" s="88"/>
      <c r="F68" s="88"/>
      <c r="I68" s="14"/>
      <c r="J68" s="14"/>
      <c r="K68" s="14"/>
      <c r="L68" s="540"/>
      <c r="M68" s="540"/>
      <c r="N68" s="540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</row>
    <row r="69" spans="1:46" s="11" customFormat="1" x14ac:dyDescent="0.3">
      <c r="A69" s="79" t="s">
        <v>27</v>
      </c>
      <c r="B69" s="80">
        <f>'GERAL 2021'!K18</f>
        <v>118.87</v>
      </c>
      <c r="C69" s="82">
        <v>6</v>
      </c>
      <c r="D69" s="80">
        <f>B69/C69</f>
        <v>19.811666666666667</v>
      </c>
      <c r="E69" s="81"/>
      <c r="F69" s="82"/>
      <c r="I69" s="14"/>
      <c r="J69" s="14"/>
      <c r="K69" s="14"/>
      <c r="L69" s="15"/>
      <c r="M69" s="14"/>
      <c r="N69" s="5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</row>
    <row r="70" spans="1:46" s="11" customFormat="1" x14ac:dyDescent="0.3">
      <c r="A70" s="12" t="s">
        <v>28</v>
      </c>
      <c r="B70" s="2">
        <f>'GERAL 2021'!I18</f>
        <v>1.0710401891252954</v>
      </c>
      <c r="C70" s="88">
        <v>7</v>
      </c>
      <c r="D70" s="2">
        <f>B70*C70</f>
        <v>7.4972813238770684</v>
      </c>
      <c r="E70" s="88"/>
      <c r="F70" s="90"/>
      <c r="I70" s="20"/>
      <c r="J70" s="20"/>
      <c r="K70" s="20"/>
      <c r="M70" s="15"/>
      <c r="N70" s="65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</row>
    <row r="71" spans="1:46" s="18" customFormat="1" x14ac:dyDescent="0.3">
      <c r="A71" s="79" t="s">
        <v>18</v>
      </c>
      <c r="B71" s="80">
        <f>'GERAL 2021'!K19</f>
        <v>118.87</v>
      </c>
      <c r="C71" s="82">
        <v>6</v>
      </c>
      <c r="D71" s="80">
        <f>B71/C71</f>
        <v>19.811666666666667</v>
      </c>
      <c r="E71" s="82"/>
      <c r="F71" s="80"/>
      <c r="I71" s="20"/>
      <c r="J71" s="20"/>
      <c r="K71" s="20"/>
      <c r="L71" s="11"/>
      <c r="M71" s="11"/>
      <c r="N71" s="65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</row>
    <row r="72" spans="1:46" s="18" customFormat="1" x14ac:dyDescent="0.3">
      <c r="A72" s="12" t="s">
        <v>19</v>
      </c>
      <c r="B72" s="2">
        <f>'GERAL 2021'!I19</f>
        <v>1.0710401891252954</v>
      </c>
      <c r="C72" s="88">
        <v>6</v>
      </c>
      <c r="D72" s="2">
        <f>B72*C72</f>
        <v>6.4262411347517725</v>
      </c>
      <c r="E72" s="88"/>
      <c r="F72" s="88"/>
      <c r="I72" s="20"/>
      <c r="J72" s="20"/>
      <c r="K72" s="20"/>
      <c r="L72" s="14"/>
      <c r="M72" s="14"/>
      <c r="N72" s="65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</row>
    <row r="73" spans="1:46" s="18" customFormat="1" x14ac:dyDescent="0.3">
      <c r="A73" s="79" t="s">
        <v>37</v>
      </c>
      <c r="B73" s="80">
        <f>'GERAL 2021'!K20</f>
        <v>119.02</v>
      </c>
      <c r="C73" s="82">
        <v>6</v>
      </c>
      <c r="D73" s="80">
        <f>B73/C73</f>
        <v>19.836666666666666</v>
      </c>
      <c r="E73" s="81"/>
      <c r="F73" s="82"/>
      <c r="I73" s="20"/>
      <c r="J73" s="20"/>
      <c r="K73" s="20"/>
      <c r="L73" s="20"/>
      <c r="M73" s="15"/>
      <c r="N73" s="65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</row>
    <row r="74" spans="1:46" s="18" customFormat="1" x14ac:dyDescent="0.3">
      <c r="A74" s="12" t="s">
        <v>38</v>
      </c>
      <c r="B74" s="2">
        <f>'GERAL 2021'!I20</f>
        <v>1.0710401891252954</v>
      </c>
      <c r="C74" s="88">
        <v>7</v>
      </c>
      <c r="D74" s="2">
        <f>B74*C74</f>
        <v>7.4972813238770684</v>
      </c>
      <c r="E74" s="88"/>
      <c r="F74" s="88"/>
      <c r="I74" s="20"/>
      <c r="J74" s="20"/>
      <c r="K74" s="20"/>
      <c r="L74" s="20"/>
      <c r="M74" s="11"/>
      <c r="N74" s="65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</row>
    <row r="75" spans="1:46" s="18" customFormat="1" x14ac:dyDescent="0.3">
      <c r="A75" s="79" t="s">
        <v>45</v>
      </c>
      <c r="B75" s="80"/>
      <c r="C75" s="82"/>
      <c r="D75" s="80"/>
      <c r="E75" s="81"/>
      <c r="F75" s="82"/>
      <c r="I75" s="20"/>
      <c r="J75" s="20"/>
      <c r="K75" s="20"/>
      <c r="L75" s="20"/>
      <c r="M75" s="11"/>
      <c r="N75" s="65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</row>
    <row r="76" spans="1:46" s="18" customFormat="1" x14ac:dyDescent="0.3">
      <c r="A76" s="12" t="s">
        <v>39</v>
      </c>
      <c r="B76" s="2"/>
      <c r="C76" s="88"/>
      <c r="D76" s="2"/>
      <c r="E76" s="88"/>
      <c r="F76" s="88"/>
      <c r="I76" s="20"/>
      <c r="J76" s="20"/>
      <c r="K76" s="20"/>
      <c r="M76" s="11"/>
      <c r="N76" s="65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</row>
    <row r="77" spans="1:46" s="18" customFormat="1" x14ac:dyDescent="0.3">
      <c r="A77" s="79" t="s">
        <v>49</v>
      </c>
      <c r="B77" s="80"/>
      <c r="C77" s="82"/>
      <c r="D77" s="80"/>
      <c r="E77" s="81"/>
      <c r="F77" s="82"/>
      <c r="I77" s="20"/>
      <c r="J77" s="20"/>
      <c r="K77" s="20"/>
      <c r="M77" s="14"/>
      <c r="N77" s="65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</row>
    <row r="78" spans="1:46" s="18" customFormat="1" x14ac:dyDescent="0.3">
      <c r="A78" s="12" t="s">
        <v>50</v>
      </c>
      <c r="B78" s="2"/>
      <c r="C78" s="88"/>
      <c r="D78" s="2"/>
      <c r="E78" s="88"/>
      <c r="F78" s="88"/>
      <c r="I78" s="20"/>
      <c r="J78" s="20"/>
      <c r="K78" s="20"/>
      <c r="M78" s="20"/>
      <c r="N78" s="65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</row>
    <row r="79" spans="1:46" s="18" customFormat="1" x14ac:dyDescent="0.3">
      <c r="A79" s="79" t="s">
        <v>43</v>
      </c>
      <c r="B79" s="80"/>
      <c r="C79" s="82"/>
      <c r="D79" s="80"/>
      <c r="E79" s="81"/>
      <c r="F79" s="82"/>
      <c r="I79" s="20"/>
      <c r="J79" s="20"/>
      <c r="K79" s="20"/>
      <c r="M79" s="20"/>
      <c r="N79" s="65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</row>
    <row r="80" spans="1:46" s="18" customFormat="1" x14ac:dyDescent="0.3">
      <c r="A80" s="12" t="s">
        <v>44</v>
      </c>
      <c r="B80" s="2"/>
      <c r="C80" s="88"/>
      <c r="D80" s="2"/>
      <c r="E80" s="88"/>
      <c r="F80" s="88"/>
      <c r="I80" s="20"/>
      <c r="J80" s="20"/>
      <c r="K80" s="20"/>
      <c r="M80" s="20"/>
      <c r="N80" s="65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</row>
    <row r="81" spans="1:45" s="32" customFormat="1" x14ac:dyDescent="0.3">
      <c r="A81" s="79" t="s">
        <v>51</v>
      </c>
      <c r="B81" s="80"/>
      <c r="C81" s="82"/>
      <c r="D81" s="80"/>
      <c r="E81" s="82"/>
      <c r="F81" s="80"/>
      <c r="I81" s="21"/>
      <c r="J81" s="21"/>
      <c r="K81" s="21"/>
      <c r="L81" s="18"/>
      <c r="M81" s="18"/>
      <c r="N81" s="65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</row>
    <row r="82" spans="1:45" s="32" customFormat="1" x14ac:dyDescent="0.3">
      <c r="A82" s="12" t="s">
        <v>52</v>
      </c>
      <c r="B82" s="2"/>
      <c r="C82" s="88"/>
      <c r="D82" s="2"/>
      <c r="E82" s="88"/>
      <c r="F82" s="67"/>
      <c r="G82" s="63"/>
      <c r="H82" s="63"/>
      <c r="L82" s="18"/>
      <c r="M82" s="18"/>
      <c r="N82" s="65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</row>
    <row r="83" spans="1:45" s="32" customFormat="1" x14ac:dyDescent="0.3">
      <c r="A83" s="79" t="s">
        <v>53</v>
      </c>
      <c r="B83" s="80"/>
      <c r="C83" s="82"/>
      <c r="D83" s="80"/>
      <c r="E83" s="82"/>
      <c r="F83" s="82"/>
      <c r="G83" s="11"/>
      <c r="H83" s="63"/>
      <c r="I83" s="21"/>
      <c r="J83" s="21"/>
      <c r="K83" s="21"/>
      <c r="N83" s="65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</row>
    <row r="84" spans="1:45" s="32" customFormat="1" ht="14.4" thickBot="1" x14ac:dyDescent="0.35">
      <c r="A84" s="59" t="s">
        <v>54</v>
      </c>
      <c r="B84" s="60"/>
      <c r="C84" s="61"/>
      <c r="D84" s="60"/>
      <c r="E84" s="61"/>
      <c r="F84" s="67"/>
      <c r="G84" s="21"/>
      <c r="H84" s="21"/>
      <c r="I84" s="21"/>
      <c r="J84" s="21"/>
      <c r="K84" s="21"/>
      <c r="M84" s="18"/>
      <c r="N84" s="65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</row>
    <row r="85" spans="1:45" s="32" customFormat="1" x14ac:dyDescent="0.3">
      <c r="A85" s="79" t="s">
        <v>78</v>
      </c>
      <c r="B85" s="80"/>
      <c r="C85" s="82"/>
      <c r="D85" s="80"/>
      <c r="E85" s="82"/>
      <c r="F85" s="82"/>
      <c r="G85" s="11"/>
      <c r="H85" s="63"/>
      <c r="I85" s="21"/>
      <c r="J85" s="21"/>
      <c r="K85" s="21"/>
      <c r="L85" s="21"/>
      <c r="M85" s="21"/>
      <c r="N85" s="65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</row>
    <row r="86" spans="1:45" s="32" customFormat="1" ht="14.4" thickBot="1" x14ac:dyDescent="0.35">
      <c r="A86" s="59" t="s">
        <v>79</v>
      </c>
      <c r="B86" s="60"/>
      <c r="C86" s="61"/>
      <c r="D86" s="60"/>
      <c r="E86" s="61"/>
      <c r="F86" s="67"/>
      <c r="G86" s="21"/>
      <c r="H86" s="21"/>
      <c r="I86" s="21"/>
      <c r="J86" s="21"/>
      <c r="K86" s="21"/>
      <c r="M86" s="18"/>
      <c r="N86" s="65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</row>
    <row r="87" spans="1:45" s="32" customFormat="1" x14ac:dyDescent="0.3">
      <c r="A87" s="79" t="s">
        <v>80</v>
      </c>
      <c r="B87" s="80">
        <f>'GERAL 2021'!K27</f>
        <v>119.7</v>
      </c>
      <c r="C87" s="82">
        <v>6</v>
      </c>
      <c r="D87" s="80">
        <f>B87/C87</f>
        <v>19.95</v>
      </c>
      <c r="E87" s="82"/>
      <c r="F87" s="82"/>
      <c r="G87" s="11"/>
      <c r="H87" s="63"/>
      <c r="I87" s="21"/>
      <c r="J87" s="21"/>
      <c r="K87" s="21"/>
      <c r="L87" s="21"/>
      <c r="M87" s="21"/>
      <c r="N87" s="65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</row>
    <row r="88" spans="1:45" s="32" customFormat="1" ht="14.4" thickBot="1" x14ac:dyDescent="0.35">
      <c r="A88" s="59" t="s">
        <v>81</v>
      </c>
      <c r="B88" s="60">
        <f>'GERAL 2021'!I27</f>
        <v>1.0710401891252954</v>
      </c>
      <c r="C88" s="61">
        <v>6</v>
      </c>
      <c r="D88" s="60">
        <f>B88*C88</f>
        <v>6.4262411347517725</v>
      </c>
      <c r="E88" s="61"/>
      <c r="F88" s="67"/>
      <c r="G88" s="21"/>
      <c r="H88" s="21"/>
      <c r="I88" s="21"/>
      <c r="J88" s="21"/>
      <c r="K88" s="21"/>
      <c r="M88" s="18"/>
      <c r="N88" s="65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</row>
    <row r="89" spans="1:45" s="32" customFormat="1" x14ac:dyDescent="0.3">
      <c r="A89" s="79" t="s">
        <v>82</v>
      </c>
      <c r="B89" s="80"/>
      <c r="C89" s="82"/>
      <c r="D89" s="80"/>
      <c r="E89" s="82"/>
      <c r="F89" s="82"/>
      <c r="G89" s="11"/>
      <c r="H89" s="63"/>
      <c r="I89" s="21"/>
      <c r="J89" s="21"/>
      <c r="K89" s="21"/>
      <c r="L89" s="21"/>
      <c r="M89" s="21"/>
      <c r="N89" s="65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</row>
    <row r="90" spans="1:45" s="32" customFormat="1" ht="14.4" thickBot="1" x14ac:dyDescent="0.35">
      <c r="A90" s="59" t="s">
        <v>83</v>
      </c>
      <c r="B90" s="60"/>
      <c r="C90" s="61"/>
      <c r="D90" s="60"/>
      <c r="E90" s="61"/>
      <c r="F90" s="67"/>
      <c r="G90" s="21"/>
      <c r="H90" s="21"/>
      <c r="I90" s="21"/>
      <c r="J90" s="21"/>
      <c r="K90" s="21"/>
      <c r="M90" s="18"/>
      <c r="N90" s="65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</row>
    <row r="91" spans="1:45" s="32" customFormat="1" x14ac:dyDescent="0.3">
      <c r="A91" s="79" t="s">
        <v>84</v>
      </c>
      <c r="B91" s="80">
        <f>'GERAL 2021'!K29</f>
        <v>119.02</v>
      </c>
      <c r="C91" s="82">
        <v>6</v>
      </c>
      <c r="D91" s="80">
        <f>B91/C91</f>
        <v>19.836666666666666</v>
      </c>
      <c r="E91" s="82"/>
      <c r="F91" s="82"/>
      <c r="G91" s="11"/>
      <c r="H91" s="63"/>
      <c r="I91" s="21"/>
      <c r="J91" s="21"/>
      <c r="K91" s="21"/>
      <c r="L91" s="21"/>
      <c r="M91" s="21"/>
      <c r="N91" s="65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</row>
    <row r="92" spans="1:45" s="32" customFormat="1" ht="14.4" thickBot="1" x14ac:dyDescent="0.35">
      <c r="A92" s="59" t="s">
        <v>85</v>
      </c>
      <c r="B92" s="60">
        <f>'GERAL 2021'!I29</f>
        <v>1.0710401891252954</v>
      </c>
      <c r="C92" s="61">
        <v>8</v>
      </c>
      <c r="D92" s="60">
        <f>B92*C92</f>
        <v>8.5683215130023633</v>
      </c>
      <c r="E92" s="61"/>
      <c r="F92" s="67"/>
      <c r="G92" s="66"/>
      <c r="H92" s="66"/>
      <c r="I92" s="66"/>
      <c r="J92" s="66"/>
      <c r="K92" s="66"/>
      <c r="L92" s="66"/>
      <c r="M92" s="66"/>
      <c r="N92" s="66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</row>
    <row r="93" spans="1:45" s="22" customFormat="1" x14ac:dyDescent="0.3">
      <c r="A93" s="32"/>
      <c r="B93" s="32"/>
      <c r="C93" s="32"/>
      <c r="D93" s="32"/>
      <c r="E93" s="32"/>
      <c r="F93" s="32"/>
      <c r="G93" s="32"/>
      <c r="H93" s="32"/>
      <c r="I93" s="21"/>
      <c r="J93" s="21"/>
      <c r="K93" s="21"/>
      <c r="L93" s="32"/>
      <c r="M93" s="32"/>
      <c r="N93" s="32"/>
    </row>
    <row r="94" spans="1:45" s="22" customFormat="1" x14ac:dyDescent="0.3">
      <c r="A94" s="32"/>
      <c r="B94" s="32"/>
      <c r="C94" s="32"/>
      <c r="D94" s="32"/>
      <c r="E94" s="32"/>
      <c r="F94" s="32"/>
      <c r="G94" s="32"/>
      <c r="H94" s="32"/>
      <c r="I94" s="21"/>
      <c r="J94" s="21"/>
      <c r="K94" s="21"/>
      <c r="L94" s="32"/>
      <c r="M94" s="32"/>
      <c r="N94" s="32"/>
    </row>
    <row r="95" spans="1:45" s="22" customFormat="1" x14ac:dyDescent="0.3">
      <c r="A95" s="32"/>
      <c r="B95" s="32"/>
      <c r="C95" s="32"/>
      <c r="D95" s="32"/>
      <c r="E95" s="32"/>
      <c r="F95" s="32"/>
      <c r="G95" s="32"/>
      <c r="H95" s="32"/>
      <c r="I95" s="21"/>
      <c r="J95" s="21"/>
      <c r="K95" s="21"/>
      <c r="L95" s="32"/>
      <c r="M95" s="32"/>
      <c r="N95" s="32"/>
    </row>
    <row r="96" spans="1:45" s="22" customFormat="1" x14ac:dyDescent="0.3">
      <c r="A96" s="32"/>
      <c r="B96" s="32"/>
      <c r="C96" s="32"/>
      <c r="D96" s="32"/>
      <c r="E96" s="32"/>
      <c r="F96" s="32"/>
      <c r="G96" s="32"/>
      <c r="H96" s="32"/>
      <c r="I96" s="21"/>
      <c r="J96" s="21"/>
      <c r="K96" s="21"/>
      <c r="L96" s="32"/>
      <c r="M96" s="32"/>
      <c r="N96" s="32"/>
    </row>
    <row r="97" spans="1:46" s="22" customFormat="1" x14ac:dyDescent="0.3">
      <c r="A97" s="32"/>
      <c r="B97" s="32"/>
      <c r="C97" s="32"/>
      <c r="D97" s="32"/>
      <c r="E97" s="32"/>
      <c r="F97" s="32"/>
      <c r="G97" s="32"/>
      <c r="H97" s="32"/>
      <c r="I97" s="21"/>
      <c r="J97" s="21"/>
      <c r="K97" s="21"/>
      <c r="L97" s="32"/>
      <c r="M97" s="32"/>
      <c r="N97" s="32"/>
    </row>
    <row r="98" spans="1:46" s="22" customFormat="1" x14ac:dyDescent="0.3">
      <c r="A98" s="32"/>
      <c r="B98" s="32"/>
      <c r="C98" s="32"/>
      <c r="D98" s="32"/>
      <c r="E98" s="32"/>
      <c r="F98" s="32"/>
      <c r="G98" s="32"/>
      <c r="H98" s="32"/>
      <c r="I98" s="21"/>
      <c r="J98" s="21"/>
      <c r="K98" s="21"/>
      <c r="L98" s="32"/>
      <c r="M98" s="32"/>
      <c r="N98" s="32"/>
    </row>
    <row r="99" spans="1:46" s="22" customFormat="1" x14ac:dyDescent="0.3">
      <c r="A99" s="32"/>
      <c r="B99" s="32"/>
      <c r="C99" s="32"/>
      <c r="D99" s="32"/>
      <c r="E99" s="32"/>
      <c r="F99" s="32"/>
      <c r="G99" s="32"/>
      <c r="H99" s="32"/>
      <c r="I99" s="23"/>
      <c r="J99" s="23"/>
      <c r="K99" s="23"/>
      <c r="L99" s="32"/>
      <c r="M99" s="32"/>
      <c r="N99" s="32"/>
      <c r="O99" s="6"/>
      <c r="P99" s="6"/>
    </row>
    <row r="100" spans="1:46" s="22" customFormat="1" x14ac:dyDescent="0.3">
      <c r="A100" s="32"/>
      <c r="B100" s="32"/>
      <c r="C100" s="32"/>
      <c r="D100" s="32"/>
      <c r="E100" s="32"/>
      <c r="F100" s="32"/>
      <c r="G100" s="32"/>
      <c r="H100" s="32"/>
      <c r="I100" s="23"/>
      <c r="J100" s="23"/>
      <c r="K100" s="23"/>
      <c r="L100" s="32"/>
      <c r="M100" s="32"/>
      <c r="N100" s="32"/>
      <c r="O100" s="6"/>
      <c r="P100" s="6"/>
    </row>
    <row r="101" spans="1:46" s="22" customFormat="1" x14ac:dyDescent="0.3">
      <c r="A101" s="32"/>
      <c r="B101" s="32"/>
      <c r="C101" s="32"/>
      <c r="D101" s="32"/>
      <c r="E101" s="32"/>
      <c r="F101" s="32"/>
      <c r="G101" s="32"/>
      <c r="H101" s="32"/>
      <c r="I101" s="21"/>
      <c r="J101" s="21"/>
      <c r="K101" s="21"/>
      <c r="L101" s="6"/>
      <c r="M101" s="32"/>
      <c r="N101" s="32"/>
    </row>
    <row r="102" spans="1:46" s="22" customFormat="1" x14ac:dyDescent="0.3">
      <c r="A102" s="32"/>
      <c r="B102" s="32"/>
      <c r="C102" s="32"/>
      <c r="D102" s="32"/>
      <c r="E102" s="32"/>
      <c r="F102" s="32"/>
      <c r="G102" s="32"/>
      <c r="H102" s="32"/>
      <c r="I102" s="21"/>
      <c r="J102" s="21"/>
      <c r="K102" s="21"/>
      <c r="L102" s="6"/>
      <c r="M102" s="32"/>
      <c r="N102" s="32"/>
    </row>
    <row r="103" spans="1:46" s="22" customFormat="1" x14ac:dyDescent="0.3">
      <c r="A103" s="32"/>
      <c r="B103" s="32"/>
      <c r="C103" s="32"/>
      <c r="D103" s="32"/>
      <c r="E103" s="32"/>
      <c r="F103" s="32"/>
      <c r="G103" s="32"/>
      <c r="H103" s="32"/>
      <c r="I103" s="21"/>
      <c r="J103" s="21"/>
      <c r="K103" s="21"/>
      <c r="L103" s="32"/>
      <c r="M103" s="32"/>
      <c r="N103" s="32"/>
    </row>
    <row r="104" spans="1:46" s="22" customFormat="1" x14ac:dyDescent="0.3">
      <c r="A104" s="32"/>
      <c r="B104" s="32"/>
      <c r="C104" s="32"/>
      <c r="D104" s="32"/>
      <c r="E104" s="32"/>
      <c r="F104" s="32"/>
      <c r="G104" s="32"/>
      <c r="H104" s="32"/>
      <c r="I104" s="21"/>
      <c r="J104" s="21"/>
      <c r="K104" s="21"/>
      <c r="L104" s="32"/>
      <c r="M104" s="32"/>
      <c r="N104" s="6"/>
      <c r="AT104" s="32"/>
    </row>
    <row r="105" spans="1:46" s="22" customFormat="1" x14ac:dyDescent="0.3">
      <c r="A105" s="32"/>
      <c r="B105" s="32"/>
      <c r="C105" s="32"/>
      <c r="D105" s="32"/>
      <c r="E105" s="32"/>
      <c r="F105" s="32"/>
      <c r="G105" s="32"/>
      <c r="H105" s="32"/>
      <c r="I105" s="21"/>
      <c r="J105" s="21"/>
      <c r="K105" s="21"/>
      <c r="L105" s="32"/>
      <c r="M105" s="32"/>
      <c r="N105" s="6"/>
      <c r="AT105" s="32"/>
    </row>
    <row r="106" spans="1:46" s="22" customFormat="1" x14ac:dyDescent="0.3">
      <c r="A106" s="32"/>
      <c r="B106" s="32"/>
      <c r="C106" s="32"/>
      <c r="D106" s="32"/>
      <c r="E106" s="32"/>
      <c r="F106" s="32"/>
      <c r="G106" s="32"/>
      <c r="H106" s="32"/>
      <c r="I106" s="21"/>
      <c r="J106" s="21"/>
      <c r="K106" s="21"/>
      <c r="L106" s="32"/>
      <c r="M106" s="6"/>
      <c r="N106" s="32"/>
      <c r="AT106" s="32"/>
    </row>
    <row r="107" spans="1:46" s="22" customFormat="1" x14ac:dyDescent="0.3">
      <c r="A107" s="32"/>
      <c r="B107" s="32"/>
      <c r="C107" s="32"/>
      <c r="D107" s="32"/>
      <c r="E107" s="32"/>
      <c r="F107" s="32"/>
      <c r="G107" s="32"/>
      <c r="H107" s="32"/>
      <c r="I107" s="21"/>
      <c r="J107" s="21"/>
      <c r="K107" s="21"/>
      <c r="L107" s="32"/>
      <c r="M107" s="6"/>
      <c r="N107" s="32"/>
      <c r="AT107" s="32"/>
    </row>
    <row r="108" spans="1:46" s="22" customFormat="1" x14ac:dyDescent="0.3">
      <c r="A108" s="32"/>
      <c r="B108" s="32"/>
      <c r="C108" s="32"/>
      <c r="D108" s="32"/>
      <c r="E108" s="32"/>
      <c r="F108" s="32"/>
      <c r="G108" s="32"/>
      <c r="H108" s="32"/>
      <c r="I108" s="21"/>
      <c r="J108" s="21"/>
      <c r="K108" s="21"/>
      <c r="L108" s="32"/>
      <c r="M108" s="32"/>
      <c r="N108" s="32"/>
      <c r="AT108" s="32"/>
    </row>
    <row r="109" spans="1:46" s="22" customFormat="1" x14ac:dyDescent="0.3">
      <c r="A109" s="32"/>
      <c r="B109" s="32"/>
      <c r="C109" s="32"/>
      <c r="D109" s="32"/>
      <c r="E109" s="32"/>
      <c r="F109" s="32"/>
      <c r="G109" s="6"/>
      <c r="H109" s="6"/>
      <c r="I109" s="21"/>
      <c r="J109" s="21"/>
      <c r="K109" s="21"/>
      <c r="L109" s="32"/>
      <c r="M109" s="32"/>
      <c r="N109" s="32"/>
      <c r="AT109" s="32"/>
    </row>
    <row r="110" spans="1:46" s="22" customFormat="1" x14ac:dyDescent="0.3">
      <c r="A110" s="32"/>
      <c r="B110" s="32"/>
      <c r="C110" s="32"/>
      <c r="D110" s="32"/>
      <c r="E110" s="32"/>
      <c r="F110" s="32"/>
      <c r="G110" s="6"/>
      <c r="H110" s="6"/>
      <c r="I110" s="21"/>
      <c r="J110" s="21"/>
      <c r="K110" s="21"/>
      <c r="L110" s="32"/>
      <c r="M110" s="32"/>
      <c r="N110" s="32"/>
      <c r="AT110" s="32"/>
    </row>
    <row r="111" spans="1:46" s="22" customFormat="1" x14ac:dyDescent="0.3">
      <c r="A111" s="32"/>
      <c r="B111" s="32"/>
      <c r="C111" s="32"/>
      <c r="D111" s="32"/>
      <c r="E111" s="32"/>
      <c r="F111" s="32"/>
      <c r="G111" s="32"/>
      <c r="H111" s="32"/>
      <c r="I111" s="21"/>
      <c r="J111" s="21"/>
      <c r="K111" s="21"/>
      <c r="L111" s="32"/>
      <c r="M111" s="32"/>
      <c r="N111" s="32"/>
      <c r="AT111" s="32"/>
    </row>
    <row r="112" spans="1:46" s="22" customFormat="1" x14ac:dyDescent="0.3">
      <c r="A112" s="32"/>
      <c r="B112" s="32"/>
      <c r="C112" s="32"/>
      <c r="D112" s="32"/>
      <c r="E112" s="32"/>
      <c r="F112" s="32"/>
      <c r="G112" s="32"/>
      <c r="H112" s="32"/>
      <c r="I112" s="21"/>
      <c r="J112" s="21"/>
      <c r="K112" s="21"/>
      <c r="L112" s="32"/>
      <c r="M112" s="32"/>
      <c r="N112" s="32"/>
      <c r="AT112" s="32"/>
    </row>
    <row r="113" spans="1:46" s="22" customFormat="1" x14ac:dyDescent="0.3">
      <c r="A113" s="32"/>
      <c r="B113" s="32"/>
      <c r="C113" s="32"/>
      <c r="D113" s="32"/>
      <c r="E113" s="32"/>
      <c r="F113" s="32"/>
      <c r="G113" s="32"/>
      <c r="H113" s="32"/>
      <c r="I113" s="21"/>
      <c r="J113" s="21"/>
      <c r="K113" s="21"/>
      <c r="L113" s="32"/>
      <c r="M113" s="32"/>
      <c r="N113" s="32"/>
      <c r="AT113" s="32"/>
    </row>
    <row r="114" spans="1:46" s="22" customFormat="1" x14ac:dyDescent="0.3">
      <c r="A114" s="32"/>
      <c r="B114" s="32"/>
      <c r="C114" s="32"/>
      <c r="D114" s="32"/>
      <c r="E114" s="32"/>
      <c r="F114" s="32"/>
      <c r="G114" s="32"/>
      <c r="H114" s="32"/>
      <c r="I114" s="21"/>
      <c r="J114" s="21"/>
      <c r="K114" s="21"/>
      <c r="L114" s="32"/>
      <c r="M114" s="32"/>
      <c r="N114" s="32"/>
      <c r="AT114" s="32"/>
    </row>
    <row r="115" spans="1:46" s="22" customFormat="1" x14ac:dyDescent="0.3">
      <c r="A115" s="32"/>
      <c r="B115" s="32"/>
      <c r="C115" s="32"/>
      <c r="D115" s="32"/>
      <c r="E115" s="32"/>
      <c r="F115" s="32"/>
      <c r="G115" s="32"/>
      <c r="H115" s="32"/>
      <c r="I115" s="21"/>
      <c r="J115" s="21"/>
      <c r="K115" s="21"/>
      <c r="L115" s="32"/>
      <c r="M115" s="32"/>
      <c r="N115" s="32"/>
      <c r="AT115" s="32"/>
    </row>
    <row r="116" spans="1:46" s="22" customFormat="1" x14ac:dyDescent="0.3">
      <c r="A116" s="32"/>
      <c r="B116" s="32"/>
      <c r="C116" s="32"/>
      <c r="D116" s="32"/>
      <c r="E116" s="32"/>
      <c r="F116" s="32"/>
      <c r="G116" s="32"/>
      <c r="H116" s="32"/>
      <c r="I116" s="21"/>
      <c r="J116" s="21"/>
      <c r="K116" s="21"/>
      <c r="L116" s="32"/>
      <c r="M116" s="32"/>
      <c r="N116" s="32"/>
      <c r="AT116" s="32"/>
    </row>
    <row r="117" spans="1:46" s="22" customFormat="1" x14ac:dyDescent="0.3">
      <c r="A117" s="32"/>
      <c r="B117" s="32"/>
      <c r="C117" s="32"/>
      <c r="D117" s="32"/>
      <c r="E117" s="32"/>
      <c r="F117" s="32"/>
      <c r="G117" s="32"/>
      <c r="H117" s="32"/>
      <c r="I117" s="21"/>
      <c r="J117" s="21"/>
      <c r="K117" s="21"/>
      <c r="L117" s="32"/>
      <c r="M117" s="32"/>
      <c r="N117" s="32"/>
      <c r="AT117" s="32"/>
    </row>
    <row r="118" spans="1:46" s="22" customFormat="1" x14ac:dyDescent="0.3">
      <c r="A118" s="32"/>
      <c r="B118" s="32"/>
      <c r="C118" s="32"/>
      <c r="D118" s="32"/>
      <c r="E118" s="32"/>
      <c r="F118" s="32"/>
      <c r="G118" s="32"/>
      <c r="H118" s="32"/>
      <c r="I118" s="21"/>
      <c r="J118" s="21"/>
      <c r="K118" s="21"/>
      <c r="L118" s="32"/>
      <c r="M118" s="32"/>
      <c r="N118" s="32"/>
      <c r="AT118" s="32"/>
    </row>
    <row r="119" spans="1:46" s="22" customFormat="1" x14ac:dyDescent="0.3">
      <c r="A119" s="32"/>
      <c r="B119" s="32"/>
      <c r="C119" s="32"/>
      <c r="D119" s="32"/>
      <c r="E119" s="32"/>
      <c r="F119" s="32"/>
      <c r="G119" s="32"/>
      <c r="H119" s="32"/>
      <c r="I119" s="21"/>
      <c r="J119" s="21"/>
      <c r="K119" s="21"/>
      <c r="L119" s="32"/>
      <c r="M119" s="32"/>
      <c r="N119" s="32"/>
      <c r="AT119" s="32"/>
    </row>
    <row r="120" spans="1:46" s="22" customFormat="1" x14ac:dyDescent="0.3">
      <c r="A120" s="32"/>
      <c r="B120" s="32"/>
      <c r="C120" s="32"/>
      <c r="D120" s="32"/>
      <c r="E120" s="32"/>
      <c r="F120" s="32"/>
      <c r="G120" s="32"/>
      <c r="H120" s="32"/>
      <c r="I120" s="21"/>
      <c r="J120" s="21"/>
      <c r="K120" s="21"/>
      <c r="L120" s="32"/>
      <c r="M120" s="32"/>
      <c r="N120" s="32"/>
      <c r="AT120" s="32"/>
    </row>
    <row r="121" spans="1:46" s="22" customFormat="1" x14ac:dyDescent="0.3">
      <c r="A121" s="32"/>
      <c r="B121" s="32"/>
      <c r="C121" s="32"/>
      <c r="D121" s="32"/>
      <c r="E121" s="32"/>
      <c r="F121" s="32"/>
      <c r="G121" s="32"/>
      <c r="H121" s="32"/>
      <c r="I121" s="21"/>
      <c r="J121" s="21"/>
      <c r="K121" s="21"/>
      <c r="L121" s="32"/>
      <c r="M121" s="32"/>
      <c r="N121" s="32"/>
      <c r="AT121" s="32"/>
    </row>
    <row r="122" spans="1:46" s="22" customFormat="1" x14ac:dyDescent="0.3">
      <c r="A122" s="32"/>
      <c r="B122" s="32"/>
      <c r="C122" s="32"/>
      <c r="D122" s="32"/>
      <c r="E122" s="32"/>
      <c r="F122" s="32"/>
      <c r="G122" s="32"/>
      <c r="H122" s="32"/>
      <c r="I122" s="21"/>
      <c r="J122" s="21"/>
      <c r="K122" s="21"/>
      <c r="L122" s="32"/>
      <c r="M122" s="32"/>
      <c r="N122" s="32"/>
      <c r="AT122" s="32"/>
    </row>
    <row r="123" spans="1:46" s="22" customFormat="1" x14ac:dyDescent="0.3">
      <c r="A123" s="32"/>
      <c r="B123" s="32"/>
      <c r="C123" s="32"/>
      <c r="D123" s="32"/>
      <c r="E123" s="32"/>
      <c r="F123" s="32"/>
      <c r="G123" s="32"/>
      <c r="H123" s="32"/>
      <c r="I123" s="21"/>
      <c r="J123" s="21"/>
      <c r="K123" s="21"/>
      <c r="L123" s="32"/>
      <c r="M123" s="32"/>
      <c r="N123" s="32"/>
      <c r="AT123" s="32"/>
    </row>
    <row r="124" spans="1:46" s="22" customFormat="1" x14ac:dyDescent="0.3">
      <c r="A124" s="32"/>
      <c r="B124" s="32"/>
      <c r="C124" s="32"/>
      <c r="D124" s="32"/>
      <c r="E124" s="32"/>
      <c r="F124" s="32"/>
      <c r="G124" s="32"/>
      <c r="H124" s="32"/>
      <c r="I124" s="21"/>
      <c r="J124" s="21"/>
      <c r="K124" s="21"/>
      <c r="L124" s="32"/>
      <c r="M124" s="32"/>
      <c r="N124" s="32"/>
      <c r="AT124" s="32"/>
    </row>
    <row r="125" spans="1:46" s="22" customFormat="1" x14ac:dyDescent="0.3">
      <c r="A125" s="32"/>
      <c r="B125" s="32"/>
      <c r="C125" s="32"/>
      <c r="D125" s="32"/>
      <c r="E125" s="32"/>
      <c r="F125" s="32"/>
      <c r="G125" s="32"/>
      <c r="H125" s="32"/>
      <c r="I125" s="21"/>
      <c r="J125" s="21"/>
      <c r="K125" s="21"/>
      <c r="L125" s="32"/>
      <c r="M125" s="32"/>
      <c r="N125" s="32"/>
      <c r="AT125" s="32"/>
    </row>
    <row r="126" spans="1:46" s="22" customFormat="1" x14ac:dyDescent="0.3">
      <c r="A126" s="32"/>
      <c r="B126" s="32"/>
      <c r="C126" s="32"/>
      <c r="D126" s="32"/>
      <c r="E126" s="32"/>
      <c r="F126" s="32"/>
      <c r="G126" s="32"/>
      <c r="H126" s="32"/>
      <c r="I126" s="21"/>
      <c r="J126" s="21"/>
      <c r="K126" s="21"/>
      <c r="L126" s="32"/>
      <c r="M126" s="32"/>
      <c r="N126" s="32"/>
      <c r="AT126" s="32"/>
    </row>
    <row r="127" spans="1:46" s="22" customFormat="1" x14ac:dyDescent="0.3">
      <c r="A127" s="32"/>
      <c r="B127" s="32"/>
      <c r="C127" s="32"/>
      <c r="D127" s="32"/>
      <c r="E127" s="32"/>
      <c r="F127" s="32"/>
      <c r="G127" s="32"/>
      <c r="H127" s="32"/>
      <c r="I127" s="21"/>
      <c r="J127" s="21"/>
      <c r="K127" s="21"/>
      <c r="L127" s="32"/>
      <c r="M127" s="32"/>
      <c r="N127" s="32"/>
      <c r="AT127" s="32"/>
    </row>
    <row r="128" spans="1:46" s="22" customFormat="1" x14ac:dyDescent="0.3">
      <c r="A128" s="32"/>
      <c r="B128" s="32"/>
      <c r="C128" s="32"/>
      <c r="D128" s="32"/>
      <c r="E128" s="32"/>
      <c r="F128" s="32"/>
      <c r="G128" s="32"/>
      <c r="H128" s="32"/>
      <c r="I128" s="21"/>
      <c r="J128" s="21"/>
      <c r="K128" s="21"/>
      <c r="L128" s="32"/>
      <c r="M128" s="32"/>
      <c r="N128" s="32"/>
      <c r="AT128" s="32"/>
    </row>
    <row r="129" spans="1:46" s="22" customFormat="1" x14ac:dyDescent="0.3">
      <c r="A129" s="32"/>
      <c r="B129" s="32"/>
      <c r="C129" s="32"/>
      <c r="D129" s="32"/>
      <c r="E129" s="32"/>
      <c r="F129" s="32"/>
      <c r="G129" s="32"/>
      <c r="H129" s="32"/>
      <c r="I129" s="21"/>
      <c r="J129" s="21"/>
      <c r="K129" s="21"/>
      <c r="L129" s="32"/>
      <c r="M129" s="32"/>
      <c r="N129" s="32"/>
      <c r="AT129" s="32"/>
    </row>
    <row r="130" spans="1:46" s="22" customFormat="1" x14ac:dyDescent="0.3">
      <c r="A130" s="32"/>
      <c r="B130" s="32"/>
      <c r="C130" s="32"/>
      <c r="D130" s="32"/>
      <c r="E130" s="32"/>
      <c r="F130" s="32"/>
      <c r="G130" s="32"/>
      <c r="H130" s="32"/>
      <c r="I130" s="21"/>
      <c r="J130" s="21"/>
      <c r="K130" s="21"/>
      <c r="L130" s="32"/>
      <c r="M130" s="32"/>
      <c r="N130" s="32"/>
      <c r="AT130" s="32"/>
    </row>
    <row r="131" spans="1:46" s="22" customFormat="1" x14ac:dyDescent="0.3">
      <c r="A131" s="32"/>
      <c r="B131" s="32"/>
      <c r="C131" s="32"/>
      <c r="D131" s="32"/>
      <c r="E131" s="32"/>
      <c r="F131" s="32"/>
      <c r="G131" s="32"/>
      <c r="H131" s="32"/>
      <c r="I131" s="21"/>
      <c r="J131" s="21"/>
      <c r="K131" s="21"/>
      <c r="L131" s="32"/>
      <c r="M131" s="32"/>
      <c r="N131" s="32"/>
      <c r="AT131" s="32"/>
    </row>
    <row r="132" spans="1:46" s="22" customFormat="1" x14ac:dyDescent="0.3">
      <c r="A132" s="32"/>
      <c r="B132" s="32"/>
      <c r="C132" s="32"/>
      <c r="D132" s="32"/>
      <c r="E132" s="32"/>
      <c r="F132" s="32"/>
      <c r="G132" s="32"/>
      <c r="H132" s="32"/>
      <c r="I132" s="21"/>
      <c r="J132" s="21"/>
      <c r="K132" s="21"/>
      <c r="L132" s="32"/>
      <c r="M132" s="32"/>
      <c r="N132" s="32"/>
      <c r="AT132" s="32"/>
    </row>
    <row r="133" spans="1:46" s="22" customFormat="1" x14ac:dyDescent="0.3">
      <c r="A133" s="32"/>
      <c r="B133" s="32"/>
      <c r="C133" s="32"/>
      <c r="D133" s="32"/>
      <c r="E133" s="32"/>
      <c r="F133" s="32"/>
      <c r="G133" s="32"/>
      <c r="H133" s="32"/>
      <c r="I133" s="21"/>
      <c r="J133" s="21"/>
      <c r="K133" s="21"/>
      <c r="L133" s="32"/>
      <c r="M133" s="32"/>
      <c r="N133" s="32"/>
      <c r="AT133" s="32"/>
    </row>
    <row r="134" spans="1:46" s="22" customFormat="1" x14ac:dyDescent="0.3">
      <c r="A134" s="32"/>
      <c r="B134" s="32"/>
      <c r="C134" s="32"/>
      <c r="D134" s="32"/>
      <c r="E134" s="32"/>
      <c r="F134" s="32"/>
      <c r="G134" s="32"/>
      <c r="H134" s="32"/>
      <c r="I134" s="21"/>
      <c r="J134" s="21"/>
      <c r="K134" s="21"/>
      <c r="L134" s="32"/>
      <c r="M134" s="32"/>
      <c r="N134" s="32"/>
      <c r="AT134" s="32"/>
    </row>
    <row r="135" spans="1:46" s="22" customFormat="1" x14ac:dyDescent="0.3">
      <c r="A135" s="32"/>
      <c r="B135" s="32"/>
      <c r="C135" s="32"/>
      <c r="D135" s="32"/>
      <c r="E135" s="32"/>
      <c r="F135" s="32"/>
      <c r="G135" s="32"/>
      <c r="H135" s="32"/>
      <c r="I135" s="21"/>
      <c r="J135" s="21"/>
      <c r="K135" s="21"/>
      <c r="L135" s="32"/>
      <c r="M135" s="32"/>
      <c r="N135" s="32"/>
      <c r="AT135" s="32"/>
    </row>
    <row r="136" spans="1:46" s="22" customFormat="1" x14ac:dyDescent="0.3">
      <c r="A136" s="32"/>
      <c r="B136" s="32"/>
      <c r="C136" s="32"/>
      <c r="D136" s="32"/>
      <c r="E136" s="32"/>
      <c r="F136" s="32"/>
      <c r="G136" s="32"/>
      <c r="H136" s="32"/>
      <c r="I136" s="24"/>
      <c r="J136" s="24"/>
      <c r="K136" s="24"/>
      <c r="L136" s="32"/>
      <c r="M136" s="32"/>
      <c r="N136" s="32"/>
      <c r="AT136" s="32"/>
    </row>
    <row r="137" spans="1:46" s="22" customFormat="1" x14ac:dyDescent="0.3">
      <c r="A137" s="32"/>
      <c r="B137" s="32"/>
      <c r="C137" s="32"/>
      <c r="D137" s="32"/>
      <c r="E137" s="32"/>
      <c r="F137" s="32"/>
      <c r="G137" s="32"/>
      <c r="H137" s="32"/>
      <c r="I137" s="24"/>
      <c r="J137" s="24"/>
      <c r="K137" s="24"/>
      <c r="L137" s="32"/>
      <c r="M137" s="32"/>
      <c r="N137" s="32"/>
      <c r="AT137" s="32"/>
    </row>
    <row r="138" spans="1:46" s="22" customFormat="1" x14ac:dyDescent="0.3">
      <c r="A138" s="32"/>
      <c r="B138" s="32"/>
      <c r="C138" s="32"/>
      <c r="D138" s="32"/>
      <c r="E138" s="32"/>
      <c r="F138" s="32"/>
      <c r="G138" s="32"/>
      <c r="H138" s="32"/>
      <c r="I138" s="24"/>
      <c r="J138" s="24"/>
      <c r="K138" s="24"/>
      <c r="L138" s="25"/>
      <c r="M138" s="32"/>
      <c r="N138" s="32"/>
      <c r="AT138" s="32"/>
    </row>
    <row r="139" spans="1:46" s="22" customFormat="1" x14ac:dyDescent="0.3">
      <c r="A139" s="32"/>
      <c r="B139" s="32"/>
      <c r="C139" s="32"/>
      <c r="D139" s="32"/>
      <c r="E139" s="32"/>
      <c r="F139" s="32"/>
      <c r="G139" s="32"/>
      <c r="H139" s="32"/>
      <c r="I139" s="24"/>
      <c r="J139" s="24"/>
      <c r="K139" s="24"/>
      <c r="L139" s="25"/>
      <c r="M139" s="32"/>
      <c r="N139" s="32"/>
      <c r="AT139" s="32"/>
    </row>
    <row r="140" spans="1:46" s="22" customFormat="1" x14ac:dyDescent="0.3">
      <c r="A140" s="32"/>
      <c r="B140" s="32"/>
      <c r="C140" s="32"/>
      <c r="D140" s="32"/>
      <c r="E140" s="32"/>
      <c r="F140" s="32"/>
      <c r="G140" s="32"/>
      <c r="H140" s="32"/>
      <c r="I140" s="24"/>
      <c r="J140" s="24"/>
      <c r="K140" s="24"/>
      <c r="L140" s="25"/>
      <c r="M140" s="32"/>
      <c r="AT140" s="32"/>
    </row>
    <row r="141" spans="1:46" s="22" customFormat="1" x14ac:dyDescent="0.3">
      <c r="A141" s="32"/>
      <c r="B141" s="32"/>
      <c r="C141" s="32"/>
      <c r="D141" s="32"/>
      <c r="E141" s="32"/>
      <c r="F141" s="32"/>
      <c r="G141" s="32"/>
      <c r="H141" s="32"/>
      <c r="I141" s="24"/>
      <c r="J141" s="24"/>
      <c r="K141" s="24"/>
      <c r="L141" s="25"/>
      <c r="M141" s="32"/>
      <c r="AT141" s="32"/>
    </row>
    <row r="142" spans="1:46" s="22" customFormat="1" x14ac:dyDescent="0.3">
      <c r="A142" s="32"/>
      <c r="B142" s="32"/>
      <c r="C142" s="32"/>
      <c r="D142" s="32"/>
      <c r="E142" s="32"/>
      <c r="F142" s="32"/>
      <c r="G142" s="32"/>
      <c r="H142" s="32"/>
      <c r="I142" s="24"/>
      <c r="J142" s="24"/>
      <c r="K142" s="24"/>
      <c r="L142" s="25"/>
      <c r="M142" s="32"/>
      <c r="AT142" s="32"/>
    </row>
    <row r="143" spans="1:46" s="22" customFormat="1" x14ac:dyDescent="0.3">
      <c r="A143" s="32"/>
      <c r="B143" s="32"/>
      <c r="C143" s="32"/>
      <c r="D143" s="32"/>
      <c r="E143" s="32"/>
      <c r="F143" s="32"/>
      <c r="G143" s="32"/>
      <c r="H143" s="32"/>
      <c r="I143" s="24"/>
      <c r="J143" s="24"/>
      <c r="K143" s="24"/>
      <c r="L143" s="25"/>
      <c r="M143" s="25"/>
      <c r="AT143" s="32"/>
    </row>
    <row r="144" spans="1:46" s="22" customFormat="1" x14ac:dyDescent="0.3">
      <c r="A144" s="32"/>
      <c r="B144" s="32"/>
      <c r="C144" s="32"/>
      <c r="D144" s="32"/>
      <c r="E144" s="32"/>
      <c r="F144" s="32"/>
      <c r="G144" s="32"/>
      <c r="H144" s="32"/>
      <c r="I144" s="24"/>
      <c r="J144" s="24"/>
      <c r="K144" s="24"/>
      <c r="L144" s="25"/>
      <c r="M144" s="25"/>
      <c r="AT144" s="32"/>
    </row>
    <row r="145" spans="1:46" s="22" customFormat="1" x14ac:dyDescent="0.3">
      <c r="A145" s="32"/>
      <c r="B145" s="32"/>
      <c r="C145" s="32"/>
      <c r="D145" s="32"/>
      <c r="E145" s="32"/>
      <c r="F145" s="32"/>
      <c r="G145" s="32"/>
      <c r="H145" s="32"/>
      <c r="I145" s="24"/>
      <c r="J145" s="24"/>
      <c r="K145" s="24"/>
      <c r="L145" s="25"/>
      <c r="M145" s="25"/>
      <c r="AT145" s="32"/>
    </row>
    <row r="146" spans="1:46" s="22" customFormat="1" x14ac:dyDescent="0.3">
      <c r="I146" s="24"/>
      <c r="J146" s="24"/>
      <c r="K146" s="24"/>
      <c r="L146" s="25"/>
      <c r="M146" s="25"/>
      <c r="AT146" s="32"/>
    </row>
    <row r="147" spans="1:46" s="22" customFormat="1" x14ac:dyDescent="0.3">
      <c r="I147" s="24"/>
      <c r="J147" s="24"/>
      <c r="K147" s="24"/>
      <c r="L147" s="25"/>
      <c r="M147" s="25"/>
      <c r="AT147" s="32"/>
    </row>
    <row r="148" spans="1:46" s="22" customFormat="1" x14ac:dyDescent="0.3">
      <c r="I148" s="24"/>
      <c r="J148" s="24"/>
      <c r="K148" s="24"/>
      <c r="L148" s="25"/>
      <c r="M148" s="25"/>
      <c r="AT148" s="32"/>
    </row>
    <row r="149" spans="1:46" s="22" customFormat="1" x14ac:dyDescent="0.3">
      <c r="I149" s="24"/>
      <c r="J149" s="24"/>
      <c r="K149" s="24"/>
      <c r="L149" s="25"/>
      <c r="M149" s="25"/>
      <c r="AT149" s="32"/>
    </row>
    <row r="150" spans="1:46" s="22" customFormat="1" x14ac:dyDescent="0.3">
      <c r="I150" s="24"/>
      <c r="J150" s="24"/>
      <c r="K150" s="24"/>
      <c r="L150" s="25"/>
      <c r="M150" s="25"/>
      <c r="AT150" s="32"/>
    </row>
    <row r="151" spans="1:46" s="22" customFormat="1" x14ac:dyDescent="0.3">
      <c r="I151" s="24"/>
      <c r="J151" s="24"/>
      <c r="K151" s="24"/>
      <c r="L151" s="25"/>
      <c r="M151" s="25"/>
      <c r="AT151" s="32"/>
    </row>
    <row r="152" spans="1:46" s="22" customFormat="1" x14ac:dyDescent="0.3">
      <c r="I152" s="24"/>
      <c r="J152" s="24"/>
      <c r="K152" s="24"/>
      <c r="L152" s="25"/>
      <c r="M152" s="25"/>
      <c r="AT152" s="32"/>
    </row>
    <row r="153" spans="1:46" s="22" customFormat="1" x14ac:dyDescent="0.3">
      <c r="I153" s="24"/>
      <c r="J153" s="24"/>
      <c r="K153" s="24"/>
      <c r="L153" s="25"/>
      <c r="M153" s="25"/>
      <c r="AT153" s="32"/>
    </row>
    <row r="154" spans="1:46" s="22" customFormat="1" x14ac:dyDescent="0.3">
      <c r="I154" s="24"/>
      <c r="J154" s="24"/>
      <c r="K154" s="24"/>
      <c r="L154" s="25"/>
      <c r="M154" s="25"/>
      <c r="AT154" s="32"/>
    </row>
    <row r="155" spans="1:46" s="22" customFormat="1" x14ac:dyDescent="0.3">
      <c r="I155" s="24"/>
      <c r="J155" s="24"/>
      <c r="K155" s="24"/>
      <c r="L155" s="25"/>
      <c r="M155" s="25"/>
      <c r="AT155" s="32"/>
    </row>
    <row r="156" spans="1:46" s="22" customFormat="1" x14ac:dyDescent="0.3">
      <c r="I156" s="24"/>
      <c r="J156" s="24"/>
      <c r="K156" s="24"/>
      <c r="L156" s="25"/>
      <c r="M156" s="25"/>
      <c r="AT156" s="32"/>
    </row>
    <row r="157" spans="1:46" s="22" customFormat="1" x14ac:dyDescent="0.3">
      <c r="I157" s="24"/>
      <c r="J157" s="24"/>
      <c r="K157" s="24"/>
      <c r="L157" s="25"/>
      <c r="M157" s="25"/>
      <c r="AT157" s="32"/>
    </row>
    <row r="158" spans="1:46" s="22" customFormat="1" x14ac:dyDescent="0.3">
      <c r="I158" s="24"/>
      <c r="J158" s="24"/>
      <c r="K158" s="24"/>
      <c r="L158" s="25"/>
      <c r="M158" s="25"/>
      <c r="AT158" s="32"/>
    </row>
    <row r="159" spans="1:46" s="22" customFormat="1" x14ac:dyDescent="0.3">
      <c r="I159" s="24"/>
      <c r="J159" s="24"/>
      <c r="K159" s="24"/>
      <c r="L159" s="25"/>
      <c r="M159" s="25"/>
      <c r="AT159" s="32"/>
    </row>
    <row r="160" spans="1:46" s="22" customFormat="1" x14ac:dyDescent="0.3">
      <c r="I160" s="24"/>
      <c r="J160" s="24"/>
      <c r="K160" s="24"/>
      <c r="L160" s="25"/>
      <c r="M160" s="25"/>
      <c r="AT160" s="32"/>
    </row>
    <row r="161" spans="9:46" s="22" customFormat="1" x14ac:dyDescent="0.3">
      <c r="I161" s="24"/>
      <c r="J161" s="24"/>
      <c r="K161" s="24"/>
      <c r="L161" s="25"/>
      <c r="M161" s="25"/>
      <c r="AT161" s="32"/>
    </row>
    <row r="162" spans="9:46" s="22" customFormat="1" x14ac:dyDescent="0.3">
      <c r="I162" s="24"/>
      <c r="J162" s="24"/>
      <c r="K162" s="24"/>
      <c r="L162" s="25"/>
      <c r="M162" s="25"/>
      <c r="AT162" s="32"/>
    </row>
    <row r="163" spans="9:46" s="22" customFormat="1" x14ac:dyDescent="0.3">
      <c r="I163" s="24"/>
      <c r="J163" s="24"/>
      <c r="K163" s="24"/>
      <c r="L163" s="25"/>
      <c r="M163" s="25"/>
      <c r="AT163" s="32"/>
    </row>
    <row r="164" spans="9:46" s="22" customFormat="1" x14ac:dyDescent="0.3">
      <c r="I164" s="24"/>
      <c r="J164" s="24"/>
      <c r="K164" s="24"/>
      <c r="L164" s="25"/>
      <c r="M164" s="25"/>
      <c r="AT164" s="32"/>
    </row>
    <row r="165" spans="9:46" s="22" customFormat="1" x14ac:dyDescent="0.3">
      <c r="I165" s="24"/>
      <c r="J165" s="24"/>
      <c r="K165" s="24"/>
      <c r="L165" s="25"/>
      <c r="M165" s="25"/>
      <c r="AT165" s="32"/>
    </row>
    <row r="166" spans="9:46" s="22" customFormat="1" x14ac:dyDescent="0.3">
      <c r="I166" s="24"/>
      <c r="J166" s="24"/>
      <c r="K166" s="24"/>
      <c r="L166" s="25"/>
      <c r="M166" s="25"/>
      <c r="AT166" s="32"/>
    </row>
    <row r="167" spans="9:46" s="22" customFormat="1" x14ac:dyDescent="0.3">
      <c r="I167" s="24"/>
      <c r="J167" s="24"/>
      <c r="K167" s="24"/>
      <c r="L167" s="25"/>
      <c r="M167" s="25"/>
      <c r="AT167" s="32"/>
    </row>
    <row r="168" spans="9:46" s="22" customFormat="1" x14ac:dyDescent="0.3">
      <c r="I168" s="24"/>
      <c r="J168" s="24"/>
      <c r="K168" s="24"/>
      <c r="L168" s="25"/>
      <c r="M168" s="25"/>
      <c r="AT168" s="32"/>
    </row>
    <row r="169" spans="9:46" s="22" customFormat="1" x14ac:dyDescent="0.3">
      <c r="I169" s="24"/>
      <c r="J169" s="24"/>
      <c r="K169" s="24"/>
      <c r="L169" s="25"/>
      <c r="M169" s="25"/>
      <c r="AT169" s="32"/>
    </row>
    <row r="170" spans="9:46" s="22" customFormat="1" x14ac:dyDescent="0.3">
      <c r="I170" s="24"/>
      <c r="J170" s="24"/>
      <c r="K170" s="24"/>
      <c r="L170" s="25"/>
      <c r="M170" s="25"/>
      <c r="AT170" s="32"/>
    </row>
    <row r="171" spans="9:46" s="22" customFormat="1" x14ac:dyDescent="0.3">
      <c r="I171" s="24"/>
      <c r="J171" s="24"/>
      <c r="K171" s="24"/>
      <c r="L171" s="25"/>
      <c r="M171" s="25"/>
      <c r="AT171" s="32"/>
    </row>
    <row r="172" spans="9:46" s="22" customFormat="1" x14ac:dyDescent="0.3">
      <c r="I172" s="24"/>
      <c r="J172" s="24"/>
      <c r="K172" s="24"/>
      <c r="L172" s="25"/>
      <c r="M172" s="25"/>
      <c r="AT172" s="32"/>
    </row>
    <row r="173" spans="9:46" s="22" customFormat="1" x14ac:dyDescent="0.3">
      <c r="I173" s="24"/>
      <c r="J173" s="24"/>
      <c r="K173" s="24"/>
      <c r="L173" s="25"/>
      <c r="M173" s="25"/>
      <c r="AT173" s="32"/>
    </row>
    <row r="174" spans="9:46" s="22" customFormat="1" x14ac:dyDescent="0.3">
      <c r="I174" s="24"/>
      <c r="J174" s="24"/>
      <c r="K174" s="24"/>
      <c r="L174" s="25"/>
      <c r="M174" s="25"/>
      <c r="AT174" s="32"/>
    </row>
    <row r="175" spans="9:46" s="22" customFormat="1" x14ac:dyDescent="0.3">
      <c r="I175" s="24"/>
      <c r="J175" s="24"/>
      <c r="K175" s="24"/>
      <c r="L175" s="25"/>
      <c r="M175" s="25"/>
      <c r="AT175" s="32"/>
    </row>
    <row r="176" spans="9:46" s="22" customFormat="1" x14ac:dyDescent="0.3">
      <c r="I176" s="24"/>
      <c r="J176" s="24"/>
      <c r="K176" s="24"/>
      <c r="L176" s="25"/>
      <c r="M176" s="25"/>
      <c r="AT176" s="32"/>
    </row>
    <row r="177" spans="9:46" s="22" customFormat="1" x14ac:dyDescent="0.3">
      <c r="I177" s="24"/>
      <c r="J177" s="24"/>
      <c r="K177" s="24"/>
      <c r="L177" s="25"/>
      <c r="M177" s="25"/>
      <c r="AT177" s="32"/>
    </row>
    <row r="178" spans="9:46" s="22" customFormat="1" x14ac:dyDescent="0.3">
      <c r="I178" s="24"/>
      <c r="J178" s="24"/>
      <c r="K178" s="24"/>
      <c r="L178" s="25"/>
      <c r="M178" s="25"/>
      <c r="AT178" s="32"/>
    </row>
    <row r="179" spans="9:46" s="22" customFormat="1" x14ac:dyDescent="0.3">
      <c r="I179" s="24"/>
      <c r="J179" s="24"/>
      <c r="K179" s="24"/>
      <c r="L179" s="25"/>
      <c r="M179" s="25"/>
      <c r="AT179" s="32"/>
    </row>
    <row r="180" spans="9:46" s="22" customFormat="1" x14ac:dyDescent="0.3">
      <c r="I180" s="24"/>
      <c r="J180" s="24"/>
      <c r="K180" s="24"/>
      <c r="L180" s="25"/>
      <c r="M180" s="25"/>
      <c r="AT180" s="32"/>
    </row>
    <row r="181" spans="9:46" s="22" customFormat="1" x14ac:dyDescent="0.3">
      <c r="I181" s="24"/>
      <c r="J181" s="24"/>
      <c r="K181" s="24"/>
      <c r="L181" s="25"/>
      <c r="M181" s="25"/>
      <c r="AT181" s="32"/>
    </row>
    <row r="182" spans="9:46" s="22" customFormat="1" x14ac:dyDescent="0.3">
      <c r="I182" s="24"/>
      <c r="J182" s="24"/>
      <c r="K182" s="24"/>
      <c r="L182" s="25"/>
      <c r="M182" s="25"/>
      <c r="AT182" s="32"/>
    </row>
    <row r="183" spans="9:46" s="22" customFormat="1" x14ac:dyDescent="0.3">
      <c r="I183" s="24"/>
      <c r="J183" s="24"/>
      <c r="K183" s="24"/>
      <c r="L183" s="25"/>
      <c r="M183" s="25"/>
      <c r="AT183" s="32"/>
    </row>
    <row r="184" spans="9:46" s="22" customFormat="1" x14ac:dyDescent="0.3">
      <c r="I184" s="24"/>
      <c r="J184" s="24"/>
      <c r="K184" s="24"/>
      <c r="L184" s="25"/>
      <c r="M184" s="25"/>
      <c r="AT184" s="32"/>
    </row>
    <row r="185" spans="9:46" s="22" customFormat="1" x14ac:dyDescent="0.3">
      <c r="I185" s="24"/>
      <c r="J185" s="24"/>
      <c r="K185" s="24"/>
      <c r="L185" s="25"/>
      <c r="M185" s="25"/>
      <c r="AT185" s="32"/>
    </row>
    <row r="186" spans="9:46" s="22" customFormat="1" x14ac:dyDescent="0.3">
      <c r="I186" s="24"/>
      <c r="J186" s="24"/>
      <c r="K186" s="24"/>
      <c r="L186" s="25"/>
      <c r="M186" s="25"/>
      <c r="AT186" s="32"/>
    </row>
    <row r="187" spans="9:46" s="22" customFormat="1" x14ac:dyDescent="0.3">
      <c r="I187" s="24"/>
      <c r="J187" s="24"/>
      <c r="K187" s="24"/>
      <c r="L187" s="25"/>
      <c r="M187" s="25"/>
      <c r="AT187" s="32"/>
    </row>
    <row r="188" spans="9:46" s="22" customFormat="1" x14ac:dyDescent="0.3">
      <c r="I188" s="24"/>
      <c r="J188" s="24"/>
      <c r="K188" s="24"/>
      <c r="L188" s="25"/>
      <c r="M188" s="25"/>
      <c r="AT188" s="32"/>
    </row>
    <row r="189" spans="9:46" s="22" customFormat="1" x14ac:dyDescent="0.3">
      <c r="I189" s="24"/>
      <c r="J189" s="24"/>
      <c r="K189" s="24"/>
      <c r="L189" s="25"/>
      <c r="M189" s="25"/>
      <c r="AT189" s="32"/>
    </row>
    <row r="190" spans="9:46" s="22" customFormat="1" x14ac:dyDescent="0.3">
      <c r="I190" s="24"/>
      <c r="J190" s="24"/>
      <c r="K190" s="24"/>
      <c r="L190" s="25"/>
      <c r="M190" s="25"/>
      <c r="AT190" s="32"/>
    </row>
    <row r="191" spans="9:46" s="22" customFormat="1" x14ac:dyDescent="0.3">
      <c r="I191" s="24"/>
      <c r="J191" s="24"/>
      <c r="K191" s="24"/>
      <c r="L191" s="25"/>
      <c r="M191" s="25"/>
      <c r="AT191" s="32"/>
    </row>
    <row r="192" spans="9:46" s="22" customFormat="1" x14ac:dyDescent="0.3">
      <c r="I192" s="24"/>
      <c r="J192" s="24"/>
      <c r="K192" s="24"/>
      <c r="L192" s="25"/>
      <c r="M192" s="25"/>
      <c r="AT192" s="32"/>
    </row>
    <row r="193" spans="9:46" s="22" customFormat="1" x14ac:dyDescent="0.3">
      <c r="I193" s="24"/>
      <c r="J193" s="24"/>
      <c r="K193" s="24"/>
      <c r="L193" s="25"/>
      <c r="M193" s="25"/>
      <c r="AT193" s="32"/>
    </row>
    <row r="194" spans="9:46" s="22" customFormat="1" x14ac:dyDescent="0.3">
      <c r="I194" s="24"/>
      <c r="J194" s="24"/>
      <c r="K194" s="24"/>
      <c r="L194" s="25"/>
      <c r="M194" s="25"/>
      <c r="AT194" s="32"/>
    </row>
    <row r="195" spans="9:46" s="22" customFormat="1" x14ac:dyDescent="0.3">
      <c r="I195" s="24"/>
      <c r="J195" s="24"/>
      <c r="K195" s="24"/>
      <c r="L195" s="25"/>
      <c r="M195" s="25"/>
      <c r="AT195" s="32"/>
    </row>
    <row r="196" spans="9:46" s="22" customFormat="1" x14ac:dyDescent="0.3">
      <c r="I196" s="24"/>
      <c r="J196" s="24"/>
      <c r="K196" s="24"/>
      <c r="L196" s="25"/>
      <c r="M196" s="25"/>
      <c r="AT196" s="32"/>
    </row>
    <row r="197" spans="9:46" s="22" customFormat="1" x14ac:dyDescent="0.3">
      <c r="I197" s="24"/>
      <c r="J197" s="24"/>
      <c r="K197" s="24"/>
      <c r="L197" s="25"/>
      <c r="M197" s="25"/>
      <c r="AT197" s="32"/>
    </row>
    <row r="198" spans="9:46" s="22" customFormat="1" x14ac:dyDescent="0.3">
      <c r="I198" s="24"/>
      <c r="J198" s="24"/>
      <c r="K198" s="24"/>
      <c r="L198" s="25"/>
      <c r="M198" s="25"/>
      <c r="AT198" s="32"/>
    </row>
    <row r="199" spans="9:46" s="22" customFormat="1" x14ac:dyDescent="0.3">
      <c r="I199" s="24"/>
      <c r="J199" s="24"/>
      <c r="K199" s="24"/>
      <c r="L199" s="25"/>
      <c r="M199" s="25"/>
      <c r="AT199" s="32"/>
    </row>
    <row r="200" spans="9:46" s="22" customFormat="1" x14ac:dyDescent="0.3">
      <c r="I200" s="24"/>
      <c r="J200" s="24"/>
      <c r="K200" s="24"/>
      <c r="L200" s="25"/>
      <c r="M200" s="25"/>
      <c r="AT200" s="32"/>
    </row>
    <row r="201" spans="9:46" s="22" customFormat="1" x14ac:dyDescent="0.3">
      <c r="I201" s="24"/>
      <c r="J201" s="24"/>
      <c r="K201" s="24"/>
      <c r="L201" s="25"/>
      <c r="M201" s="25"/>
      <c r="AT201" s="32"/>
    </row>
    <row r="202" spans="9:46" s="22" customFormat="1" x14ac:dyDescent="0.3">
      <c r="I202" s="24"/>
      <c r="J202" s="24"/>
      <c r="K202" s="24"/>
      <c r="L202" s="25"/>
      <c r="M202" s="25"/>
      <c r="AT202" s="32"/>
    </row>
    <row r="203" spans="9:46" s="22" customFormat="1" x14ac:dyDescent="0.3">
      <c r="I203" s="24"/>
      <c r="J203" s="24"/>
      <c r="K203" s="24"/>
      <c r="L203" s="25"/>
      <c r="M203" s="25"/>
      <c r="AT203" s="32"/>
    </row>
    <row r="204" spans="9:46" s="22" customFormat="1" x14ac:dyDescent="0.3">
      <c r="I204" s="24"/>
      <c r="J204" s="24"/>
      <c r="K204" s="24"/>
      <c r="L204" s="25"/>
      <c r="M204" s="25"/>
      <c r="AT204" s="32"/>
    </row>
    <row r="205" spans="9:46" s="22" customFormat="1" x14ac:dyDescent="0.3">
      <c r="I205" s="24"/>
      <c r="J205" s="24"/>
      <c r="K205" s="24"/>
      <c r="L205" s="25"/>
      <c r="M205" s="25"/>
      <c r="AT205" s="32"/>
    </row>
    <row r="206" spans="9:46" s="22" customFormat="1" x14ac:dyDescent="0.3">
      <c r="I206" s="24"/>
      <c r="J206" s="24"/>
      <c r="K206" s="24"/>
      <c r="L206" s="25"/>
      <c r="M206" s="25"/>
      <c r="AT206" s="32"/>
    </row>
    <row r="207" spans="9:46" s="22" customFormat="1" x14ac:dyDescent="0.3">
      <c r="I207" s="24"/>
      <c r="J207" s="24"/>
      <c r="K207" s="24"/>
      <c r="L207" s="25"/>
      <c r="M207" s="25"/>
      <c r="AT207" s="32"/>
    </row>
    <row r="208" spans="9:46" s="22" customFormat="1" x14ac:dyDescent="0.3">
      <c r="I208" s="24"/>
      <c r="J208" s="24"/>
      <c r="K208" s="24"/>
      <c r="L208" s="25"/>
      <c r="M208" s="25"/>
      <c r="AT208" s="32"/>
    </row>
    <row r="209" spans="1:47" s="22" customFormat="1" x14ac:dyDescent="0.3">
      <c r="I209" s="24"/>
      <c r="J209" s="24"/>
      <c r="K209" s="24"/>
      <c r="L209" s="25"/>
      <c r="M209" s="25"/>
      <c r="AT209" s="32"/>
    </row>
    <row r="210" spans="1:47" s="22" customFormat="1" x14ac:dyDescent="0.3">
      <c r="I210" s="24"/>
      <c r="J210" s="24"/>
      <c r="K210" s="24"/>
      <c r="L210" s="25"/>
      <c r="M210" s="25"/>
      <c r="AT210" s="32"/>
    </row>
    <row r="211" spans="1:47" s="22" customFormat="1" x14ac:dyDescent="0.3">
      <c r="I211" s="24"/>
      <c r="J211" s="24"/>
      <c r="K211" s="24"/>
      <c r="L211" s="25"/>
      <c r="M211" s="25"/>
      <c r="AT211" s="32"/>
    </row>
    <row r="212" spans="1:47" s="22" customFormat="1" x14ac:dyDescent="0.3">
      <c r="I212" s="24"/>
      <c r="J212" s="24"/>
      <c r="K212" s="24"/>
      <c r="L212" s="25"/>
      <c r="M212" s="25"/>
      <c r="AT212" s="32"/>
    </row>
    <row r="213" spans="1:47" s="30" customFormat="1" x14ac:dyDescent="0.3">
      <c r="A213" s="22"/>
      <c r="B213" s="22"/>
      <c r="C213" s="22"/>
      <c r="D213" s="22"/>
      <c r="E213" s="22"/>
      <c r="F213" s="22"/>
      <c r="G213" s="22"/>
      <c r="H213" s="22"/>
      <c r="I213" s="27"/>
      <c r="J213" s="27"/>
      <c r="K213" s="27"/>
      <c r="L213" s="25"/>
      <c r="M213" s="25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32"/>
      <c r="AU213" s="22"/>
    </row>
    <row r="214" spans="1:47" s="30" customFormat="1" x14ac:dyDescent="0.3">
      <c r="A214" s="22"/>
      <c r="B214" s="22"/>
      <c r="C214" s="22"/>
      <c r="D214" s="22"/>
      <c r="E214" s="22"/>
      <c r="F214" s="22"/>
      <c r="G214" s="22"/>
      <c r="H214" s="22"/>
      <c r="I214" s="27"/>
      <c r="J214" s="27"/>
      <c r="K214" s="27"/>
      <c r="L214" s="25"/>
      <c r="M214" s="25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32"/>
      <c r="AU214" s="22"/>
    </row>
    <row r="215" spans="1:47" s="30" customFormat="1" x14ac:dyDescent="0.3">
      <c r="A215" s="22"/>
      <c r="B215" s="22"/>
      <c r="C215" s="22"/>
      <c r="D215" s="22"/>
      <c r="E215" s="22"/>
      <c r="F215" s="22"/>
      <c r="G215" s="22"/>
      <c r="H215" s="22"/>
      <c r="I215" s="27"/>
      <c r="J215" s="27"/>
      <c r="K215" s="27"/>
      <c r="L215" s="28"/>
      <c r="M215" s="25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32"/>
      <c r="AU215" s="22"/>
    </row>
    <row r="216" spans="1:47" s="30" customFormat="1" x14ac:dyDescent="0.3">
      <c r="A216" s="22"/>
      <c r="B216" s="22"/>
      <c r="C216" s="22"/>
      <c r="D216" s="22"/>
      <c r="E216" s="22"/>
      <c r="F216" s="22"/>
      <c r="G216" s="22"/>
      <c r="H216" s="22"/>
      <c r="I216" s="27"/>
      <c r="J216" s="27"/>
      <c r="K216" s="27"/>
      <c r="L216" s="28"/>
      <c r="M216" s="25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32"/>
      <c r="AU216" s="22"/>
    </row>
    <row r="217" spans="1:47" s="30" customFormat="1" x14ac:dyDescent="0.3">
      <c r="A217" s="22"/>
      <c r="B217" s="22"/>
      <c r="C217" s="22"/>
      <c r="D217" s="22"/>
      <c r="E217" s="22"/>
      <c r="F217" s="22"/>
      <c r="G217" s="22"/>
      <c r="H217" s="22"/>
      <c r="I217" s="27"/>
      <c r="J217" s="27"/>
      <c r="K217" s="27"/>
      <c r="L217" s="28"/>
      <c r="M217" s="25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32"/>
      <c r="AU217" s="22"/>
    </row>
    <row r="218" spans="1:47" s="30" customFormat="1" x14ac:dyDescent="0.3">
      <c r="A218" s="22"/>
      <c r="B218" s="22"/>
      <c r="C218" s="22"/>
      <c r="D218" s="22"/>
      <c r="E218" s="22"/>
      <c r="F218" s="22"/>
      <c r="G218" s="22"/>
      <c r="H218" s="22"/>
      <c r="I218" s="27"/>
      <c r="J218" s="27"/>
      <c r="K218" s="27"/>
      <c r="L218" s="28"/>
      <c r="M218" s="25"/>
      <c r="N218" s="26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32"/>
      <c r="AU218" s="22"/>
    </row>
    <row r="219" spans="1:47" s="30" customFormat="1" x14ac:dyDescent="0.3">
      <c r="A219" s="22"/>
      <c r="B219" s="22"/>
      <c r="C219" s="22"/>
      <c r="D219" s="22"/>
      <c r="E219" s="22"/>
      <c r="F219" s="22"/>
      <c r="G219" s="22"/>
      <c r="H219" s="22"/>
      <c r="I219" s="27"/>
      <c r="J219" s="27"/>
      <c r="K219" s="27"/>
      <c r="L219" s="28"/>
      <c r="M219" s="25"/>
      <c r="N219" s="26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32"/>
      <c r="AU219" s="22"/>
    </row>
    <row r="220" spans="1:47" s="30" customFormat="1" x14ac:dyDescent="0.3">
      <c r="A220" s="22"/>
      <c r="B220" s="22"/>
      <c r="C220" s="22"/>
      <c r="D220" s="22"/>
      <c r="E220" s="22"/>
      <c r="F220" s="22"/>
      <c r="G220" s="22"/>
      <c r="H220" s="22"/>
      <c r="I220" s="27"/>
      <c r="J220" s="27"/>
      <c r="K220" s="27"/>
      <c r="L220" s="28"/>
      <c r="M220" s="28"/>
      <c r="N220" s="26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32"/>
      <c r="AU220" s="22"/>
    </row>
    <row r="221" spans="1:47" s="30" customFormat="1" x14ac:dyDescent="0.3">
      <c r="A221" s="22"/>
      <c r="B221" s="22"/>
      <c r="C221" s="22"/>
      <c r="D221" s="22"/>
      <c r="E221" s="22"/>
      <c r="F221" s="22"/>
      <c r="G221" s="22"/>
      <c r="H221" s="22"/>
      <c r="I221" s="27"/>
      <c r="J221" s="27"/>
      <c r="K221" s="27"/>
      <c r="L221" s="28"/>
      <c r="M221" s="28"/>
      <c r="N221" s="26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32"/>
      <c r="AU221" s="22"/>
    </row>
    <row r="222" spans="1:47" s="30" customFormat="1" x14ac:dyDescent="0.3">
      <c r="A222" s="22"/>
      <c r="B222" s="22"/>
      <c r="C222" s="22"/>
      <c r="D222" s="22"/>
      <c r="E222" s="22"/>
      <c r="F222" s="22"/>
      <c r="G222" s="22"/>
      <c r="H222" s="22"/>
      <c r="I222" s="27"/>
      <c r="J222" s="27"/>
      <c r="K222" s="27"/>
      <c r="L222" s="28"/>
      <c r="M222" s="28"/>
      <c r="N222" s="26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32"/>
      <c r="AU222" s="22"/>
    </row>
    <row r="223" spans="1:47" s="30" customFormat="1" x14ac:dyDescent="0.3">
      <c r="A223" s="26"/>
      <c r="B223" s="26"/>
      <c r="C223" s="26"/>
      <c r="D223" s="26"/>
      <c r="E223" s="26"/>
      <c r="F223" s="26"/>
      <c r="G223" s="26"/>
      <c r="H223" s="26"/>
      <c r="I223" s="27"/>
      <c r="J223" s="27"/>
      <c r="K223" s="27"/>
      <c r="L223" s="28"/>
      <c r="M223" s="28"/>
      <c r="N223" s="26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32"/>
      <c r="AU223" s="22"/>
    </row>
    <row r="224" spans="1:47" s="30" customFormat="1" x14ac:dyDescent="0.3">
      <c r="A224" s="26"/>
      <c r="B224" s="26"/>
      <c r="C224" s="26"/>
      <c r="D224" s="26"/>
      <c r="E224" s="26"/>
      <c r="F224" s="26"/>
      <c r="G224" s="26"/>
      <c r="H224" s="26"/>
      <c r="I224" s="27"/>
      <c r="J224" s="27"/>
      <c r="K224" s="27"/>
      <c r="L224" s="28"/>
      <c r="M224" s="28"/>
      <c r="N224" s="26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32"/>
      <c r="AU224" s="22"/>
    </row>
    <row r="225" spans="1:47" s="30" customFormat="1" x14ac:dyDescent="0.3">
      <c r="A225" s="26"/>
      <c r="B225" s="26"/>
      <c r="C225" s="26"/>
      <c r="D225" s="26"/>
      <c r="E225" s="26"/>
      <c r="F225" s="26"/>
      <c r="G225" s="26"/>
      <c r="H225" s="26"/>
      <c r="I225" s="27"/>
      <c r="J225" s="27"/>
      <c r="K225" s="27"/>
      <c r="L225" s="28"/>
      <c r="M225" s="28"/>
      <c r="N225" s="26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32"/>
      <c r="AU225" s="22"/>
    </row>
    <row r="226" spans="1:47" s="30" customFormat="1" x14ac:dyDescent="0.3">
      <c r="A226" s="26"/>
      <c r="B226" s="26"/>
      <c r="C226" s="26"/>
      <c r="D226" s="26"/>
      <c r="E226" s="26"/>
      <c r="F226" s="26"/>
      <c r="G226" s="26"/>
      <c r="H226" s="26"/>
      <c r="I226" s="27"/>
      <c r="J226" s="27"/>
      <c r="K226" s="27"/>
      <c r="L226" s="28"/>
      <c r="M226" s="28"/>
      <c r="N226" s="26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32"/>
      <c r="AU226" s="22"/>
    </row>
    <row r="227" spans="1:47" s="30" customFormat="1" x14ac:dyDescent="0.3">
      <c r="A227" s="26"/>
      <c r="B227" s="26"/>
      <c r="C227" s="26"/>
      <c r="D227" s="26"/>
      <c r="E227" s="26"/>
      <c r="F227" s="26"/>
      <c r="G227" s="26"/>
      <c r="H227" s="26"/>
      <c r="I227" s="27"/>
      <c r="J227" s="27"/>
      <c r="K227" s="27"/>
      <c r="L227" s="28"/>
      <c r="M227" s="28"/>
      <c r="N227" s="26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32"/>
      <c r="AU227" s="22"/>
    </row>
    <row r="228" spans="1:47" s="30" customFormat="1" x14ac:dyDescent="0.3">
      <c r="A228" s="26"/>
      <c r="B228" s="26"/>
      <c r="C228" s="26"/>
      <c r="D228" s="26"/>
      <c r="E228" s="26"/>
      <c r="F228" s="26"/>
      <c r="G228" s="26"/>
      <c r="H228" s="26"/>
      <c r="I228" s="27"/>
      <c r="J228" s="27"/>
      <c r="K228" s="27"/>
      <c r="L228" s="28"/>
      <c r="M228" s="28"/>
      <c r="N228" s="26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32"/>
      <c r="AU228" s="22"/>
    </row>
    <row r="229" spans="1:47" s="30" customFormat="1" x14ac:dyDescent="0.3">
      <c r="A229" s="26"/>
      <c r="B229" s="26"/>
      <c r="C229" s="26"/>
      <c r="D229" s="26"/>
      <c r="E229" s="26"/>
      <c r="F229" s="26"/>
      <c r="G229" s="26"/>
      <c r="H229" s="26"/>
      <c r="I229" s="27"/>
      <c r="J229" s="27"/>
      <c r="K229" s="27"/>
      <c r="L229" s="28"/>
      <c r="M229" s="28"/>
      <c r="N229" s="26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32"/>
      <c r="AU229" s="22"/>
    </row>
    <row r="230" spans="1:47" x14ac:dyDescent="0.3">
      <c r="A230" s="26"/>
      <c r="B230" s="26"/>
      <c r="C230" s="26"/>
      <c r="D230" s="26"/>
      <c r="E230" s="26"/>
      <c r="F230" s="26"/>
      <c r="G230" s="26"/>
      <c r="H230" s="26"/>
      <c r="L230" s="28"/>
      <c r="M230" s="28"/>
      <c r="AT230" s="29"/>
      <c r="AU230" s="29"/>
    </row>
    <row r="231" spans="1:47" x14ac:dyDescent="0.3">
      <c r="A231" s="26"/>
      <c r="B231" s="26"/>
      <c r="C231" s="26"/>
      <c r="D231" s="26"/>
      <c r="E231" s="26"/>
      <c r="F231" s="26"/>
      <c r="G231" s="26"/>
      <c r="H231" s="26"/>
      <c r="L231" s="28"/>
      <c r="M231" s="28"/>
      <c r="AT231" s="29"/>
      <c r="AU231" s="29"/>
    </row>
    <row r="232" spans="1:47" x14ac:dyDescent="0.3">
      <c r="A232" s="26"/>
      <c r="B232" s="26"/>
      <c r="C232" s="26"/>
      <c r="D232" s="26"/>
      <c r="E232" s="26"/>
      <c r="F232" s="26"/>
      <c r="G232" s="26"/>
      <c r="H232" s="26"/>
      <c r="M232" s="28"/>
      <c r="AT232" s="29"/>
      <c r="AU232" s="29"/>
    </row>
    <row r="233" spans="1:47" x14ac:dyDescent="0.3">
      <c r="A233" s="26"/>
      <c r="B233" s="26"/>
      <c r="C233" s="26"/>
      <c r="D233" s="26"/>
      <c r="E233" s="26"/>
      <c r="F233" s="26"/>
      <c r="G233" s="26"/>
      <c r="H233" s="26"/>
      <c r="M233" s="28"/>
      <c r="AT233" s="29"/>
      <c r="AU233" s="29"/>
    </row>
    <row r="234" spans="1:47" x14ac:dyDescent="0.3">
      <c r="A234" s="26"/>
      <c r="B234" s="26"/>
      <c r="C234" s="26"/>
      <c r="D234" s="26"/>
      <c r="E234" s="26"/>
      <c r="F234" s="26"/>
      <c r="G234" s="26"/>
      <c r="H234" s="26"/>
      <c r="M234" s="28"/>
      <c r="AT234" s="29"/>
      <c r="AU234" s="29"/>
    </row>
    <row r="235" spans="1:47" x14ac:dyDescent="0.3">
      <c r="A235" s="26"/>
      <c r="B235" s="26"/>
      <c r="C235" s="26"/>
      <c r="D235" s="26"/>
      <c r="E235" s="26"/>
      <c r="F235" s="26"/>
      <c r="G235" s="26"/>
      <c r="H235" s="26"/>
      <c r="M235" s="28"/>
      <c r="AT235" s="29"/>
      <c r="AU235" s="29"/>
    </row>
    <row r="236" spans="1:47" x14ac:dyDescent="0.3">
      <c r="A236" s="26"/>
      <c r="B236" s="26"/>
      <c r="C236" s="26"/>
      <c r="D236" s="26"/>
      <c r="E236" s="26"/>
      <c r="F236" s="26"/>
      <c r="G236" s="26"/>
      <c r="H236" s="26"/>
      <c r="L236" s="29"/>
      <c r="M236" s="28"/>
      <c r="AT236" s="29"/>
      <c r="AU236" s="29"/>
    </row>
    <row r="237" spans="1:47" x14ac:dyDescent="0.3">
      <c r="A237" s="26"/>
      <c r="B237" s="26"/>
      <c r="C237" s="26"/>
      <c r="D237" s="26"/>
      <c r="E237" s="26"/>
      <c r="F237" s="26"/>
      <c r="G237" s="26"/>
      <c r="H237" s="26"/>
      <c r="AT237" s="29"/>
      <c r="AU237" s="29"/>
    </row>
    <row r="238" spans="1:47" x14ac:dyDescent="0.3">
      <c r="A238" s="26"/>
      <c r="B238" s="26"/>
      <c r="C238" s="26"/>
      <c r="D238" s="26"/>
      <c r="E238" s="26"/>
      <c r="F238" s="26"/>
      <c r="G238" s="26"/>
      <c r="H238" s="26"/>
      <c r="AT238" s="29"/>
      <c r="AU238" s="29"/>
    </row>
    <row r="239" spans="1:47" x14ac:dyDescent="0.3">
      <c r="A239" s="26"/>
      <c r="B239" s="26"/>
      <c r="C239" s="26"/>
      <c r="D239" s="26"/>
      <c r="E239" s="26"/>
      <c r="F239" s="26"/>
      <c r="G239" s="26"/>
      <c r="H239" s="26"/>
      <c r="AT239" s="29"/>
      <c r="AU239" s="29"/>
    </row>
    <row r="240" spans="1:47" x14ac:dyDescent="0.3">
      <c r="AT240" s="29"/>
      <c r="AU240" s="29"/>
    </row>
    <row r="241" spans="9:47" x14ac:dyDescent="0.3">
      <c r="AT241" s="29"/>
      <c r="AU241" s="29"/>
    </row>
    <row r="243" spans="9:47" x14ac:dyDescent="0.3">
      <c r="I243" s="29"/>
      <c r="J243" s="29"/>
      <c r="K243" s="29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29"/>
      <c r="AU243" s="29"/>
    </row>
    <row r="1048574" spans="14:14" x14ac:dyDescent="0.3">
      <c r="N1048574" s="65"/>
    </row>
  </sheetData>
  <mergeCells count="32">
    <mergeCell ref="L43:N43"/>
    <mergeCell ref="A1:N1"/>
    <mergeCell ref="A2:N2"/>
    <mergeCell ref="A6:B6"/>
    <mergeCell ref="A7:N7"/>
    <mergeCell ref="A36:B36"/>
    <mergeCell ref="A37:N37"/>
    <mergeCell ref="A38:F38"/>
    <mergeCell ref="L38:N38"/>
    <mergeCell ref="L39:M39"/>
    <mergeCell ref="L40:M40"/>
    <mergeCell ref="L41:N42"/>
    <mergeCell ref="L44:M44"/>
    <mergeCell ref="L45:M45"/>
    <mergeCell ref="L47:M47"/>
    <mergeCell ref="L48:M48"/>
    <mergeCell ref="L49:M49"/>
    <mergeCell ref="L63:N68"/>
    <mergeCell ref="L46:M46"/>
    <mergeCell ref="L57:M57"/>
    <mergeCell ref="L58:M58"/>
    <mergeCell ref="L59:N59"/>
    <mergeCell ref="L60:N60"/>
    <mergeCell ref="L61:N61"/>
    <mergeCell ref="L62:M62"/>
    <mergeCell ref="L51:M51"/>
    <mergeCell ref="L52:M52"/>
    <mergeCell ref="L53:M53"/>
    <mergeCell ref="L54:M54"/>
    <mergeCell ref="L55:M55"/>
    <mergeCell ref="L56:M56"/>
    <mergeCell ref="L50:M5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ACB9D-96E3-4B65-8F88-B38E57A1DA19}">
  <sheetPr>
    <pageSetUpPr fitToPage="1"/>
  </sheetPr>
  <dimension ref="A1:BF1048573"/>
  <sheetViews>
    <sheetView zoomScale="60" zoomScaleNormal="60" workbookViewId="0">
      <selection activeCell="A32" sqref="A32:XFD32"/>
    </sheetView>
  </sheetViews>
  <sheetFormatPr defaultColWidth="9.109375" defaultRowHeight="13.8" x14ac:dyDescent="0.3"/>
  <cols>
    <col min="1" max="1" width="25.88671875" style="29" customWidth="1"/>
    <col min="2" max="2" width="11.33203125" style="29" bestFit="1" customWidth="1"/>
    <col min="3" max="3" width="16.6640625" style="29" bestFit="1" customWidth="1"/>
    <col min="4" max="4" width="16.44140625" style="29" bestFit="1" customWidth="1"/>
    <col min="5" max="5" width="18.44140625" style="29" customWidth="1"/>
    <col min="6" max="6" width="14" style="29" bestFit="1" customWidth="1"/>
    <col min="7" max="7" width="13.109375" style="29" bestFit="1" customWidth="1"/>
    <col min="8" max="8" width="13.88671875" style="29" bestFit="1" customWidth="1"/>
    <col min="9" max="9" width="17.33203125" style="31" bestFit="1" customWidth="1"/>
    <col min="10" max="10" width="17.109375" style="31" bestFit="1" customWidth="1"/>
    <col min="11" max="11" width="16.6640625" style="31" bestFit="1" customWidth="1"/>
    <col min="12" max="12" width="127.5546875" style="31" customWidth="1"/>
    <col min="13" max="13" width="9.5546875" style="31" customWidth="1"/>
    <col min="14" max="14" width="17.5546875" style="29" bestFit="1" customWidth="1"/>
    <col min="15" max="15" width="10.5546875" style="22" bestFit="1" customWidth="1"/>
    <col min="16" max="45" width="9.109375" style="22"/>
    <col min="46" max="47" width="9.109375" style="32"/>
    <col min="48" max="16384" width="9.109375" style="29"/>
  </cols>
  <sheetData>
    <row r="1" spans="1:47" s="10" customFormat="1" ht="29.25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47" s="10" customFormat="1" ht="29.25" customHeight="1" x14ac:dyDescent="0.3">
      <c r="A2" s="538" t="s">
        <v>136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47" s="11" customFormat="1" ht="27.75" customHeight="1" x14ac:dyDescent="0.3">
      <c r="A3" s="83" t="s">
        <v>3</v>
      </c>
      <c r="B3" s="83" t="s">
        <v>0</v>
      </c>
      <c r="C3" s="84" t="s">
        <v>1</v>
      </c>
      <c r="D3" s="84" t="s">
        <v>68</v>
      </c>
      <c r="E3" s="84" t="s">
        <v>69</v>
      </c>
      <c r="F3" s="85" t="s">
        <v>2</v>
      </c>
      <c r="G3" s="84" t="s">
        <v>6</v>
      </c>
      <c r="H3" s="84" t="s">
        <v>7</v>
      </c>
      <c r="I3" s="84" t="s">
        <v>4</v>
      </c>
      <c r="J3" s="84" t="s">
        <v>5</v>
      </c>
      <c r="K3" s="84" t="s">
        <v>70</v>
      </c>
      <c r="L3" s="83" t="s">
        <v>59</v>
      </c>
      <c r="M3" s="86" t="s">
        <v>8</v>
      </c>
      <c r="N3" s="86" t="s">
        <v>10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 spans="1:47" s="15" customFormat="1" ht="14.25" customHeight="1" x14ac:dyDescent="0.3">
      <c r="A4" s="88" t="s">
        <v>132</v>
      </c>
      <c r="B4" s="90">
        <v>1</v>
      </c>
      <c r="C4" s="2">
        <f>600</f>
        <v>600</v>
      </c>
      <c r="D4" s="2">
        <f>C4*10%</f>
        <v>60</v>
      </c>
      <c r="E4" s="2">
        <f>C4-D4</f>
        <v>540</v>
      </c>
      <c r="F4" s="5">
        <f>50</f>
        <v>50</v>
      </c>
      <c r="G4" s="2">
        <v>0</v>
      </c>
      <c r="H4" s="2">
        <f>D38</f>
        <v>19.738333333333333</v>
      </c>
      <c r="I4" s="109">
        <f>SUM(E4:H4)</f>
        <v>609.73833333333334</v>
      </c>
      <c r="J4" s="2">
        <f>60%*(C4+F4)</f>
        <v>390</v>
      </c>
      <c r="K4" s="2">
        <f>I4-J4</f>
        <v>219.73833333333334</v>
      </c>
      <c r="L4" s="90" t="s">
        <v>138</v>
      </c>
      <c r="M4" s="3">
        <v>10</v>
      </c>
      <c r="N4" s="3">
        <v>11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</row>
    <row r="5" spans="1:47" s="52" customFormat="1" x14ac:dyDescent="0.3">
      <c r="A5" s="88" t="s">
        <v>119</v>
      </c>
      <c r="B5" s="88">
        <v>17</v>
      </c>
      <c r="C5" s="2">
        <f>'GERAL 2021'!G19</f>
        <v>640</v>
      </c>
      <c r="D5" s="2">
        <f>10%*C5</f>
        <v>64</v>
      </c>
      <c r="E5" s="5">
        <f>(C5-D5)</f>
        <v>576</v>
      </c>
      <c r="F5" s="2">
        <v>0</v>
      </c>
      <c r="G5" s="2">
        <v>0</v>
      </c>
      <c r="H5" s="2">
        <f>D70</f>
        <v>19.811666666666667</v>
      </c>
      <c r="I5" s="109">
        <f>SUM(E5:H5)</f>
        <v>595.81166666666672</v>
      </c>
      <c r="J5" s="2">
        <f>60%*(C5+F5)</f>
        <v>384</v>
      </c>
      <c r="K5" s="2">
        <f>I5-J5</f>
        <v>211.81166666666672</v>
      </c>
      <c r="L5" s="47" t="s">
        <v>98</v>
      </c>
      <c r="M5" s="3">
        <v>10</v>
      </c>
      <c r="N5" s="3">
        <v>11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1"/>
      <c r="AP5" s="11"/>
      <c r="AQ5" s="11"/>
      <c r="AR5" s="11"/>
      <c r="AS5" s="11"/>
      <c r="AT5" s="11"/>
      <c r="AU5" s="11"/>
    </row>
    <row r="6" spans="1:47" s="52" customFormat="1" x14ac:dyDescent="0.3">
      <c r="A6" s="518" t="s">
        <v>4</v>
      </c>
      <c r="B6" s="518"/>
      <c r="C6" s="109">
        <f>SUM(C4:C5)</f>
        <v>1240</v>
      </c>
      <c r="D6" s="109">
        <f t="shared" ref="D6:I6" si="0">SUM(D4:D5)</f>
        <v>124</v>
      </c>
      <c r="E6" s="109">
        <f t="shared" si="0"/>
        <v>1116</v>
      </c>
      <c r="F6" s="109">
        <f t="shared" si="0"/>
        <v>50</v>
      </c>
      <c r="G6" s="109">
        <f t="shared" si="0"/>
        <v>0</v>
      </c>
      <c r="H6" s="109">
        <f t="shared" si="0"/>
        <v>39.549999999999997</v>
      </c>
      <c r="I6" s="109">
        <f t="shared" si="0"/>
        <v>1205.5500000000002</v>
      </c>
      <c r="J6" s="109">
        <f>SUM(J4:J5)</f>
        <v>774</v>
      </c>
      <c r="K6" s="109">
        <f>SUM(K4:K5)</f>
        <v>431.55000000000007</v>
      </c>
      <c r="L6" s="90"/>
      <c r="M6" s="3"/>
      <c r="N6" s="3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1"/>
      <c r="AH6" s="11"/>
      <c r="AI6" s="11"/>
      <c r="AJ6" s="11"/>
      <c r="AK6" s="11"/>
      <c r="AL6" s="11"/>
      <c r="AM6" s="11"/>
    </row>
    <row r="7" spans="1:47" s="52" customFormat="1" ht="29.25" customHeight="1" x14ac:dyDescent="0.3">
      <c r="A7" s="521" t="s">
        <v>137</v>
      </c>
      <c r="B7" s="521"/>
      <c r="C7" s="521"/>
      <c r="D7" s="521"/>
      <c r="E7" s="521"/>
      <c r="F7" s="521"/>
      <c r="G7" s="521"/>
      <c r="H7" s="521"/>
      <c r="I7" s="521"/>
      <c r="J7" s="521"/>
      <c r="K7" s="521"/>
      <c r="L7" s="521"/>
      <c r="M7" s="521"/>
      <c r="N7" s="521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1"/>
      <c r="AH7" s="11"/>
      <c r="AI7" s="11"/>
      <c r="AJ7" s="11"/>
      <c r="AK7" s="11"/>
      <c r="AL7" s="11"/>
      <c r="AM7" s="11"/>
    </row>
    <row r="8" spans="1:47" s="11" customFormat="1" ht="27.6" x14ac:dyDescent="0.3">
      <c r="A8" s="83" t="s">
        <v>3</v>
      </c>
      <c r="B8" s="83" t="s">
        <v>0</v>
      </c>
      <c r="C8" s="84" t="s">
        <v>1</v>
      </c>
      <c r="D8" s="84" t="s">
        <v>68</v>
      </c>
      <c r="E8" s="84" t="s">
        <v>69</v>
      </c>
      <c r="F8" s="85" t="s">
        <v>2</v>
      </c>
      <c r="G8" s="84" t="s">
        <v>6</v>
      </c>
      <c r="H8" s="84" t="s">
        <v>7</v>
      </c>
      <c r="I8" s="84" t="s">
        <v>4</v>
      </c>
      <c r="J8" s="84" t="s">
        <v>5</v>
      </c>
      <c r="K8" s="84" t="s">
        <v>70</v>
      </c>
      <c r="L8" s="83" t="s">
        <v>59</v>
      </c>
      <c r="M8" s="86" t="s">
        <v>8</v>
      </c>
      <c r="N8" s="86" t="s">
        <v>10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</row>
    <row r="9" spans="1:47" s="32" customFormat="1" x14ac:dyDescent="0.3">
      <c r="A9" s="67" t="s">
        <v>132</v>
      </c>
      <c r="B9" s="67">
        <v>1</v>
      </c>
      <c r="C9" s="67"/>
      <c r="D9" s="67"/>
      <c r="E9" s="67"/>
      <c r="F9" s="67"/>
      <c r="G9" s="67"/>
      <c r="H9" s="67"/>
      <c r="I9" s="47"/>
      <c r="J9" s="47"/>
      <c r="K9" s="47"/>
      <c r="L9" s="47" t="s">
        <v>108</v>
      </c>
      <c r="M9" s="47"/>
      <c r="N9" s="67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</row>
    <row r="10" spans="1:47" s="50" customFormat="1" x14ac:dyDescent="0.3">
      <c r="A10" s="90"/>
      <c r="B10" s="4">
        <v>2</v>
      </c>
      <c r="C10" s="5"/>
      <c r="D10" s="5"/>
      <c r="E10" s="5"/>
      <c r="F10" s="5"/>
      <c r="G10" s="5"/>
      <c r="H10" s="5"/>
      <c r="I10" s="109"/>
      <c r="J10" s="2"/>
      <c r="K10" s="2"/>
      <c r="L10" s="90"/>
      <c r="M10" s="3"/>
      <c r="N10" s="3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16"/>
      <c r="AK10" s="17"/>
      <c r="AL10" s="17"/>
      <c r="AM10" s="17"/>
      <c r="AN10" s="17"/>
      <c r="AO10" s="96"/>
      <c r="AP10" s="96"/>
      <c r="AQ10" s="96"/>
      <c r="AR10" s="96"/>
      <c r="AS10" s="96"/>
      <c r="AT10" s="96"/>
      <c r="AU10" s="96"/>
    </row>
    <row r="11" spans="1:47" s="73" customFormat="1" x14ac:dyDescent="0.3">
      <c r="A11" s="90"/>
      <c r="B11" s="4">
        <v>3</v>
      </c>
      <c r="C11" s="5"/>
      <c r="D11" s="5"/>
      <c r="E11" s="5"/>
      <c r="F11" s="5"/>
      <c r="G11" s="5"/>
      <c r="H11" s="5"/>
      <c r="I11" s="109"/>
      <c r="J11" s="2"/>
      <c r="K11" s="2"/>
      <c r="L11" s="90"/>
      <c r="M11" s="3"/>
      <c r="N11" s="3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6"/>
      <c r="AP11" s="6"/>
      <c r="AQ11" s="6"/>
      <c r="AR11" s="6"/>
      <c r="AS11" s="6"/>
      <c r="AT11" s="6"/>
      <c r="AU11" s="6"/>
    </row>
    <row r="12" spans="1:47" s="51" customFormat="1" x14ac:dyDescent="0.3">
      <c r="A12" s="90"/>
      <c r="B12" s="90">
        <v>4</v>
      </c>
      <c r="C12" s="1"/>
      <c r="D12" s="1"/>
      <c r="E12" s="1"/>
      <c r="F12" s="2"/>
      <c r="G12" s="1"/>
      <c r="H12" s="1"/>
      <c r="I12" s="111"/>
      <c r="J12" s="2"/>
      <c r="K12" s="2"/>
      <c r="L12" s="90"/>
      <c r="M12" s="3"/>
      <c r="N12" s="67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15"/>
      <c r="AP12" s="15"/>
      <c r="AQ12" s="15"/>
      <c r="AR12" s="15"/>
      <c r="AS12" s="15"/>
      <c r="AT12" s="15"/>
      <c r="AU12" s="15"/>
    </row>
    <row r="13" spans="1:47" s="51" customFormat="1" ht="15.75" customHeight="1" x14ac:dyDescent="0.3">
      <c r="A13" s="90"/>
      <c r="B13" s="90">
        <v>5</v>
      </c>
      <c r="C13" s="2"/>
      <c r="D13" s="2"/>
      <c r="E13" s="2"/>
      <c r="F13" s="2"/>
      <c r="G13" s="2"/>
      <c r="H13" s="2"/>
      <c r="I13" s="109"/>
      <c r="J13" s="2"/>
      <c r="K13" s="2"/>
      <c r="L13" s="90"/>
      <c r="M13" s="3"/>
      <c r="N13" s="3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15"/>
      <c r="AP13" s="15"/>
      <c r="AQ13" s="15"/>
      <c r="AR13" s="15"/>
      <c r="AS13" s="15"/>
      <c r="AT13" s="15"/>
      <c r="AU13" s="15"/>
    </row>
    <row r="14" spans="1:47" s="52" customFormat="1" x14ac:dyDescent="0.3">
      <c r="A14" s="90"/>
      <c r="B14" s="90">
        <v>6</v>
      </c>
      <c r="C14" s="5"/>
      <c r="D14" s="5"/>
      <c r="E14" s="5"/>
      <c r="F14" s="2"/>
      <c r="G14" s="2"/>
      <c r="H14" s="2"/>
      <c r="I14" s="109"/>
      <c r="J14" s="2"/>
      <c r="K14" s="2"/>
      <c r="L14" s="90"/>
      <c r="M14" s="3"/>
      <c r="N14" s="3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1"/>
      <c r="AP14" s="11"/>
      <c r="AQ14" s="11"/>
      <c r="AR14" s="11"/>
      <c r="AS14" s="11"/>
      <c r="AT14" s="11"/>
      <c r="AU14" s="11"/>
    </row>
    <row r="15" spans="1:47" s="51" customFormat="1" ht="14.25" customHeight="1" x14ac:dyDescent="0.3">
      <c r="A15" s="90"/>
      <c r="B15" s="90">
        <v>7</v>
      </c>
      <c r="C15" s="2"/>
      <c r="D15" s="2"/>
      <c r="E15" s="5"/>
      <c r="F15" s="2"/>
      <c r="G15" s="2"/>
      <c r="H15" s="2"/>
      <c r="I15" s="109"/>
      <c r="J15" s="2"/>
      <c r="K15" s="2"/>
      <c r="L15" s="90"/>
      <c r="M15" s="3"/>
      <c r="N15" s="3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15"/>
      <c r="AP15" s="15"/>
      <c r="AQ15" s="15"/>
      <c r="AR15" s="15"/>
      <c r="AS15" s="15"/>
      <c r="AT15" s="15"/>
      <c r="AU15" s="15"/>
    </row>
    <row r="16" spans="1:47" s="51" customFormat="1" x14ac:dyDescent="0.3">
      <c r="A16" s="90"/>
      <c r="B16" s="90">
        <v>8</v>
      </c>
      <c r="C16" s="2"/>
      <c r="D16" s="2"/>
      <c r="E16" s="5"/>
      <c r="F16" s="2"/>
      <c r="G16" s="2"/>
      <c r="H16" s="2"/>
      <c r="I16" s="109"/>
      <c r="J16" s="2"/>
      <c r="K16" s="2"/>
      <c r="L16" s="90"/>
      <c r="M16" s="3"/>
      <c r="N16" s="3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15"/>
      <c r="AP16" s="15"/>
      <c r="AQ16" s="15"/>
      <c r="AR16" s="15"/>
      <c r="AS16" s="15"/>
      <c r="AT16" s="15"/>
      <c r="AU16" s="15"/>
    </row>
    <row r="17" spans="1:47" s="51" customFormat="1" ht="15.75" customHeight="1" x14ac:dyDescent="0.3">
      <c r="A17" s="90"/>
      <c r="B17" s="90">
        <v>9</v>
      </c>
      <c r="C17" s="2"/>
      <c r="D17" s="2"/>
      <c r="E17" s="5"/>
      <c r="F17" s="2"/>
      <c r="G17" s="2"/>
      <c r="H17" s="2"/>
      <c r="I17" s="109"/>
      <c r="J17" s="2"/>
      <c r="K17" s="2"/>
      <c r="L17" s="90"/>
      <c r="M17" s="3"/>
      <c r="N17" s="3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15"/>
      <c r="AP17" s="15"/>
      <c r="AQ17" s="15"/>
      <c r="AR17" s="15"/>
      <c r="AS17" s="15"/>
      <c r="AT17" s="15"/>
      <c r="AU17" s="15"/>
    </row>
    <row r="18" spans="1:47" s="32" customFormat="1" x14ac:dyDescent="0.3">
      <c r="A18" s="67" t="s">
        <v>92</v>
      </c>
      <c r="B18" s="67">
        <v>10</v>
      </c>
      <c r="C18" s="2">
        <v>600</v>
      </c>
      <c r="D18" s="2">
        <f>10%*C18</f>
        <v>60</v>
      </c>
      <c r="E18" s="5">
        <f>C18-D18</f>
        <v>540</v>
      </c>
      <c r="F18" s="2">
        <v>0</v>
      </c>
      <c r="G18" s="2">
        <v>0</v>
      </c>
      <c r="H18" s="2">
        <f>D56</f>
        <v>17.824999999999999</v>
      </c>
      <c r="I18" s="109">
        <f>SUM(E18:H18)</f>
        <v>557.82500000000005</v>
      </c>
      <c r="J18" s="2">
        <f>I18*7%</f>
        <v>39.047750000000008</v>
      </c>
      <c r="K18" s="2">
        <f>I18-J18</f>
        <v>518.77725000000009</v>
      </c>
      <c r="L18" s="47" t="s">
        <v>139</v>
      </c>
      <c r="M18" s="3">
        <v>10</v>
      </c>
      <c r="N18" s="67">
        <v>11</v>
      </c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69"/>
      <c r="AU18" s="69"/>
    </row>
    <row r="19" spans="1:47" s="32" customFormat="1" x14ac:dyDescent="0.3">
      <c r="A19" s="67"/>
      <c r="B19" s="67">
        <v>11</v>
      </c>
      <c r="C19" s="2"/>
      <c r="D19" s="2"/>
      <c r="E19" s="5"/>
      <c r="F19" s="2"/>
      <c r="G19" s="2"/>
      <c r="H19" s="2"/>
      <c r="I19" s="109"/>
      <c r="J19" s="2"/>
      <c r="K19" s="2"/>
      <c r="L19" s="47"/>
      <c r="M19" s="3"/>
      <c r="N19" s="67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69"/>
      <c r="AU19" s="69"/>
    </row>
    <row r="20" spans="1:47" s="51" customFormat="1" x14ac:dyDescent="0.3">
      <c r="A20" s="90"/>
      <c r="B20" s="90">
        <v>12</v>
      </c>
      <c r="C20" s="2"/>
      <c r="D20" s="2"/>
      <c r="E20" s="5"/>
      <c r="F20" s="5"/>
      <c r="G20" s="5"/>
      <c r="H20" s="5"/>
      <c r="I20" s="109"/>
      <c r="J20" s="2"/>
      <c r="K20" s="2"/>
      <c r="L20" s="90"/>
      <c r="M20" s="3"/>
      <c r="N20" s="3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15"/>
      <c r="AP20" s="15"/>
      <c r="AQ20" s="15"/>
      <c r="AR20" s="15"/>
      <c r="AS20" s="15"/>
      <c r="AT20" s="15"/>
      <c r="AU20" s="15"/>
    </row>
    <row r="21" spans="1:47" s="32" customFormat="1" x14ac:dyDescent="0.3">
      <c r="A21" s="67"/>
      <c r="B21" s="67">
        <v>13</v>
      </c>
      <c r="C21" s="2"/>
      <c r="D21" s="2"/>
      <c r="E21" s="5"/>
      <c r="F21" s="2"/>
      <c r="G21" s="2"/>
      <c r="H21" s="2"/>
      <c r="I21" s="109"/>
      <c r="J21" s="2"/>
      <c r="K21" s="2"/>
      <c r="L21" s="90"/>
      <c r="M21" s="3"/>
      <c r="N21" s="67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69"/>
      <c r="AU21" s="69"/>
    </row>
    <row r="22" spans="1:47" s="32" customFormat="1" ht="32.25" customHeight="1" x14ac:dyDescent="0.3">
      <c r="A22" s="122" t="s">
        <v>141</v>
      </c>
      <c r="B22" s="67">
        <v>15</v>
      </c>
      <c r="C22" s="2">
        <v>730</v>
      </c>
      <c r="D22" s="2">
        <v>60</v>
      </c>
      <c r="E22" s="5">
        <f>(C22-D22)/31*26</f>
        <v>561.9354838709678</v>
      </c>
      <c r="F22" s="2">
        <f>50/31*26</f>
        <v>41.935483870967737</v>
      </c>
      <c r="G22" s="2">
        <f>D67</f>
        <v>5.3552009456264766</v>
      </c>
      <c r="H22" s="2">
        <f>D66</f>
        <v>19.989999999999998</v>
      </c>
      <c r="I22" s="109">
        <f>SUM(E22:H22)</f>
        <v>629.216168687562</v>
      </c>
      <c r="J22" s="2">
        <f>7%*I22</f>
        <v>44.045131808129348</v>
      </c>
      <c r="K22" s="2">
        <f>I22-J22</f>
        <v>585.17103687943268</v>
      </c>
      <c r="L22" s="90" t="s">
        <v>156</v>
      </c>
      <c r="M22" s="3">
        <v>10</v>
      </c>
      <c r="N22" s="67">
        <v>11</v>
      </c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69"/>
      <c r="AU22" s="69"/>
    </row>
    <row r="23" spans="1:47" s="52" customFormat="1" x14ac:dyDescent="0.3">
      <c r="A23" s="3" t="s">
        <v>100</v>
      </c>
      <c r="B23" s="3">
        <v>16</v>
      </c>
      <c r="C23" s="2">
        <f>'GERAL 2021'!G18</f>
        <v>640</v>
      </c>
      <c r="D23" s="2">
        <f>10%*C23</f>
        <v>64</v>
      </c>
      <c r="E23" s="5">
        <f>C23-D23</f>
        <v>576</v>
      </c>
      <c r="F23" s="2">
        <f>60</f>
        <v>60</v>
      </c>
      <c r="G23" s="2">
        <v>0</v>
      </c>
      <c r="H23" s="2">
        <f>D68</f>
        <v>19.811666666666667</v>
      </c>
      <c r="I23" s="109">
        <f>SUM(E23:H23)</f>
        <v>655.81166666666672</v>
      </c>
      <c r="J23" s="2">
        <f>7%*I23</f>
        <v>45.906816666666678</v>
      </c>
      <c r="K23" s="2">
        <f>I23-J23</f>
        <v>609.90485000000001</v>
      </c>
      <c r="L23" s="71" t="s">
        <v>118</v>
      </c>
      <c r="M23" s="3">
        <v>10</v>
      </c>
      <c r="N23" s="3">
        <v>11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1"/>
      <c r="AP23" s="11"/>
      <c r="AQ23" s="11"/>
      <c r="AR23" s="11"/>
      <c r="AS23" s="11"/>
      <c r="AT23" s="11"/>
      <c r="AU23" s="11"/>
    </row>
    <row r="24" spans="1:47" s="32" customFormat="1" x14ac:dyDescent="0.3">
      <c r="A24" s="67" t="s">
        <v>119</v>
      </c>
      <c r="B24" s="67">
        <v>17</v>
      </c>
      <c r="C24" s="67"/>
      <c r="D24" s="67"/>
      <c r="E24" s="67"/>
      <c r="F24" s="67"/>
      <c r="G24" s="67"/>
      <c r="H24" s="67"/>
      <c r="I24" s="47"/>
      <c r="J24" s="47"/>
      <c r="K24" s="47"/>
      <c r="L24" s="47" t="s">
        <v>108</v>
      </c>
      <c r="M24" s="47"/>
      <c r="N24" s="67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</row>
    <row r="25" spans="1:47" s="52" customFormat="1" ht="14.25" customHeight="1" x14ac:dyDescent="0.3">
      <c r="A25" s="88" t="s">
        <v>103</v>
      </c>
      <c r="B25" s="90">
        <v>18</v>
      </c>
      <c r="C25" s="2">
        <f>'GERAL 2021'!G20</f>
        <v>650</v>
      </c>
      <c r="D25" s="2">
        <f>10%*C25</f>
        <v>65</v>
      </c>
      <c r="E25" s="5">
        <f>C25-D25</f>
        <v>585</v>
      </c>
      <c r="F25" s="2">
        <f>30</f>
        <v>30</v>
      </c>
      <c r="G25" s="2">
        <v>0</v>
      </c>
      <c r="H25" s="2">
        <f>D72</f>
        <v>19.836666666666666</v>
      </c>
      <c r="I25" s="109">
        <f>SUM(E25:H25)</f>
        <v>634.8366666666667</v>
      </c>
      <c r="J25" s="2">
        <f>7%*I25</f>
        <v>44.438566666666674</v>
      </c>
      <c r="K25" s="2">
        <f>I25-J25</f>
        <v>590.3981</v>
      </c>
      <c r="L25" s="71" t="s">
        <v>118</v>
      </c>
      <c r="M25" s="3">
        <v>10</v>
      </c>
      <c r="N25" s="3">
        <v>11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1"/>
      <c r="AP25" s="11"/>
      <c r="AQ25" s="11"/>
      <c r="AR25" s="11"/>
      <c r="AS25" s="11"/>
      <c r="AT25" s="11"/>
      <c r="AU25" s="11"/>
    </row>
    <row r="26" spans="1:47" s="18" customFormat="1" ht="32.25" customHeight="1" x14ac:dyDescent="0.3">
      <c r="A26" s="95" t="s">
        <v>142</v>
      </c>
      <c r="B26" s="90">
        <v>19</v>
      </c>
      <c r="C26" s="2">
        <v>600</v>
      </c>
      <c r="D26" s="2">
        <f>10%*C26</f>
        <v>60</v>
      </c>
      <c r="E26" s="5">
        <f>(C26-D26)/31*8</f>
        <v>139.35483870967741</v>
      </c>
      <c r="F26" s="2">
        <f>50/31*8</f>
        <v>12.903225806451612</v>
      </c>
      <c r="G26" s="2">
        <f>D75</f>
        <v>5.3552009456264766</v>
      </c>
      <c r="H26" s="2">
        <f>D74</f>
        <v>19.738333333333333</v>
      </c>
      <c r="I26" s="109">
        <f>SUM(E26:H26)</f>
        <v>177.35159879508885</v>
      </c>
      <c r="J26" s="2">
        <f>7%*I26</f>
        <v>12.41461191565622</v>
      </c>
      <c r="K26" s="2">
        <f>I26-J26</f>
        <v>164.93698687943262</v>
      </c>
      <c r="L26" s="90" t="s">
        <v>157</v>
      </c>
      <c r="M26" s="3">
        <v>10</v>
      </c>
      <c r="N26" s="3">
        <v>11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1"/>
      <c r="AP26" s="11"/>
      <c r="AQ26" s="11"/>
      <c r="AR26" s="11"/>
      <c r="AS26" s="11"/>
      <c r="AT26" s="11"/>
      <c r="AU26" s="11"/>
    </row>
    <row r="27" spans="1:47" s="52" customFormat="1" x14ac:dyDescent="0.3">
      <c r="A27" s="88"/>
      <c r="B27" s="90">
        <v>20</v>
      </c>
      <c r="C27" s="2"/>
      <c r="D27" s="2"/>
      <c r="E27" s="5"/>
      <c r="F27" s="2"/>
      <c r="G27" s="2"/>
      <c r="H27" s="2"/>
      <c r="I27" s="109"/>
      <c r="J27" s="2"/>
      <c r="K27" s="2"/>
      <c r="L27" s="90"/>
      <c r="M27" s="3"/>
      <c r="N27" s="3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1"/>
      <c r="AP27" s="11"/>
      <c r="AQ27" s="11"/>
      <c r="AR27" s="11"/>
      <c r="AS27" s="11"/>
      <c r="AT27" s="11"/>
      <c r="AU27" s="11"/>
    </row>
    <row r="28" spans="1:47" s="52" customFormat="1" ht="15" customHeight="1" x14ac:dyDescent="0.3">
      <c r="A28" s="88"/>
      <c r="B28" s="90">
        <v>21</v>
      </c>
      <c r="C28" s="2"/>
      <c r="D28" s="2"/>
      <c r="E28" s="5"/>
      <c r="F28" s="2"/>
      <c r="G28" s="2"/>
      <c r="H28" s="2"/>
      <c r="I28" s="109"/>
      <c r="J28" s="2"/>
      <c r="K28" s="2"/>
      <c r="L28" s="90"/>
      <c r="M28" s="3"/>
      <c r="N28" s="3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1"/>
      <c r="AP28" s="11"/>
      <c r="AQ28" s="11"/>
      <c r="AR28" s="11"/>
      <c r="AS28" s="11"/>
      <c r="AT28" s="11"/>
      <c r="AU28" s="11"/>
    </row>
    <row r="29" spans="1:47" s="52" customFormat="1" ht="15.75" customHeight="1" x14ac:dyDescent="0.3">
      <c r="A29" s="88"/>
      <c r="B29" s="90">
        <v>22</v>
      </c>
      <c r="C29" s="2"/>
      <c r="D29" s="2"/>
      <c r="E29" s="5"/>
      <c r="F29" s="2"/>
      <c r="G29" s="2"/>
      <c r="H29" s="2"/>
      <c r="I29" s="109"/>
      <c r="J29" s="2"/>
      <c r="K29" s="2"/>
      <c r="L29" s="90"/>
      <c r="M29" s="3"/>
      <c r="N29" s="3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1"/>
      <c r="AP29" s="11"/>
      <c r="AQ29" s="11"/>
      <c r="AR29" s="11"/>
      <c r="AS29" s="11"/>
      <c r="AT29" s="11"/>
      <c r="AU29" s="11"/>
    </row>
    <row r="30" spans="1:47" s="52" customFormat="1" x14ac:dyDescent="0.3">
      <c r="A30" s="88"/>
      <c r="B30" s="90">
        <v>23</v>
      </c>
      <c r="C30" s="2"/>
      <c r="D30" s="2"/>
      <c r="E30" s="5"/>
      <c r="F30" s="2"/>
      <c r="G30" s="2"/>
      <c r="H30" s="2"/>
      <c r="I30" s="109"/>
      <c r="J30" s="2"/>
      <c r="K30" s="2"/>
      <c r="L30" s="90"/>
      <c r="M30" s="3"/>
      <c r="N30" s="3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1"/>
      <c r="AP30" s="11"/>
      <c r="AQ30" s="11"/>
      <c r="AR30" s="11"/>
      <c r="AS30" s="11"/>
      <c r="AT30" s="11"/>
      <c r="AU30" s="11"/>
    </row>
    <row r="31" spans="1:47" s="52" customFormat="1" x14ac:dyDescent="0.3">
      <c r="A31" s="88"/>
      <c r="B31" s="90">
        <v>24</v>
      </c>
      <c r="C31" s="2"/>
      <c r="D31" s="2"/>
      <c r="E31" s="5"/>
      <c r="F31" s="2"/>
      <c r="G31" s="2"/>
      <c r="H31" s="2"/>
      <c r="I31" s="109"/>
      <c r="J31" s="2"/>
      <c r="K31" s="2"/>
      <c r="L31" s="90"/>
      <c r="M31" s="3"/>
      <c r="N31" s="3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1"/>
      <c r="AP31" s="11"/>
      <c r="AQ31" s="11"/>
      <c r="AR31" s="11"/>
      <c r="AS31" s="11"/>
      <c r="AT31" s="11"/>
      <c r="AU31" s="11"/>
    </row>
    <row r="32" spans="1:47" s="52" customFormat="1" x14ac:dyDescent="0.3">
      <c r="A32" s="11" t="s">
        <v>87</v>
      </c>
      <c r="B32" s="90">
        <v>25</v>
      </c>
      <c r="C32" s="2">
        <f>704</f>
        <v>704</v>
      </c>
      <c r="D32" s="2">
        <f>10%*C32</f>
        <v>70.400000000000006</v>
      </c>
      <c r="E32" s="5">
        <f>C32-D32</f>
        <v>633.6</v>
      </c>
      <c r="F32" s="2">
        <f>30</f>
        <v>30</v>
      </c>
      <c r="G32" s="2">
        <v>0</v>
      </c>
      <c r="H32" s="2">
        <v>19.989999999999998</v>
      </c>
      <c r="I32" s="109">
        <f>SUM(E32:H32)</f>
        <v>683.59</v>
      </c>
      <c r="J32" s="2">
        <f>I32*7%</f>
        <v>47.851300000000009</v>
      </c>
      <c r="K32" s="2">
        <f>I32-J32</f>
        <v>635.73869999999999</v>
      </c>
      <c r="L32" s="71" t="s">
        <v>139</v>
      </c>
      <c r="M32" s="98">
        <v>10</v>
      </c>
      <c r="N32" s="3">
        <v>11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1"/>
      <c r="AP32" s="11"/>
      <c r="AQ32" s="11"/>
      <c r="AR32" s="11"/>
      <c r="AS32" s="11"/>
      <c r="AT32" s="11"/>
      <c r="AU32" s="11"/>
    </row>
    <row r="33" spans="1:58" s="52" customFormat="1" x14ac:dyDescent="0.3">
      <c r="A33" s="88"/>
      <c r="B33" s="90">
        <v>26</v>
      </c>
      <c r="C33" s="2"/>
      <c r="D33" s="2"/>
      <c r="E33" s="5"/>
      <c r="F33" s="2"/>
      <c r="G33" s="2"/>
      <c r="H33" s="2"/>
      <c r="I33" s="109"/>
      <c r="J33" s="2"/>
      <c r="K33" s="2"/>
      <c r="L33" s="90"/>
      <c r="M33" s="3"/>
      <c r="N33" s="3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1"/>
      <c r="AP33" s="11"/>
      <c r="AQ33" s="11"/>
      <c r="AR33" s="11"/>
      <c r="AS33" s="11"/>
      <c r="AT33" s="11"/>
      <c r="AU33" s="11"/>
    </row>
    <row r="34" spans="1:58" s="52" customFormat="1" x14ac:dyDescent="0.3">
      <c r="A34" s="88" t="s">
        <v>86</v>
      </c>
      <c r="B34" s="90">
        <v>27</v>
      </c>
      <c r="C34" s="72">
        <f>650</f>
        <v>650</v>
      </c>
      <c r="D34" s="72">
        <f>10%*C34</f>
        <v>65</v>
      </c>
      <c r="E34" s="5">
        <f>C34-D34</f>
        <v>585</v>
      </c>
      <c r="F34" s="72">
        <f>60</f>
        <v>60</v>
      </c>
      <c r="G34" s="72">
        <v>0</v>
      </c>
      <c r="H34" s="72">
        <f>D90</f>
        <v>19.836666666666666</v>
      </c>
      <c r="I34" s="112">
        <f>SUM(E34:H34)</f>
        <v>664.8366666666667</v>
      </c>
      <c r="J34" s="2">
        <f>I34*7%</f>
        <v>46.538566666666675</v>
      </c>
      <c r="K34" s="72">
        <f>I34-J34</f>
        <v>618.29809999999998</v>
      </c>
      <c r="L34" s="71" t="s">
        <v>140</v>
      </c>
      <c r="M34" s="98">
        <v>10</v>
      </c>
      <c r="N34" s="3">
        <v>11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1"/>
      <c r="AP34" s="11"/>
      <c r="AQ34" s="11"/>
      <c r="AR34" s="11"/>
      <c r="AS34" s="11"/>
      <c r="AT34" s="11"/>
      <c r="AU34" s="11"/>
    </row>
    <row r="35" spans="1:58" s="52" customFormat="1" ht="14.4" thickBot="1" x14ac:dyDescent="0.35">
      <c r="A35" s="518" t="s">
        <v>4</v>
      </c>
      <c r="B35" s="518"/>
      <c r="C35" s="109">
        <f>SUM(C9:C34)</f>
        <v>4574</v>
      </c>
      <c r="D35" s="109">
        <f t="shared" ref="D35:I35" si="1">SUM(D9:D34)</f>
        <v>444.4</v>
      </c>
      <c r="E35" s="109">
        <f t="shared" si="1"/>
        <v>3620.8903225806453</v>
      </c>
      <c r="F35" s="109">
        <f t="shared" si="1"/>
        <v>234.83870967741936</v>
      </c>
      <c r="G35" s="109">
        <f t="shared" si="1"/>
        <v>10.710401891252953</v>
      </c>
      <c r="H35" s="109">
        <f t="shared" si="1"/>
        <v>137.02833333333334</v>
      </c>
      <c r="I35" s="109">
        <f t="shared" si="1"/>
        <v>4003.4677674826507</v>
      </c>
      <c r="J35" s="109">
        <f>SUM(J9:J34)</f>
        <v>280.24274372378562</v>
      </c>
      <c r="K35" s="109">
        <f>SUM(K9:K34)</f>
        <v>3723.2250237588651</v>
      </c>
      <c r="L35" s="90"/>
      <c r="M35" s="120"/>
      <c r="N35" s="56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1"/>
      <c r="AP35" s="11"/>
      <c r="AQ35" s="11"/>
      <c r="AR35" s="11"/>
      <c r="AS35" s="11"/>
      <c r="AT35" s="11"/>
      <c r="AU35" s="11"/>
    </row>
    <row r="36" spans="1:58" s="19" customFormat="1" ht="14.4" thickBot="1" x14ac:dyDescent="0.35">
      <c r="A36" s="536"/>
      <c r="B36" s="537"/>
      <c r="C36" s="537"/>
      <c r="D36" s="537"/>
      <c r="E36" s="537"/>
      <c r="F36" s="537"/>
      <c r="G36" s="537"/>
      <c r="H36" s="537"/>
      <c r="I36" s="537"/>
      <c r="J36" s="537"/>
      <c r="K36" s="537"/>
      <c r="L36" s="537"/>
      <c r="M36" s="524"/>
      <c r="N36" s="525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</row>
    <row r="37" spans="1:58" s="40" customFormat="1" ht="15" customHeight="1" x14ac:dyDescent="0.3">
      <c r="A37" s="518" t="s">
        <v>9</v>
      </c>
      <c r="B37" s="518"/>
      <c r="C37" s="518"/>
      <c r="D37" s="518"/>
      <c r="E37" s="518"/>
      <c r="F37" s="518"/>
      <c r="G37" s="46"/>
      <c r="H37" s="46"/>
      <c r="I37" s="64"/>
      <c r="J37" s="46"/>
      <c r="K37" s="46"/>
      <c r="L37" s="513" t="s">
        <v>20</v>
      </c>
      <c r="M37" s="513"/>
      <c r="N37" s="526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10"/>
      <c r="AK37" s="10"/>
      <c r="AL37" s="10"/>
      <c r="AM37" s="10"/>
      <c r="AN37" s="10"/>
      <c r="AO37" s="10"/>
      <c r="AP37" s="10"/>
      <c r="AQ37" s="10"/>
      <c r="AR37" s="11"/>
      <c r="AS37" s="11"/>
      <c r="AT37" s="11"/>
      <c r="AU37" s="11"/>
    </row>
    <row r="38" spans="1:58" s="40" customFormat="1" x14ac:dyDescent="0.3">
      <c r="A38" s="76" t="s">
        <v>40</v>
      </c>
      <c r="B38" s="77">
        <f>'GERAL 2021'!K3</f>
        <v>118.43</v>
      </c>
      <c r="C38" s="78">
        <v>6</v>
      </c>
      <c r="D38" s="77">
        <f>B38/C38</f>
        <v>19.738333333333333</v>
      </c>
      <c r="E38" s="78"/>
      <c r="F38" s="77"/>
      <c r="G38" s="11"/>
      <c r="H38" s="11"/>
      <c r="I38" s="87"/>
      <c r="J38" s="87"/>
      <c r="K38" s="87"/>
      <c r="L38" s="527" t="s">
        <v>94</v>
      </c>
      <c r="M38" s="527"/>
      <c r="N38" s="49">
        <f>J35</f>
        <v>280.24274372378562</v>
      </c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10"/>
      <c r="AK38" s="10"/>
      <c r="AL38" s="10"/>
      <c r="AM38" s="10"/>
      <c r="AN38" s="10"/>
      <c r="AO38" s="10"/>
      <c r="AP38" s="10"/>
      <c r="AQ38" s="10"/>
      <c r="AR38" s="11"/>
      <c r="AS38" s="11"/>
      <c r="AT38" s="11"/>
      <c r="AU38" s="11"/>
    </row>
    <row r="39" spans="1:58" s="40" customFormat="1" x14ac:dyDescent="0.3">
      <c r="A39" s="12" t="s">
        <v>46</v>
      </c>
      <c r="B39" s="2">
        <f>'GERAL 2021'!I3</f>
        <v>1.0710401891252954</v>
      </c>
      <c r="C39" s="88">
        <v>6</v>
      </c>
      <c r="D39" s="2">
        <f>B39*C39</f>
        <v>6.4262411347517725</v>
      </c>
      <c r="E39" s="88"/>
      <c r="F39" s="88"/>
      <c r="G39" s="11"/>
      <c r="H39" s="11"/>
      <c r="I39" s="14"/>
      <c r="J39" s="14"/>
      <c r="K39" s="14"/>
      <c r="L39" s="534" t="s">
        <v>113</v>
      </c>
      <c r="M39" s="535"/>
      <c r="N39" s="114">
        <f>J6</f>
        <v>774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10"/>
      <c r="AK39" s="10"/>
      <c r="AL39" s="10"/>
      <c r="AM39" s="10"/>
      <c r="AN39" s="10"/>
      <c r="AO39" s="10"/>
      <c r="AP39" s="10"/>
      <c r="AQ39" s="10"/>
      <c r="AR39" s="11"/>
      <c r="AS39" s="11"/>
      <c r="AT39" s="11"/>
      <c r="AU39" s="11"/>
    </row>
    <row r="40" spans="1:58" s="40" customFormat="1" x14ac:dyDescent="0.3">
      <c r="A40" s="79" t="s">
        <v>29</v>
      </c>
      <c r="B40" s="80"/>
      <c r="C40" s="82"/>
      <c r="D40" s="80"/>
      <c r="E40" s="78"/>
      <c r="F40" s="77"/>
      <c r="G40" s="11"/>
      <c r="H40" s="11"/>
      <c r="I40" s="14"/>
      <c r="J40" s="14"/>
      <c r="K40" s="14"/>
      <c r="L40" s="520"/>
      <c r="M40" s="520"/>
      <c r="N40" s="528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10"/>
      <c r="AK40" s="10"/>
      <c r="AL40" s="10"/>
      <c r="AM40" s="10"/>
      <c r="AN40" s="10"/>
      <c r="AO40" s="10"/>
      <c r="AP40" s="10"/>
      <c r="AQ40" s="10"/>
      <c r="AR40" s="11"/>
      <c r="AS40" s="11"/>
      <c r="AT40" s="11"/>
      <c r="AU40" s="11"/>
    </row>
    <row r="41" spans="1:58" s="40" customFormat="1" ht="15" customHeight="1" x14ac:dyDescent="0.3">
      <c r="A41" s="12" t="s">
        <v>30</v>
      </c>
      <c r="B41" s="2"/>
      <c r="C41" s="88"/>
      <c r="D41" s="2"/>
      <c r="E41" s="53"/>
      <c r="F41" s="53"/>
      <c r="G41" s="11"/>
      <c r="H41" s="11"/>
      <c r="I41" s="62"/>
      <c r="J41" s="62"/>
      <c r="K41" s="62"/>
      <c r="L41" s="520"/>
      <c r="M41" s="520"/>
      <c r="N41" s="528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10"/>
      <c r="AK41" s="10"/>
      <c r="AL41" s="10"/>
      <c r="AM41" s="10"/>
      <c r="AN41" s="10"/>
      <c r="AO41" s="10"/>
      <c r="AP41" s="10"/>
      <c r="AQ41" s="10"/>
      <c r="AR41" s="11"/>
      <c r="AS41" s="11"/>
      <c r="AT41" s="11"/>
      <c r="AU41" s="11"/>
    </row>
    <row r="42" spans="1:58" s="40" customFormat="1" x14ac:dyDescent="0.3">
      <c r="A42" s="79" t="s">
        <v>65</v>
      </c>
      <c r="B42" s="80"/>
      <c r="C42" s="82"/>
      <c r="D42" s="80"/>
      <c r="E42" s="78"/>
      <c r="F42" s="77"/>
      <c r="G42" s="11"/>
      <c r="H42" s="11"/>
      <c r="I42" s="14"/>
      <c r="J42" s="14"/>
      <c r="K42" s="14"/>
      <c r="L42" s="529" t="s">
        <v>12</v>
      </c>
      <c r="M42" s="529"/>
      <c r="N42" s="530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10"/>
      <c r="AK42" s="10"/>
      <c r="AL42" s="10"/>
      <c r="AM42" s="10"/>
      <c r="AN42" s="10"/>
      <c r="AO42" s="10"/>
      <c r="AP42" s="10"/>
      <c r="AQ42" s="10"/>
      <c r="AR42" s="11"/>
      <c r="AS42" s="11"/>
      <c r="AT42" s="11"/>
      <c r="AU42" s="11"/>
    </row>
    <row r="43" spans="1:58" s="40" customFormat="1" x14ac:dyDescent="0.3">
      <c r="A43" s="12" t="s">
        <v>62</v>
      </c>
      <c r="B43" s="2"/>
      <c r="C43" s="88"/>
      <c r="D43" s="2"/>
      <c r="E43" s="88"/>
      <c r="F43" s="88"/>
      <c r="G43" s="11"/>
      <c r="H43" s="11"/>
      <c r="I43" s="63"/>
      <c r="J43" s="63"/>
      <c r="K43" s="63"/>
      <c r="L43" s="514" t="s">
        <v>145</v>
      </c>
      <c r="M43" s="514"/>
      <c r="N43" s="2">
        <f>19.73</f>
        <v>19.73</v>
      </c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10"/>
      <c r="AK43" s="10"/>
      <c r="AL43" s="10"/>
      <c r="AM43" s="10"/>
      <c r="AN43" s="10"/>
      <c r="AO43" s="10"/>
      <c r="AP43" s="10"/>
      <c r="AQ43" s="10"/>
      <c r="AR43" s="11"/>
      <c r="AS43" s="11"/>
      <c r="AT43" s="11"/>
      <c r="AU43" s="11"/>
    </row>
    <row r="44" spans="1:58" s="40" customFormat="1" x14ac:dyDescent="0.3">
      <c r="A44" s="79" t="s">
        <v>60</v>
      </c>
      <c r="B44" s="80"/>
      <c r="C44" s="82"/>
      <c r="D44" s="80"/>
      <c r="E44" s="78"/>
      <c r="F44" s="77"/>
      <c r="G44" s="11"/>
      <c r="H44" s="11"/>
      <c r="I44" s="14"/>
      <c r="J44" s="14"/>
      <c r="K44" s="14"/>
      <c r="L44" s="514" t="s">
        <v>146</v>
      </c>
      <c r="M44" s="514"/>
      <c r="N44" s="2">
        <v>17.82</v>
      </c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10"/>
      <c r="AK44" s="10"/>
      <c r="AL44" s="10"/>
      <c r="AM44" s="10"/>
      <c r="AN44" s="10"/>
      <c r="AO44" s="10"/>
      <c r="AP44" s="10"/>
      <c r="AQ44" s="10"/>
      <c r="AR44" s="11"/>
      <c r="AS44" s="11"/>
      <c r="AT44" s="11"/>
      <c r="AU44" s="11"/>
    </row>
    <row r="45" spans="1:58" s="40" customFormat="1" ht="15" customHeight="1" x14ac:dyDescent="0.3">
      <c r="A45" s="12" t="s">
        <v>61</v>
      </c>
      <c r="B45" s="2"/>
      <c r="C45" s="88"/>
      <c r="D45" s="2"/>
      <c r="E45" s="88"/>
      <c r="F45" s="88"/>
      <c r="G45" s="11"/>
      <c r="H45" s="11"/>
      <c r="I45" s="63"/>
      <c r="J45" s="63"/>
      <c r="K45" s="63"/>
      <c r="L45" s="514" t="s">
        <v>147</v>
      </c>
      <c r="M45" s="514"/>
      <c r="N45" s="2">
        <v>19.989999999999998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10"/>
      <c r="AK45" s="10"/>
      <c r="AL45" s="10"/>
      <c r="AM45" s="10"/>
      <c r="AN45" s="10"/>
      <c r="AO45" s="10"/>
      <c r="AP45" s="10"/>
      <c r="AQ45" s="10"/>
      <c r="AR45" s="11"/>
      <c r="AS45" s="11"/>
      <c r="AT45" s="11"/>
      <c r="AU45" s="11"/>
    </row>
    <row r="46" spans="1:58" s="40" customFormat="1" ht="15" customHeight="1" x14ac:dyDescent="0.3">
      <c r="A46" s="79" t="s">
        <v>31</v>
      </c>
      <c r="B46" s="80"/>
      <c r="C46" s="82"/>
      <c r="D46" s="80"/>
      <c r="E46" s="78"/>
      <c r="F46" s="77"/>
      <c r="G46" s="11"/>
      <c r="H46" s="11"/>
      <c r="I46" s="14"/>
      <c r="J46" s="14"/>
      <c r="K46" s="14"/>
      <c r="L46" s="514" t="s">
        <v>148</v>
      </c>
      <c r="M46" s="514"/>
      <c r="N46" s="121">
        <v>19.809999999999999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10"/>
      <c r="AK46" s="10"/>
      <c r="AL46" s="10"/>
      <c r="AM46" s="10"/>
      <c r="AN46" s="10"/>
      <c r="AO46" s="10"/>
      <c r="AP46" s="10"/>
      <c r="AQ46" s="10"/>
      <c r="AR46" s="11"/>
      <c r="AS46" s="11"/>
      <c r="AT46" s="11"/>
      <c r="AU46" s="11"/>
    </row>
    <row r="47" spans="1:58" s="40" customFormat="1" ht="15" customHeight="1" x14ac:dyDescent="0.3">
      <c r="A47" s="12" t="s">
        <v>32</v>
      </c>
      <c r="B47" s="2"/>
      <c r="C47" s="88"/>
      <c r="D47" s="2"/>
      <c r="E47" s="88"/>
      <c r="F47" s="88"/>
      <c r="G47" s="11"/>
      <c r="H47" s="11"/>
      <c r="I47" s="63"/>
      <c r="J47" s="63"/>
      <c r="K47" s="63"/>
      <c r="L47" s="514" t="s">
        <v>149</v>
      </c>
      <c r="M47" s="514"/>
      <c r="N47" s="121">
        <v>19.809999999999999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11"/>
      <c r="AS47" s="11"/>
      <c r="AT47" s="11"/>
      <c r="AU47" s="11"/>
    </row>
    <row r="48" spans="1:58" s="40" customFormat="1" x14ac:dyDescent="0.3">
      <c r="A48" s="79" t="s">
        <v>57</v>
      </c>
      <c r="B48" s="80"/>
      <c r="C48" s="82"/>
      <c r="D48" s="80"/>
      <c r="E48" s="78"/>
      <c r="F48" s="77"/>
      <c r="G48" s="11"/>
      <c r="H48" s="11"/>
      <c r="I48" s="14"/>
      <c r="J48" s="14"/>
      <c r="K48" s="14"/>
      <c r="L48" s="520" t="s">
        <v>150</v>
      </c>
      <c r="M48" s="520"/>
      <c r="N48" s="2">
        <v>19.84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11"/>
      <c r="AS48" s="11"/>
      <c r="AT48" s="11"/>
      <c r="AU48" s="11"/>
    </row>
    <row r="49" spans="1:47" s="40" customFormat="1" x14ac:dyDescent="0.3">
      <c r="A49" s="12" t="s">
        <v>58</v>
      </c>
      <c r="B49" s="2"/>
      <c r="C49" s="88"/>
      <c r="D49" s="2"/>
      <c r="E49" s="88"/>
      <c r="F49" s="88"/>
      <c r="G49" s="11"/>
      <c r="H49" s="11"/>
      <c r="I49" s="63"/>
      <c r="J49" s="63"/>
      <c r="K49" s="63"/>
      <c r="L49" s="520" t="s">
        <v>151</v>
      </c>
      <c r="M49" s="520"/>
      <c r="N49" s="2">
        <v>19.73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11"/>
      <c r="AS49" s="11"/>
      <c r="AT49" s="11"/>
      <c r="AU49" s="11"/>
    </row>
    <row r="50" spans="1:47" s="40" customFormat="1" x14ac:dyDescent="0.3">
      <c r="A50" s="79" t="s">
        <v>63</v>
      </c>
      <c r="B50" s="80"/>
      <c r="C50" s="82"/>
      <c r="D50" s="80"/>
      <c r="E50" s="78"/>
      <c r="F50" s="77"/>
      <c r="G50" s="11"/>
      <c r="H50" s="11"/>
      <c r="I50" s="14"/>
      <c r="J50" s="14"/>
      <c r="K50" s="14"/>
      <c r="L50" s="520" t="s">
        <v>152</v>
      </c>
      <c r="M50" s="520"/>
      <c r="N50" s="2">
        <v>19.93</v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11"/>
      <c r="AS50" s="11"/>
      <c r="AT50" s="11"/>
      <c r="AU50" s="11"/>
    </row>
    <row r="51" spans="1:47" s="40" customFormat="1" x14ac:dyDescent="0.3">
      <c r="A51" s="12" t="s">
        <v>64</v>
      </c>
      <c r="B51" s="2"/>
      <c r="C51" s="88"/>
      <c r="D51" s="2"/>
      <c r="E51" s="88"/>
      <c r="F51" s="88"/>
      <c r="G51" s="11"/>
      <c r="H51" s="11"/>
      <c r="I51" s="63"/>
      <c r="J51" s="63"/>
      <c r="K51" s="63"/>
      <c r="L51" s="520" t="s">
        <v>153</v>
      </c>
      <c r="M51" s="520"/>
      <c r="N51" s="2">
        <v>19.84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11"/>
      <c r="AS51" s="11"/>
      <c r="AT51" s="11"/>
      <c r="AU51" s="11"/>
    </row>
    <row r="52" spans="1:47" s="40" customFormat="1" x14ac:dyDescent="0.3">
      <c r="A52" s="79" t="s">
        <v>33</v>
      </c>
      <c r="B52" s="80"/>
      <c r="C52" s="82"/>
      <c r="D52" s="80"/>
      <c r="E52" s="78"/>
      <c r="F52" s="77"/>
      <c r="G52" s="11"/>
      <c r="H52" s="11"/>
      <c r="I52" s="14"/>
      <c r="J52" s="14"/>
      <c r="K52" s="14"/>
      <c r="L52" s="542" t="s">
        <v>154</v>
      </c>
      <c r="M52" s="542"/>
      <c r="N52" s="2">
        <f>4*120</f>
        <v>480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11"/>
      <c r="AS52" s="11"/>
      <c r="AT52" s="11"/>
      <c r="AU52" s="11"/>
    </row>
    <row r="53" spans="1:47" s="40" customFormat="1" x14ac:dyDescent="0.3">
      <c r="A53" s="12" t="s">
        <v>34</v>
      </c>
      <c r="B53" s="2"/>
      <c r="C53" s="88"/>
      <c r="D53" s="2"/>
      <c r="E53" s="88"/>
      <c r="F53" s="88"/>
      <c r="G53" s="11"/>
      <c r="H53" s="11"/>
      <c r="I53" s="63"/>
      <c r="J53" s="63"/>
      <c r="K53" s="63"/>
      <c r="L53" s="541" t="s">
        <v>155</v>
      </c>
      <c r="M53" s="541"/>
      <c r="N53" s="2">
        <f>7.92*2</f>
        <v>15.84</v>
      </c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11"/>
      <c r="AS53" s="11"/>
      <c r="AT53" s="11"/>
      <c r="AU53" s="11"/>
    </row>
    <row r="54" spans="1:47" s="11" customFormat="1" ht="15" customHeight="1" x14ac:dyDescent="0.3">
      <c r="A54" s="79" t="s">
        <v>41</v>
      </c>
      <c r="B54" s="80"/>
      <c r="C54" s="82"/>
      <c r="D54" s="80"/>
      <c r="E54" s="78"/>
      <c r="F54" s="77"/>
      <c r="L54" s="520" t="s">
        <v>126</v>
      </c>
      <c r="M54" s="520"/>
      <c r="N54" s="2">
        <v>136.80000000000001</v>
      </c>
    </row>
    <row r="55" spans="1:47" s="11" customFormat="1" x14ac:dyDescent="0.3">
      <c r="A55" s="12" t="s">
        <v>42</v>
      </c>
      <c r="B55" s="2"/>
      <c r="C55" s="88"/>
      <c r="D55" s="2"/>
      <c r="E55" s="88"/>
      <c r="F55" s="88"/>
      <c r="I55" s="63"/>
      <c r="J55" s="63"/>
      <c r="K55" s="63"/>
      <c r="L55" s="520" t="s">
        <v>127</v>
      </c>
      <c r="M55" s="520"/>
      <c r="N55" s="2">
        <v>199.48</v>
      </c>
    </row>
    <row r="56" spans="1:47" s="11" customFormat="1" ht="15" customHeight="1" x14ac:dyDescent="0.3">
      <c r="A56" s="79" t="s">
        <v>66</v>
      </c>
      <c r="B56" s="80">
        <f>'GERAL 2021'!K12</f>
        <v>106.95</v>
      </c>
      <c r="C56" s="81">
        <v>6</v>
      </c>
      <c r="D56" s="80">
        <f>B56/C56</f>
        <v>17.824999999999999</v>
      </c>
      <c r="E56" s="82"/>
      <c r="F56" s="80"/>
      <c r="I56" s="14"/>
      <c r="J56" s="14"/>
      <c r="K56" s="14"/>
      <c r="L56" s="520"/>
      <c r="M56" s="520"/>
      <c r="N56" s="91"/>
    </row>
    <row r="57" spans="1:47" s="11" customFormat="1" x14ac:dyDescent="0.3">
      <c r="A57" s="12" t="s">
        <v>67</v>
      </c>
      <c r="B57" s="2">
        <f>'GERAL 2021'!I12</f>
        <v>1.0710401891252954</v>
      </c>
      <c r="C57" s="88">
        <v>8</v>
      </c>
      <c r="D57" s="2">
        <f>B57*C57</f>
        <v>8.5683215130023633</v>
      </c>
      <c r="E57" s="88"/>
      <c r="F57" s="88"/>
      <c r="I57" s="63"/>
      <c r="J57" s="63"/>
      <c r="K57" s="63"/>
      <c r="L57" s="518"/>
      <c r="M57" s="518"/>
      <c r="N57" s="48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</row>
    <row r="58" spans="1:47" s="11" customFormat="1" x14ac:dyDescent="0.3">
      <c r="A58" s="79" t="s">
        <v>14</v>
      </c>
      <c r="B58" s="80"/>
      <c r="C58" s="82"/>
      <c r="D58" s="80"/>
      <c r="E58" s="82"/>
      <c r="F58" s="80"/>
      <c r="I58" s="14"/>
      <c r="J58" s="14"/>
      <c r="K58" s="14"/>
      <c r="L58" s="531" t="s">
        <v>26</v>
      </c>
      <c r="M58" s="531"/>
      <c r="N58" s="45">
        <f>SUM(N38:N57)</f>
        <v>2062.8627437237851</v>
      </c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</row>
    <row r="59" spans="1:47" s="11" customFormat="1" x14ac:dyDescent="0.3">
      <c r="A59" s="12" t="s">
        <v>15</v>
      </c>
      <c r="B59" s="2"/>
      <c r="C59" s="88"/>
      <c r="D59" s="2"/>
      <c r="E59" s="88"/>
      <c r="F59" s="88"/>
      <c r="I59" s="87"/>
      <c r="J59" s="87"/>
      <c r="K59" s="87"/>
      <c r="L59" s="518"/>
      <c r="M59" s="518"/>
      <c r="N59" s="48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</row>
    <row r="60" spans="1:47" s="11" customFormat="1" ht="12.75" customHeight="1" x14ac:dyDescent="0.3">
      <c r="A60" s="79" t="s">
        <v>55</v>
      </c>
      <c r="B60" s="80"/>
      <c r="C60" s="82"/>
      <c r="D60" s="80"/>
      <c r="E60" s="82"/>
      <c r="F60" s="80"/>
      <c r="L60" s="513" t="s">
        <v>11</v>
      </c>
      <c r="M60" s="513"/>
      <c r="N60" s="526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</row>
    <row r="61" spans="1:47" s="11" customFormat="1" x14ac:dyDescent="0.3">
      <c r="A61" s="12" t="s">
        <v>56</v>
      </c>
      <c r="B61" s="2"/>
      <c r="C61" s="88"/>
      <c r="D61" s="2"/>
      <c r="E61" s="88"/>
      <c r="F61" s="88"/>
      <c r="L61" s="532">
        <f>I6+I35</f>
        <v>5209.0177674826509</v>
      </c>
      <c r="M61" s="532"/>
      <c r="N61" s="533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</row>
    <row r="62" spans="1:47" s="11" customFormat="1" ht="12.75" customHeight="1" x14ac:dyDescent="0.3">
      <c r="A62" s="79" t="s">
        <v>35</v>
      </c>
      <c r="B62" s="80"/>
      <c r="C62" s="82"/>
      <c r="D62" s="80"/>
      <c r="E62" s="82"/>
      <c r="F62" s="80"/>
      <c r="L62" s="518"/>
      <c r="M62" s="518"/>
      <c r="N62" s="519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</row>
    <row r="63" spans="1:47" s="11" customFormat="1" x14ac:dyDescent="0.3">
      <c r="A63" s="12" t="s">
        <v>36</v>
      </c>
      <c r="B63" s="2"/>
      <c r="C63" s="88"/>
      <c r="D63" s="2"/>
      <c r="E63" s="88"/>
      <c r="F63" s="88"/>
      <c r="I63" s="14"/>
      <c r="J63" s="14"/>
      <c r="K63" s="14"/>
      <c r="L63" s="513" t="s">
        <v>13</v>
      </c>
      <c r="M63" s="513"/>
      <c r="N63" s="49">
        <f>L61-N58</f>
        <v>3146.1550237588658</v>
      </c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</row>
    <row r="64" spans="1:47" s="11" customFormat="1" ht="13.5" customHeight="1" x14ac:dyDescent="0.3">
      <c r="A64" s="79" t="s">
        <v>47</v>
      </c>
      <c r="B64" s="80"/>
      <c r="C64" s="82"/>
      <c r="D64" s="80"/>
      <c r="E64" s="82"/>
      <c r="F64" s="80"/>
      <c r="I64" s="15"/>
      <c r="J64" s="15"/>
      <c r="K64" s="15"/>
      <c r="L64" s="123"/>
      <c r="M64" s="123"/>
      <c r="N64" s="5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</row>
    <row r="65" spans="1:46" s="11" customFormat="1" x14ac:dyDescent="0.3">
      <c r="A65" s="12" t="s">
        <v>48</v>
      </c>
      <c r="B65" s="2"/>
      <c r="C65" s="88"/>
      <c r="D65" s="2"/>
      <c r="E65" s="88"/>
      <c r="F65" s="88"/>
      <c r="I65" s="14"/>
      <c r="J65" s="14"/>
      <c r="K65" s="14"/>
      <c r="L65" s="124"/>
      <c r="M65" s="124"/>
      <c r="N65" s="5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</row>
    <row r="66" spans="1:46" s="11" customFormat="1" x14ac:dyDescent="0.3">
      <c r="A66" s="79" t="s">
        <v>16</v>
      </c>
      <c r="B66" s="80">
        <f>'GERAL 2021'!K17</f>
        <v>119.94</v>
      </c>
      <c r="C66" s="82">
        <v>6</v>
      </c>
      <c r="D66" s="80">
        <f>B66/C66</f>
        <v>19.989999999999998</v>
      </c>
      <c r="E66" s="81"/>
      <c r="F66" s="81"/>
      <c r="I66" s="14"/>
      <c r="J66" s="14"/>
      <c r="K66" s="14"/>
      <c r="L66" s="124"/>
      <c r="M66" s="124"/>
      <c r="N66" s="5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</row>
    <row r="67" spans="1:46" s="11" customFormat="1" x14ac:dyDescent="0.3">
      <c r="A67" s="12" t="s">
        <v>17</v>
      </c>
      <c r="B67" s="2">
        <f>'GERAL 2021'!I17</f>
        <v>1.0710401891252954</v>
      </c>
      <c r="C67" s="88">
        <v>5</v>
      </c>
      <c r="D67" s="2">
        <f>B67*C67</f>
        <v>5.3552009456264766</v>
      </c>
      <c r="E67" s="88"/>
      <c r="F67" s="88"/>
      <c r="I67" s="14"/>
      <c r="J67" s="14"/>
      <c r="K67" s="14"/>
      <c r="L67" s="124"/>
      <c r="M67" s="124"/>
      <c r="N67" s="5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</row>
    <row r="68" spans="1:46" s="11" customFormat="1" x14ac:dyDescent="0.3">
      <c r="A68" s="79" t="s">
        <v>27</v>
      </c>
      <c r="B68" s="80">
        <f>'GERAL 2021'!K18</f>
        <v>118.87</v>
      </c>
      <c r="C68" s="82">
        <v>6</v>
      </c>
      <c r="D68" s="80">
        <f>B68/C68</f>
        <v>19.811666666666667</v>
      </c>
      <c r="E68" s="81"/>
      <c r="F68" s="82"/>
      <c r="I68" s="14"/>
      <c r="J68" s="14"/>
      <c r="K68" s="14"/>
      <c r="L68" s="124"/>
      <c r="M68" s="124"/>
      <c r="N68" s="5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</row>
    <row r="69" spans="1:46" s="11" customFormat="1" x14ac:dyDescent="0.3">
      <c r="A69" s="12" t="s">
        <v>28</v>
      </c>
      <c r="B69" s="2">
        <f>'GERAL 2021'!I18</f>
        <v>1.0710401891252954</v>
      </c>
      <c r="C69" s="88">
        <v>7</v>
      </c>
      <c r="D69" s="2">
        <f>B69*C69</f>
        <v>7.4972813238770684</v>
      </c>
      <c r="E69" s="88"/>
      <c r="F69" s="90"/>
      <c r="I69" s="20"/>
      <c r="J69" s="20"/>
      <c r="K69" s="20"/>
      <c r="L69" s="124"/>
      <c r="M69" s="124"/>
      <c r="N69" s="5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</row>
    <row r="70" spans="1:46" s="18" customFormat="1" x14ac:dyDescent="0.3">
      <c r="A70" s="79" t="s">
        <v>18</v>
      </c>
      <c r="B70" s="80">
        <f>'GERAL 2021'!K19</f>
        <v>118.87</v>
      </c>
      <c r="C70" s="82">
        <v>6</v>
      </c>
      <c r="D70" s="80">
        <f>B70/C70</f>
        <v>19.811666666666667</v>
      </c>
      <c r="E70" s="82"/>
      <c r="F70" s="80"/>
      <c r="I70" s="20"/>
      <c r="J70" s="20"/>
      <c r="K70" s="20"/>
      <c r="L70" s="15"/>
      <c r="M70" s="14"/>
      <c r="N70" s="5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</row>
    <row r="71" spans="1:46" s="18" customFormat="1" x14ac:dyDescent="0.3">
      <c r="A71" s="12" t="s">
        <v>19</v>
      </c>
      <c r="B71" s="2">
        <f>'GERAL 2021'!I19</f>
        <v>1.0710401891252954</v>
      </c>
      <c r="C71" s="88">
        <v>6</v>
      </c>
      <c r="D71" s="2">
        <f>B71*C71</f>
        <v>6.4262411347517725</v>
      </c>
      <c r="E71" s="88"/>
      <c r="F71" s="88"/>
      <c r="I71" s="20"/>
      <c r="J71" s="20"/>
      <c r="K71" s="20"/>
      <c r="L71" s="11"/>
      <c r="M71" s="15"/>
      <c r="N71" s="65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</row>
    <row r="72" spans="1:46" s="18" customFormat="1" x14ac:dyDescent="0.3">
      <c r="A72" s="79" t="s">
        <v>37</v>
      </c>
      <c r="B72" s="80">
        <f>'GERAL 2021'!K20</f>
        <v>119.02</v>
      </c>
      <c r="C72" s="82">
        <v>6</v>
      </c>
      <c r="D72" s="80">
        <f>B72/C72</f>
        <v>19.836666666666666</v>
      </c>
      <c r="E72" s="81"/>
      <c r="F72" s="82"/>
      <c r="I72" s="20"/>
      <c r="J72" s="20"/>
      <c r="K72" s="20"/>
      <c r="L72" s="11"/>
      <c r="M72" s="11"/>
      <c r="N72" s="65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</row>
    <row r="73" spans="1:46" s="18" customFormat="1" x14ac:dyDescent="0.3">
      <c r="A73" s="12" t="s">
        <v>38</v>
      </c>
      <c r="B73" s="2">
        <f>'GERAL 2021'!I20</f>
        <v>1.0710401891252954</v>
      </c>
      <c r="C73" s="88">
        <v>7</v>
      </c>
      <c r="D73" s="2">
        <f>B73*C73</f>
        <v>7.4972813238770684</v>
      </c>
      <c r="E73" s="88"/>
      <c r="F73" s="88"/>
      <c r="I73" s="20"/>
      <c r="J73" s="20"/>
      <c r="K73" s="20"/>
      <c r="L73" s="14"/>
      <c r="M73" s="14"/>
      <c r="N73" s="65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</row>
    <row r="74" spans="1:46" s="18" customFormat="1" x14ac:dyDescent="0.3">
      <c r="A74" s="79" t="s">
        <v>45</v>
      </c>
      <c r="B74" s="80">
        <f>'GERAL 2021'!K21</f>
        <v>118.43</v>
      </c>
      <c r="C74" s="82">
        <v>6</v>
      </c>
      <c r="D74" s="80">
        <f>B74/C74</f>
        <v>19.738333333333333</v>
      </c>
      <c r="E74" s="81"/>
      <c r="F74" s="82"/>
      <c r="I74" s="20"/>
      <c r="J74" s="20"/>
      <c r="K74" s="20"/>
      <c r="L74" s="20"/>
      <c r="M74" s="15"/>
      <c r="N74" s="65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</row>
    <row r="75" spans="1:46" s="18" customFormat="1" x14ac:dyDescent="0.3">
      <c r="A75" s="12" t="s">
        <v>39</v>
      </c>
      <c r="B75" s="2">
        <f>'GERAL 2021'!I21</f>
        <v>1.0710401891252954</v>
      </c>
      <c r="C75" s="88">
        <v>5</v>
      </c>
      <c r="D75" s="2">
        <f>B75*C75</f>
        <v>5.3552009456264766</v>
      </c>
      <c r="E75" s="88"/>
      <c r="F75" s="88"/>
      <c r="I75" s="20"/>
      <c r="J75" s="20"/>
      <c r="K75" s="20"/>
      <c r="L75" s="20"/>
      <c r="M75" s="11"/>
      <c r="N75" s="65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</row>
    <row r="76" spans="1:46" s="18" customFormat="1" x14ac:dyDescent="0.3">
      <c r="A76" s="79" t="s">
        <v>49</v>
      </c>
      <c r="B76" s="80"/>
      <c r="C76" s="82"/>
      <c r="D76" s="80"/>
      <c r="E76" s="81"/>
      <c r="F76" s="82"/>
      <c r="I76" s="20"/>
      <c r="J76" s="20"/>
      <c r="K76" s="20"/>
      <c r="L76" s="20"/>
      <c r="M76" s="11"/>
      <c r="N76" s="65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</row>
    <row r="77" spans="1:46" s="18" customFormat="1" x14ac:dyDescent="0.3">
      <c r="A77" s="12" t="s">
        <v>50</v>
      </c>
      <c r="B77" s="2"/>
      <c r="C77" s="88"/>
      <c r="D77" s="2"/>
      <c r="E77" s="88"/>
      <c r="F77" s="88"/>
      <c r="I77" s="20"/>
      <c r="J77" s="20"/>
      <c r="K77" s="20"/>
      <c r="M77" s="11"/>
      <c r="N77" s="65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</row>
    <row r="78" spans="1:46" s="18" customFormat="1" x14ac:dyDescent="0.3">
      <c r="A78" s="79" t="s">
        <v>43</v>
      </c>
      <c r="B78" s="80"/>
      <c r="C78" s="82"/>
      <c r="D78" s="80"/>
      <c r="E78" s="81"/>
      <c r="F78" s="82"/>
      <c r="I78" s="20"/>
      <c r="J78" s="20"/>
      <c r="K78" s="20"/>
      <c r="M78" s="14"/>
      <c r="N78" s="65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</row>
    <row r="79" spans="1:46" s="18" customFormat="1" x14ac:dyDescent="0.3">
      <c r="A79" s="12" t="s">
        <v>44</v>
      </c>
      <c r="B79" s="2"/>
      <c r="C79" s="88"/>
      <c r="D79" s="2"/>
      <c r="E79" s="88"/>
      <c r="F79" s="88"/>
      <c r="I79" s="20"/>
      <c r="J79" s="20"/>
      <c r="K79" s="20"/>
      <c r="M79" s="20"/>
      <c r="N79" s="65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</row>
    <row r="80" spans="1:46" s="32" customFormat="1" x14ac:dyDescent="0.3">
      <c r="A80" s="79" t="s">
        <v>51</v>
      </c>
      <c r="B80" s="80"/>
      <c r="C80" s="82"/>
      <c r="D80" s="80"/>
      <c r="E80" s="82"/>
      <c r="F80" s="80"/>
      <c r="I80" s="21"/>
      <c r="J80" s="21"/>
      <c r="K80" s="21"/>
      <c r="L80" s="18"/>
      <c r="M80" s="20"/>
      <c r="N80" s="65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</row>
    <row r="81" spans="1:45" s="32" customFormat="1" x14ac:dyDescent="0.3">
      <c r="A81" s="12" t="s">
        <v>52</v>
      </c>
      <c r="B81" s="2"/>
      <c r="C81" s="88"/>
      <c r="D81" s="2"/>
      <c r="E81" s="88"/>
      <c r="F81" s="67"/>
      <c r="G81" s="63"/>
      <c r="H81" s="63"/>
      <c r="L81" s="18"/>
      <c r="M81" s="20"/>
      <c r="N81" s="65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</row>
    <row r="82" spans="1:45" s="32" customFormat="1" x14ac:dyDescent="0.3">
      <c r="A82" s="79" t="s">
        <v>53</v>
      </c>
      <c r="B82" s="80"/>
      <c r="C82" s="82"/>
      <c r="D82" s="80"/>
      <c r="E82" s="82"/>
      <c r="F82" s="82"/>
      <c r="G82" s="11"/>
      <c r="H82" s="63"/>
      <c r="I82" s="21"/>
      <c r="J82" s="21"/>
      <c r="K82" s="21"/>
      <c r="L82" s="18"/>
      <c r="M82" s="18"/>
      <c r="N82" s="65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</row>
    <row r="83" spans="1:45" s="32" customFormat="1" ht="14.4" thickBot="1" x14ac:dyDescent="0.35">
      <c r="A83" s="59" t="s">
        <v>54</v>
      </c>
      <c r="B83" s="60"/>
      <c r="C83" s="61"/>
      <c r="D83" s="60"/>
      <c r="E83" s="61"/>
      <c r="F83" s="67"/>
      <c r="G83" s="21"/>
      <c r="H83" s="21"/>
      <c r="I83" s="21"/>
      <c r="J83" s="21"/>
      <c r="K83" s="21"/>
      <c r="L83" s="18"/>
      <c r="M83" s="18"/>
      <c r="N83" s="65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</row>
    <row r="84" spans="1:45" s="32" customFormat="1" x14ac:dyDescent="0.3">
      <c r="A84" s="79" t="s">
        <v>78</v>
      </c>
      <c r="B84" s="80"/>
      <c r="C84" s="82"/>
      <c r="D84" s="80"/>
      <c r="E84" s="82"/>
      <c r="F84" s="82"/>
      <c r="G84" s="11"/>
      <c r="H84" s="63"/>
      <c r="I84" s="21"/>
      <c r="J84" s="21"/>
      <c r="K84" s="21"/>
      <c r="N84" s="65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</row>
    <row r="85" spans="1:45" s="32" customFormat="1" ht="14.4" thickBot="1" x14ac:dyDescent="0.35">
      <c r="A85" s="59" t="s">
        <v>79</v>
      </c>
      <c r="B85" s="60"/>
      <c r="C85" s="61"/>
      <c r="D85" s="60"/>
      <c r="E85" s="61"/>
      <c r="F85" s="67"/>
      <c r="G85" s="21"/>
      <c r="H85" s="21"/>
      <c r="I85" s="21"/>
      <c r="J85" s="21"/>
      <c r="K85" s="21"/>
      <c r="M85" s="18"/>
      <c r="N85" s="65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</row>
    <row r="86" spans="1:45" s="32" customFormat="1" x14ac:dyDescent="0.3">
      <c r="A86" s="79" t="s">
        <v>80</v>
      </c>
      <c r="B86" s="80">
        <f>'GERAL 2021'!K27</f>
        <v>119.7</v>
      </c>
      <c r="C86" s="82">
        <v>6</v>
      </c>
      <c r="D86" s="80">
        <f>B86/C86</f>
        <v>19.95</v>
      </c>
      <c r="E86" s="82"/>
      <c r="F86" s="82"/>
      <c r="G86" s="11"/>
      <c r="H86" s="63"/>
      <c r="I86" s="21"/>
      <c r="J86" s="21"/>
      <c r="K86" s="21"/>
      <c r="L86" s="21"/>
      <c r="M86" s="21"/>
      <c r="N86" s="65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</row>
    <row r="87" spans="1:45" s="32" customFormat="1" ht="14.4" thickBot="1" x14ac:dyDescent="0.35">
      <c r="A87" s="59" t="s">
        <v>81</v>
      </c>
      <c r="B87" s="60">
        <f>'GERAL 2021'!I27</f>
        <v>1.0710401891252954</v>
      </c>
      <c r="C87" s="61">
        <v>6</v>
      </c>
      <c r="D87" s="60">
        <f>B87*C87</f>
        <v>6.4262411347517725</v>
      </c>
      <c r="E87" s="61"/>
      <c r="F87" s="67"/>
      <c r="G87" s="21"/>
      <c r="H87" s="21"/>
      <c r="I87" s="21"/>
      <c r="J87" s="21"/>
      <c r="K87" s="21"/>
      <c r="M87" s="18"/>
      <c r="N87" s="65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</row>
    <row r="88" spans="1:45" s="32" customFormat="1" x14ac:dyDescent="0.3">
      <c r="A88" s="79" t="s">
        <v>82</v>
      </c>
      <c r="B88" s="80"/>
      <c r="C88" s="82"/>
      <c r="D88" s="80"/>
      <c r="E88" s="82"/>
      <c r="F88" s="82"/>
      <c r="G88" s="11"/>
      <c r="H88" s="63"/>
      <c r="I88" s="21"/>
      <c r="J88" s="21"/>
      <c r="K88" s="21"/>
      <c r="L88" s="21"/>
      <c r="M88" s="21"/>
      <c r="N88" s="65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</row>
    <row r="89" spans="1:45" s="32" customFormat="1" ht="14.4" thickBot="1" x14ac:dyDescent="0.35">
      <c r="A89" s="59" t="s">
        <v>83</v>
      </c>
      <c r="B89" s="60"/>
      <c r="C89" s="61"/>
      <c r="D89" s="60"/>
      <c r="E89" s="61"/>
      <c r="F89" s="67"/>
      <c r="G89" s="21"/>
      <c r="H89" s="21"/>
      <c r="I89" s="21"/>
      <c r="J89" s="21"/>
      <c r="K89" s="21"/>
      <c r="M89" s="18"/>
      <c r="N89" s="65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</row>
    <row r="90" spans="1:45" s="32" customFormat="1" x14ac:dyDescent="0.3">
      <c r="A90" s="79" t="s">
        <v>84</v>
      </c>
      <c r="B90" s="80">
        <f>'GERAL 2021'!K29</f>
        <v>119.02</v>
      </c>
      <c r="C90" s="82">
        <v>6</v>
      </c>
      <c r="D90" s="80">
        <f>B90/C90</f>
        <v>19.836666666666666</v>
      </c>
      <c r="E90" s="82"/>
      <c r="F90" s="82"/>
      <c r="G90" s="11"/>
      <c r="H90" s="63"/>
      <c r="I90" s="21"/>
      <c r="J90" s="21"/>
      <c r="K90" s="21"/>
      <c r="L90" s="21"/>
      <c r="M90" s="21"/>
      <c r="N90" s="65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</row>
    <row r="91" spans="1:45" s="32" customFormat="1" ht="14.4" thickBot="1" x14ac:dyDescent="0.35">
      <c r="A91" s="59" t="s">
        <v>85</v>
      </c>
      <c r="B91" s="60">
        <f>'GERAL 2021'!I29</f>
        <v>1.0710401891252954</v>
      </c>
      <c r="C91" s="61">
        <v>8</v>
      </c>
      <c r="D91" s="60">
        <f>B91*C91</f>
        <v>8.5683215130023633</v>
      </c>
      <c r="E91" s="61"/>
      <c r="F91" s="67"/>
      <c r="G91" s="66"/>
      <c r="H91" s="66"/>
      <c r="I91" s="66"/>
      <c r="J91" s="66"/>
      <c r="K91" s="66"/>
      <c r="L91" s="66"/>
      <c r="M91" s="66"/>
      <c r="N91" s="66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</row>
    <row r="92" spans="1:45" s="22" customFormat="1" x14ac:dyDescent="0.3">
      <c r="A92" s="32"/>
      <c r="B92" s="32"/>
      <c r="C92" s="32"/>
      <c r="D92" s="32"/>
      <c r="E92" s="32"/>
      <c r="F92" s="32"/>
      <c r="G92" s="32"/>
      <c r="H92" s="32"/>
      <c r="I92" s="21"/>
      <c r="J92" s="21"/>
      <c r="K92" s="21"/>
      <c r="L92" s="32"/>
      <c r="M92" s="32"/>
      <c r="N92" s="32"/>
    </row>
    <row r="93" spans="1:45" s="22" customFormat="1" x14ac:dyDescent="0.3">
      <c r="A93" s="32"/>
      <c r="B93" s="32"/>
      <c r="C93" s="32"/>
      <c r="D93" s="32"/>
      <c r="E93" s="32"/>
      <c r="F93" s="32"/>
      <c r="G93" s="32"/>
      <c r="H93" s="32"/>
      <c r="I93" s="21"/>
      <c r="J93" s="21"/>
      <c r="K93" s="21"/>
      <c r="L93" s="32"/>
      <c r="M93" s="32"/>
      <c r="N93" s="32"/>
    </row>
    <row r="94" spans="1:45" s="22" customFormat="1" x14ac:dyDescent="0.3">
      <c r="A94" s="32"/>
      <c r="B94" s="32"/>
      <c r="C94" s="32"/>
      <c r="D94" s="32"/>
      <c r="E94" s="32"/>
      <c r="F94" s="32"/>
      <c r="G94" s="32"/>
      <c r="H94" s="32"/>
      <c r="I94" s="21"/>
      <c r="J94" s="21"/>
      <c r="K94" s="21"/>
      <c r="L94" s="32"/>
      <c r="M94" s="32"/>
      <c r="N94" s="32"/>
    </row>
    <row r="95" spans="1:45" s="22" customFormat="1" x14ac:dyDescent="0.3">
      <c r="A95" s="32"/>
      <c r="B95" s="32"/>
      <c r="C95" s="32"/>
      <c r="D95" s="32"/>
      <c r="E95" s="32"/>
      <c r="F95" s="32"/>
      <c r="G95" s="32"/>
      <c r="H95" s="32"/>
      <c r="I95" s="21"/>
      <c r="J95" s="21"/>
      <c r="K95" s="21"/>
      <c r="L95" s="32"/>
      <c r="M95" s="32"/>
      <c r="N95" s="32"/>
    </row>
    <row r="96" spans="1:45" s="22" customFormat="1" x14ac:dyDescent="0.3">
      <c r="A96" s="32"/>
      <c r="B96" s="32"/>
      <c r="C96" s="32"/>
      <c r="D96" s="32"/>
      <c r="E96" s="32"/>
      <c r="F96" s="32"/>
      <c r="G96" s="32"/>
      <c r="H96" s="32"/>
      <c r="I96" s="21"/>
      <c r="J96" s="21"/>
      <c r="K96" s="21"/>
      <c r="L96" s="32"/>
      <c r="M96" s="32"/>
      <c r="N96" s="32"/>
    </row>
    <row r="97" spans="1:46" s="22" customFormat="1" x14ac:dyDescent="0.3">
      <c r="A97" s="32"/>
      <c r="B97" s="32"/>
      <c r="C97" s="32"/>
      <c r="D97" s="32"/>
      <c r="E97" s="32"/>
      <c r="F97" s="32"/>
      <c r="G97" s="32"/>
      <c r="H97" s="32"/>
      <c r="I97" s="21"/>
      <c r="J97" s="21"/>
      <c r="K97" s="21"/>
      <c r="L97" s="32"/>
      <c r="M97" s="32"/>
      <c r="N97" s="32"/>
    </row>
    <row r="98" spans="1:46" s="22" customFormat="1" x14ac:dyDescent="0.3">
      <c r="A98" s="32"/>
      <c r="B98" s="32"/>
      <c r="C98" s="32"/>
      <c r="D98" s="32"/>
      <c r="E98" s="32"/>
      <c r="F98" s="32"/>
      <c r="G98" s="32"/>
      <c r="H98" s="32"/>
      <c r="I98" s="23"/>
      <c r="J98" s="23"/>
      <c r="K98" s="23"/>
      <c r="L98" s="32"/>
      <c r="M98" s="32"/>
      <c r="N98" s="32"/>
      <c r="O98" s="6"/>
      <c r="P98" s="6"/>
    </row>
    <row r="99" spans="1:46" s="22" customFormat="1" x14ac:dyDescent="0.3">
      <c r="A99" s="32"/>
      <c r="B99" s="32"/>
      <c r="C99" s="32"/>
      <c r="D99" s="32"/>
      <c r="E99" s="32"/>
      <c r="F99" s="32"/>
      <c r="G99" s="32"/>
      <c r="H99" s="32"/>
      <c r="I99" s="23"/>
      <c r="J99" s="23"/>
      <c r="K99" s="23"/>
      <c r="L99" s="32"/>
      <c r="M99" s="32"/>
      <c r="N99" s="32"/>
      <c r="O99" s="6"/>
      <c r="P99" s="6"/>
    </row>
    <row r="100" spans="1:46" s="22" customFormat="1" x14ac:dyDescent="0.3">
      <c r="A100" s="32"/>
      <c r="B100" s="32"/>
      <c r="C100" s="32"/>
      <c r="D100" s="32"/>
      <c r="E100" s="32"/>
      <c r="F100" s="32"/>
      <c r="G100" s="32"/>
      <c r="H100" s="32"/>
      <c r="I100" s="21"/>
      <c r="J100" s="21"/>
      <c r="K100" s="21"/>
      <c r="L100" s="6"/>
      <c r="M100" s="32"/>
      <c r="N100" s="32"/>
    </row>
    <row r="101" spans="1:46" s="22" customFormat="1" x14ac:dyDescent="0.3">
      <c r="A101" s="32"/>
      <c r="B101" s="32"/>
      <c r="C101" s="32"/>
      <c r="D101" s="32"/>
      <c r="E101" s="32"/>
      <c r="F101" s="32"/>
      <c r="G101" s="32"/>
      <c r="H101" s="32"/>
      <c r="I101" s="21"/>
      <c r="J101" s="21"/>
      <c r="K101" s="21"/>
      <c r="L101" s="6"/>
      <c r="M101" s="32"/>
      <c r="N101" s="32"/>
    </row>
    <row r="102" spans="1:46" s="22" customFormat="1" x14ac:dyDescent="0.3">
      <c r="A102" s="32"/>
      <c r="B102" s="32"/>
      <c r="C102" s="32"/>
      <c r="D102" s="32"/>
      <c r="E102" s="32"/>
      <c r="F102" s="32"/>
      <c r="G102" s="32"/>
      <c r="H102" s="32"/>
      <c r="I102" s="21"/>
      <c r="J102" s="21"/>
      <c r="K102" s="21"/>
      <c r="L102" s="32"/>
      <c r="M102" s="32"/>
      <c r="N102" s="32"/>
    </row>
    <row r="103" spans="1:46" s="22" customFormat="1" x14ac:dyDescent="0.3">
      <c r="A103" s="32"/>
      <c r="B103" s="32"/>
      <c r="C103" s="32"/>
      <c r="D103" s="32"/>
      <c r="E103" s="32"/>
      <c r="F103" s="32"/>
      <c r="G103" s="32"/>
      <c r="H103" s="32"/>
      <c r="I103" s="21"/>
      <c r="J103" s="21"/>
      <c r="K103" s="21"/>
      <c r="L103" s="32"/>
      <c r="M103" s="32"/>
      <c r="N103" s="6"/>
      <c r="AT103" s="32"/>
    </row>
    <row r="104" spans="1:46" s="22" customFormat="1" x14ac:dyDescent="0.3">
      <c r="A104" s="32"/>
      <c r="B104" s="32"/>
      <c r="C104" s="32"/>
      <c r="D104" s="32"/>
      <c r="E104" s="32"/>
      <c r="F104" s="32"/>
      <c r="G104" s="32"/>
      <c r="H104" s="32"/>
      <c r="I104" s="21"/>
      <c r="J104" s="21"/>
      <c r="K104" s="21"/>
      <c r="L104" s="32"/>
      <c r="M104" s="32"/>
      <c r="N104" s="6"/>
      <c r="AT104" s="32"/>
    </row>
    <row r="105" spans="1:46" s="22" customFormat="1" x14ac:dyDescent="0.3">
      <c r="A105" s="32"/>
      <c r="B105" s="32"/>
      <c r="C105" s="32"/>
      <c r="D105" s="32"/>
      <c r="E105" s="32"/>
      <c r="F105" s="32"/>
      <c r="G105" s="32"/>
      <c r="H105" s="32"/>
      <c r="I105" s="21"/>
      <c r="J105" s="21"/>
      <c r="K105" s="21"/>
      <c r="L105" s="32"/>
      <c r="M105" s="6"/>
      <c r="N105" s="32"/>
      <c r="AT105" s="32"/>
    </row>
    <row r="106" spans="1:46" s="22" customFormat="1" x14ac:dyDescent="0.3">
      <c r="A106" s="32"/>
      <c r="B106" s="32"/>
      <c r="C106" s="32"/>
      <c r="D106" s="32"/>
      <c r="E106" s="32"/>
      <c r="F106" s="32"/>
      <c r="G106" s="32"/>
      <c r="H106" s="32"/>
      <c r="I106" s="21"/>
      <c r="J106" s="21"/>
      <c r="K106" s="21"/>
      <c r="L106" s="32"/>
      <c r="M106" s="6"/>
      <c r="N106" s="32"/>
      <c r="AT106" s="32"/>
    </row>
    <row r="107" spans="1:46" s="22" customFormat="1" x14ac:dyDescent="0.3">
      <c r="A107" s="32"/>
      <c r="B107" s="32"/>
      <c r="C107" s="32"/>
      <c r="D107" s="32"/>
      <c r="E107" s="32"/>
      <c r="F107" s="32"/>
      <c r="G107" s="32"/>
      <c r="H107" s="32"/>
      <c r="I107" s="21"/>
      <c r="J107" s="21"/>
      <c r="K107" s="21"/>
      <c r="L107" s="32"/>
      <c r="M107" s="32"/>
      <c r="N107" s="32"/>
      <c r="AT107" s="32"/>
    </row>
    <row r="108" spans="1:46" s="22" customFormat="1" x14ac:dyDescent="0.3">
      <c r="A108" s="32"/>
      <c r="B108" s="32"/>
      <c r="C108" s="32"/>
      <c r="D108" s="32"/>
      <c r="E108" s="32"/>
      <c r="F108" s="32"/>
      <c r="G108" s="6"/>
      <c r="H108" s="6"/>
      <c r="I108" s="21"/>
      <c r="J108" s="21"/>
      <c r="K108" s="21"/>
      <c r="L108" s="32"/>
      <c r="M108" s="32"/>
      <c r="N108" s="32"/>
      <c r="AT108" s="32"/>
    </row>
    <row r="109" spans="1:46" s="22" customFormat="1" x14ac:dyDescent="0.3">
      <c r="A109" s="32"/>
      <c r="B109" s="32"/>
      <c r="C109" s="32"/>
      <c r="D109" s="32"/>
      <c r="E109" s="32"/>
      <c r="F109" s="32"/>
      <c r="G109" s="6"/>
      <c r="H109" s="6"/>
      <c r="I109" s="21"/>
      <c r="J109" s="21"/>
      <c r="K109" s="21"/>
      <c r="L109" s="32"/>
      <c r="M109" s="32"/>
      <c r="N109" s="32"/>
      <c r="AT109" s="32"/>
    </row>
    <row r="110" spans="1:46" s="22" customFormat="1" x14ac:dyDescent="0.3">
      <c r="A110" s="32"/>
      <c r="B110" s="32"/>
      <c r="C110" s="32"/>
      <c r="D110" s="32"/>
      <c r="E110" s="32"/>
      <c r="F110" s="32"/>
      <c r="G110" s="32"/>
      <c r="H110" s="32"/>
      <c r="I110" s="21"/>
      <c r="J110" s="21"/>
      <c r="K110" s="21"/>
      <c r="L110" s="32"/>
      <c r="M110" s="32"/>
      <c r="N110" s="32"/>
      <c r="AT110" s="32"/>
    </row>
    <row r="111" spans="1:46" s="22" customFormat="1" x14ac:dyDescent="0.3">
      <c r="A111" s="32"/>
      <c r="B111" s="32"/>
      <c r="C111" s="32"/>
      <c r="D111" s="32"/>
      <c r="E111" s="32"/>
      <c r="F111" s="32"/>
      <c r="G111" s="32"/>
      <c r="H111" s="32"/>
      <c r="I111" s="21"/>
      <c r="J111" s="21"/>
      <c r="K111" s="21"/>
      <c r="L111" s="32"/>
      <c r="M111" s="32"/>
      <c r="N111" s="32"/>
      <c r="AT111" s="32"/>
    </row>
    <row r="112" spans="1:46" s="22" customFormat="1" x14ac:dyDescent="0.3">
      <c r="A112" s="32"/>
      <c r="B112" s="32"/>
      <c r="C112" s="32"/>
      <c r="D112" s="32"/>
      <c r="E112" s="32"/>
      <c r="F112" s="32"/>
      <c r="G112" s="32"/>
      <c r="H112" s="32"/>
      <c r="I112" s="21"/>
      <c r="J112" s="21"/>
      <c r="K112" s="21"/>
      <c r="L112" s="32"/>
      <c r="M112" s="32"/>
      <c r="N112" s="32"/>
      <c r="AT112" s="32"/>
    </row>
    <row r="113" spans="1:46" s="22" customFormat="1" x14ac:dyDescent="0.3">
      <c r="A113" s="32"/>
      <c r="B113" s="32"/>
      <c r="C113" s="32"/>
      <c r="D113" s="32"/>
      <c r="E113" s="32"/>
      <c r="F113" s="32"/>
      <c r="G113" s="32"/>
      <c r="H113" s="32"/>
      <c r="I113" s="21"/>
      <c r="J113" s="21"/>
      <c r="K113" s="21"/>
      <c r="L113" s="32"/>
      <c r="M113" s="32"/>
      <c r="N113" s="32"/>
      <c r="AT113" s="32"/>
    </row>
    <row r="114" spans="1:46" s="22" customFormat="1" x14ac:dyDescent="0.3">
      <c r="A114" s="32"/>
      <c r="B114" s="32"/>
      <c r="C114" s="32"/>
      <c r="D114" s="32"/>
      <c r="E114" s="32"/>
      <c r="F114" s="32"/>
      <c r="G114" s="32"/>
      <c r="H114" s="32"/>
      <c r="I114" s="21"/>
      <c r="J114" s="21"/>
      <c r="K114" s="21"/>
      <c r="L114" s="32"/>
      <c r="M114" s="32"/>
      <c r="N114" s="32"/>
      <c r="AT114" s="32"/>
    </row>
    <row r="115" spans="1:46" s="22" customFormat="1" x14ac:dyDescent="0.3">
      <c r="A115" s="32"/>
      <c r="B115" s="32"/>
      <c r="C115" s="32"/>
      <c r="D115" s="32"/>
      <c r="E115" s="32"/>
      <c r="F115" s="32"/>
      <c r="G115" s="32"/>
      <c r="H115" s="32"/>
      <c r="I115" s="21"/>
      <c r="J115" s="21"/>
      <c r="K115" s="21"/>
      <c r="L115" s="32"/>
      <c r="M115" s="32"/>
      <c r="N115" s="32"/>
      <c r="AT115" s="32"/>
    </row>
    <row r="116" spans="1:46" s="22" customFormat="1" x14ac:dyDescent="0.3">
      <c r="A116" s="32"/>
      <c r="B116" s="32"/>
      <c r="C116" s="32"/>
      <c r="D116" s="32"/>
      <c r="E116" s="32"/>
      <c r="F116" s="32"/>
      <c r="G116" s="32"/>
      <c r="H116" s="32"/>
      <c r="I116" s="21"/>
      <c r="J116" s="21"/>
      <c r="K116" s="21"/>
      <c r="L116" s="32"/>
      <c r="M116" s="32"/>
      <c r="N116" s="32"/>
      <c r="AT116" s="32"/>
    </row>
    <row r="117" spans="1:46" s="22" customFormat="1" x14ac:dyDescent="0.3">
      <c r="A117" s="32"/>
      <c r="B117" s="32"/>
      <c r="C117" s="32"/>
      <c r="D117" s="32"/>
      <c r="E117" s="32"/>
      <c r="F117" s="32"/>
      <c r="G117" s="32"/>
      <c r="H117" s="32"/>
      <c r="I117" s="21"/>
      <c r="J117" s="21"/>
      <c r="K117" s="21"/>
      <c r="L117" s="32"/>
      <c r="M117" s="32"/>
      <c r="N117" s="32"/>
      <c r="AT117" s="32"/>
    </row>
    <row r="118" spans="1:46" s="22" customFormat="1" x14ac:dyDescent="0.3">
      <c r="A118" s="32"/>
      <c r="B118" s="32"/>
      <c r="C118" s="32"/>
      <c r="D118" s="32"/>
      <c r="E118" s="32"/>
      <c r="F118" s="32"/>
      <c r="G118" s="32"/>
      <c r="H118" s="32"/>
      <c r="I118" s="21"/>
      <c r="J118" s="21"/>
      <c r="K118" s="21"/>
      <c r="L118" s="32"/>
      <c r="M118" s="32"/>
      <c r="N118" s="32"/>
      <c r="AT118" s="32"/>
    </row>
    <row r="119" spans="1:46" s="22" customFormat="1" x14ac:dyDescent="0.3">
      <c r="A119" s="32"/>
      <c r="B119" s="32"/>
      <c r="C119" s="32"/>
      <c r="D119" s="32"/>
      <c r="E119" s="32"/>
      <c r="F119" s="32"/>
      <c r="G119" s="32"/>
      <c r="H119" s="32"/>
      <c r="I119" s="21"/>
      <c r="J119" s="21"/>
      <c r="K119" s="21"/>
      <c r="L119" s="32"/>
      <c r="M119" s="32"/>
      <c r="N119" s="32"/>
      <c r="AT119" s="32"/>
    </row>
    <row r="120" spans="1:46" s="22" customFormat="1" x14ac:dyDescent="0.3">
      <c r="A120" s="32"/>
      <c r="B120" s="32"/>
      <c r="C120" s="32"/>
      <c r="D120" s="32"/>
      <c r="E120" s="32"/>
      <c r="F120" s="32"/>
      <c r="G120" s="32"/>
      <c r="H120" s="32"/>
      <c r="I120" s="21"/>
      <c r="J120" s="21"/>
      <c r="K120" s="21"/>
      <c r="L120" s="32"/>
      <c r="M120" s="32"/>
      <c r="N120" s="32"/>
      <c r="AT120" s="32"/>
    </row>
    <row r="121" spans="1:46" s="22" customFormat="1" x14ac:dyDescent="0.3">
      <c r="A121" s="32"/>
      <c r="B121" s="32"/>
      <c r="C121" s="32"/>
      <c r="D121" s="32"/>
      <c r="E121" s="32"/>
      <c r="F121" s="32"/>
      <c r="G121" s="32"/>
      <c r="H121" s="32"/>
      <c r="I121" s="21"/>
      <c r="J121" s="21"/>
      <c r="K121" s="21"/>
      <c r="L121" s="32"/>
      <c r="M121" s="32"/>
      <c r="N121" s="32"/>
      <c r="AT121" s="32"/>
    </row>
    <row r="122" spans="1:46" s="22" customFormat="1" x14ac:dyDescent="0.3">
      <c r="A122" s="32"/>
      <c r="B122" s="32"/>
      <c r="C122" s="32"/>
      <c r="D122" s="32"/>
      <c r="E122" s="32"/>
      <c r="F122" s="32"/>
      <c r="G122" s="32"/>
      <c r="H122" s="32"/>
      <c r="I122" s="21"/>
      <c r="J122" s="21"/>
      <c r="K122" s="21"/>
      <c r="L122" s="32"/>
      <c r="M122" s="32"/>
      <c r="N122" s="32"/>
      <c r="AT122" s="32"/>
    </row>
    <row r="123" spans="1:46" s="22" customFormat="1" x14ac:dyDescent="0.3">
      <c r="A123" s="32"/>
      <c r="B123" s="32"/>
      <c r="C123" s="32"/>
      <c r="D123" s="32"/>
      <c r="E123" s="32"/>
      <c r="F123" s="32"/>
      <c r="G123" s="32"/>
      <c r="H123" s="32"/>
      <c r="I123" s="21"/>
      <c r="J123" s="21"/>
      <c r="K123" s="21"/>
      <c r="L123" s="32"/>
      <c r="M123" s="32"/>
      <c r="N123" s="32"/>
      <c r="AT123" s="32"/>
    </row>
    <row r="124" spans="1:46" s="22" customFormat="1" x14ac:dyDescent="0.3">
      <c r="A124" s="32"/>
      <c r="B124" s="32"/>
      <c r="C124" s="32"/>
      <c r="D124" s="32"/>
      <c r="E124" s="32"/>
      <c r="F124" s="32"/>
      <c r="G124" s="32"/>
      <c r="H124" s="32"/>
      <c r="I124" s="21"/>
      <c r="J124" s="21"/>
      <c r="K124" s="21"/>
      <c r="L124" s="32"/>
      <c r="M124" s="32"/>
      <c r="N124" s="32"/>
      <c r="AT124" s="32"/>
    </row>
    <row r="125" spans="1:46" s="22" customFormat="1" x14ac:dyDescent="0.3">
      <c r="A125" s="32"/>
      <c r="B125" s="32"/>
      <c r="C125" s="32"/>
      <c r="D125" s="32"/>
      <c r="E125" s="32"/>
      <c r="F125" s="32"/>
      <c r="G125" s="32"/>
      <c r="H125" s="32"/>
      <c r="I125" s="21"/>
      <c r="J125" s="21"/>
      <c r="K125" s="21"/>
      <c r="L125" s="32"/>
      <c r="M125" s="32"/>
      <c r="N125" s="32"/>
      <c r="AT125" s="32"/>
    </row>
    <row r="126" spans="1:46" s="22" customFormat="1" x14ac:dyDescent="0.3">
      <c r="A126" s="32"/>
      <c r="B126" s="32"/>
      <c r="C126" s="32"/>
      <c r="D126" s="32"/>
      <c r="E126" s="32"/>
      <c r="F126" s="32"/>
      <c r="G126" s="32"/>
      <c r="H126" s="32"/>
      <c r="I126" s="21"/>
      <c r="J126" s="21"/>
      <c r="K126" s="21"/>
      <c r="L126" s="32"/>
      <c r="M126" s="32"/>
      <c r="N126" s="32"/>
      <c r="AT126" s="32"/>
    </row>
    <row r="127" spans="1:46" s="22" customFormat="1" x14ac:dyDescent="0.3">
      <c r="A127" s="32"/>
      <c r="B127" s="32"/>
      <c r="C127" s="32"/>
      <c r="D127" s="32"/>
      <c r="E127" s="32"/>
      <c r="F127" s="32"/>
      <c r="G127" s="32"/>
      <c r="H127" s="32"/>
      <c r="I127" s="21"/>
      <c r="J127" s="21"/>
      <c r="K127" s="21"/>
      <c r="L127" s="32"/>
      <c r="M127" s="32"/>
      <c r="N127" s="32"/>
      <c r="AT127" s="32"/>
    </row>
    <row r="128" spans="1:46" s="22" customFormat="1" x14ac:dyDescent="0.3">
      <c r="A128" s="32"/>
      <c r="B128" s="32"/>
      <c r="C128" s="32"/>
      <c r="D128" s="32"/>
      <c r="E128" s="32"/>
      <c r="F128" s="32"/>
      <c r="G128" s="32"/>
      <c r="H128" s="32"/>
      <c r="I128" s="21"/>
      <c r="J128" s="21"/>
      <c r="K128" s="21"/>
      <c r="L128" s="32"/>
      <c r="M128" s="32"/>
      <c r="N128" s="32"/>
      <c r="AT128" s="32"/>
    </row>
    <row r="129" spans="1:46" s="22" customFormat="1" x14ac:dyDescent="0.3">
      <c r="A129" s="32"/>
      <c r="B129" s="32"/>
      <c r="C129" s="32"/>
      <c r="D129" s="32"/>
      <c r="E129" s="32"/>
      <c r="F129" s="32"/>
      <c r="G129" s="32"/>
      <c r="H129" s="32"/>
      <c r="I129" s="21"/>
      <c r="J129" s="21"/>
      <c r="K129" s="21"/>
      <c r="L129" s="32"/>
      <c r="M129" s="32"/>
      <c r="N129" s="32"/>
      <c r="AT129" s="32"/>
    </row>
    <row r="130" spans="1:46" s="22" customFormat="1" x14ac:dyDescent="0.3">
      <c r="A130" s="32"/>
      <c r="B130" s="32"/>
      <c r="C130" s="32"/>
      <c r="D130" s="32"/>
      <c r="E130" s="32"/>
      <c r="F130" s="32"/>
      <c r="G130" s="32"/>
      <c r="H130" s="32"/>
      <c r="I130" s="21"/>
      <c r="J130" s="21"/>
      <c r="K130" s="21"/>
      <c r="L130" s="32"/>
      <c r="M130" s="32"/>
      <c r="N130" s="32"/>
      <c r="AT130" s="32"/>
    </row>
    <row r="131" spans="1:46" s="22" customFormat="1" x14ac:dyDescent="0.3">
      <c r="A131" s="32"/>
      <c r="B131" s="32"/>
      <c r="C131" s="32"/>
      <c r="D131" s="32"/>
      <c r="E131" s="32"/>
      <c r="F131" s="32"/>
      <c r="G131" s="32"/>
      <c r="H131" s="32"/>
      <c r="I131" s="21"/>
      <c r="J131" s="21"/>
      <c r="K131" s="21"/>
      <c r="L131" s="32"/>
      <c r="M131" s="32"/>
      <c r="N131" s="32"/>
      <c r="AT131" s="32"/>
    </row>
    <row r="132" spans="1:46" s="22" customFormat="1" x14ac:dyDescent="0.3">
      <c r="A132" s="32"/>
      <c r="B132" s="32"/>
      <c r="C132" s="32"/>
      <c r="D132" s="32"/>
      <c r="E132" s="32"/>
      <c r="F132" s="32"/>
      <c r="G132" s="32"/>
      <c r="H132" s="32"/>
      <c r="I132" s="21"/>
      <c r="J132" s="21"/>
      <c r="K132" s="21"/>
      <c r="L132" s="32"/>
      <c r="M132" s="32"/>
      <c r="N132" s="32"/>
      <c r="AT132" s="32"/>
    </row>
    <row r="133" spans="1:46" s="22" customFormat="1" x14ac:dyDescent="0.3">
      <c r="A133" s="32"/>
      <c r="B133" s="32"/>
      <c r="C133" s="32"/>
      <c r="D133" s="32"/>
      <c r="E133" s="32"/>
      <c r="F133" s="32"/>
      <c r="G133" s="32"/>
      <c r="H133" s="32"/>
      <c r="I133" s="21"/>
      <c r="J133" s="21"/>
      <c r="K133" s="21"/>
      <c r="L133" s="32"/>
      <c r="M133" s="32"/>
      <c r="N133" s="32"/>
      <c r="AT133" s="32"/>
    </row>
    <row r="134" spans="1:46" s="22" customFormat="1" x14ac:dyDescent="0.3">
      <c r="A134" s="32"/>
      <c r="B134" s="32"/>
      <c r="C134" s="32"/>
      <c r="D134" s="32"/>
      <c r="E134" s="32"/>
      <c r="F134" s="32"/>
      <c r="G134" s="32"/>
      <c r="H134" s="32"/>
      <c r="I134" s="21"/>
      <c r="J134" s="21"/>
      <c r="K134" s="21"/>
      <c r="L134" s="32"/>
      <c r="M134" s="32"/>
      <c r="N134" s="32"/>
      <c r="AT134" s="32"/>
    </row>
    <row r="135" spans="1:46" s="22" customFormat="1" x14ac:dyDescent="0.3">
      <c r="A135" s="32"/>
      <c r="B135" s="32"/>
      <c r="C135" s="32"/>
      <c r="D135" s="32"/>
      <c r="E135" s="32"/>
      <c r="F135" s="32"/>
      <c r="G135" s="32"/>
      <c r="H135" s="32"/>
      <c r="I135" s="24"/>
      <c r="J135" s="24"/>
      <c r="K135" s="24"/>
      <c r="L135" s="32"/>
      <c r="M135" s="32"/>
      <c r="N135" s="32"/>
      <c r="AT135" s="32"/>
    </row>
    <row r="136" spans="1:46" s="22" customFormat="1" x14ac:dyDescent="0.3">
      <c r="A136" s="32"/>
      <c r="B136" s="32"/>
      <c r="C136" s="32"/>
      <c r="D136" s="32"/>
      <c r="E136" s="32"/>
      <c r="F136" s="32"/>
      <c r="G136" s="32"/>
      <c r="H136" s="32"/>
      <c r="I136" s="24"/>
      <c r="J136" s="24"/>
      <c r="K136" s="24"/>
      <c r="L136" s="32"/>
      <c r="M136" s="32"/>
      <c r="N136" s="32"/>
      <c r="AT136" s="32"/>
    </row>
    <row r="137" spans="1:46" s="22" customFormat="1" x14ac:dyDescent="0.3">
      <c r="A137" s="32"/>
      <c r="B137" s="32"/>
      <c r="C137" s="32"/>
      <c r="D137" s="32"/>
      <c r="E137" s="32"/>
      <c r="F137" s="32"/>
      <c r="G137" s="32"/>
      <c r="H137" s="32"/>
      <c r="I137" s="24"/>
      <c r="J137" s="24"/>
      <c r="K137" s="24"/>
      <c r="L137" s="25"/>
      <c r="M137" s="32"/>
      <c r="N137" s="32"/>
      <c r="AT137" s="32"/>
    </row>
    <row r="138" spans="1:46" s="22" customFormat="1" x14ac:dyDescent="0.3">
      <c r="A138" s="32"/>
      <c r="B138" s="32"/>
      <c r="C138" s="32"/>
      <c r="D138" s="32"/>
      <c r="E138" s="32"/>
      <c r="F138" s="32"/>
      <c r="G138" s="32"/>
      <c r="H138" s="32"/>
      <c r="I138" s="24"/>
      <c r="J138" s="24"/>
      <c r="K138" s="24"/>
      <c r="L138" s="25"/>
      <c r="M138" s="32"/>
      <c r="N138" s="32"/>
      <c r="AT138" s="32"/>
    </row>
    <row r="139" spans="1:46" s="22" customFormat="1" x14ac:dyDescent="0.3">
      <c r="A139" s="32"/>
      <c r="B139" s="32"/>
      <c r="C139" s="32"/>
      <c r="D139" s="32"/>
      <c r="E139" s="32"/>
      <c r="F139" s="32"/>
      <c r="G139" s="32"/>
      <c r="H139" s="32"/>
      <c r="I139" s="24"/>
      <c r="J139" s="24"/>
      <c r="K139" s="24"/>
      <c r="L139" s="25"/>
      <c r="M139" s="32"/>
      <c r="AT139" s="32"/>
    </row>
    <row r="140" spans="1:46" s="22" customFormat="1" x14ac:dyDescent="0.3">
      <c r="A140" s="32"/>
      <c r="B140" s="32"/>
      <c r="C140" s="32"/>
      <c r="D140" s="32"/>
      <c r="E140" s="32"/>
      <c r="F140" s="32"/>
      <c r="G140" s="32"/>
      <c r="H140" s="32"/>
      <c r="I140" s="24"/>
      <c r="J140" s="24"/>
      <c r="K140" s="24"/>
      <c r="L140" s="25"/>
      <c r="M140" s="32"/>
      <c r="AT140" s="32"/>
    </row>
    <row r="141" spans="1:46" s="22" customFormat="1" x14ac:dyDescent="0.3">
      <c r="A141" s="32"/>
      <c r="B141" s="32"/>
      <c r="C141" s="32"/>
      <c r="D141" s="32"/>
      <c r="E141" s="32"/>
      <c r="F141" s="32"/>
      <c r="G141" s="32"/>
      <c r="H141" s="32"/>
      <c r="I141" s="24"/>
      <c r="J141" s="24"/>
      <c r="K141" s="24"/>
      <c r="L141" s="25"/>
      <c r="M141" s="32"/>
      <c r="AT141" s="32"/>
    </row>
    <row r="142" spans="1:46" s="22" customFormat="1" x14ac:dyDescent="0.3">
      <c r="A142" s="32"/>
      <c r="B142" s="32"/>
      <c r="C142" s="32"/>
      <c r="D142" s="32"/>
      <c r="E142" s="32"/>
      <c r="F142" s="32"/>
      <c r="G142" s="32"/>
      <c r="H142" s="32"/>
      <c r="I142" s="24"/>
      <c r="J142" s="24"/>
      <c r="K142" s="24"/>
      <c r="L142" s="25"/>
      <c r="M142" s="25"/>
      <c r="AT142" s="32"/>
    </row>
    <row r="143" spans="1:46" s="22" customFormat="1" x14ac:dyDescent="0.3">
      <c r="A143" s="32"/>
      <c r="B143" s="32"/>
      <c r="C143" s="32"/>
      <c r="D143" s="32"/>
      <c r="E143" s="32"/>
      <c r="F143" s="32"/>
      <c r="G143" s="32"/>
      <c r="H143" s="32"/>
      <c r="I143" s="24"/>
      <c r="J143" s="24"/>
      <c r="K143" s="24"/>
      <c r="L143" s="25"/>
      <c r="M143" s="25"/>
      <c r="AT143" s="32"/>
    </row>
    <row r="144" spans="1:46" s="22" customFormat="1" x14ac:dyDescent="0.3">
      <c r="A144" s="32"/>
      <c r="B144" s="32"/>
      <c r="C144" s="32"/>
      <c r="D144" s="32"/>
      <c r="E144" s="32"/>
      <c r="F144" s="32"/>
      <c r="G144" s="32"/>
      <c r="H144" s="32"/>
      <c r="I144" s="24"/>
      <c r="J144" s="24"/>
      <c r="K144" s="24"/>
      <c r="L144" s="25"/>
      <c r="M144" s="25"/>
      <c r="AT144" s="32"/>
    </row>
    <row r="145" spans="9:46" s="22" customFormat="1" x14ac:dyDescent="0.3">
      <c r="I145" s="24"/>
      <c r="J145" s="24"/>
      <c r="K145" s="24"/>
      <c r="L145" s="25"/>
      <c r="M145" s="25"/>
      <c r="AT145" s="32"/>
    </row>
    <row r="146" spans="9:46" s="22" customFormat="1" x14ac:dyDescent="0.3">
      <c r="I146" s="24"/>
      <c r="J146" s="24"/>
      <c r="K146" s="24"/>
      <c r="L146" s="25"/>
      <c r="M146" s="25"/>
      <c r="AT146" s="32"/>
    </row>
    <row r="147" spans="9:46" s="22" customFormat="1" x14ac:dyDescent="0.3">
      <c r="I147" s="24"/>
      <c r="J147" s="24"/>
      <c r="K147" s="24"/>
      <c r="L147" s="25"/>
      <c r="M147" s="25"/>
      <c r="AT147" s="32"/>
    </row>
    <row r="148" spans="9:46" s="22" customFormat="1" x14ac:dyDescent="0.3">
      <c r="I148" s="24"/>
      <c r="J148" s="24"/>
      <c r="K148" s="24"/>
      <c r="L148" s="25"/>
      <c r="M148" s="25"/>
      <c r="AT148" s="32"/>
    </row>
    <row r="149" spans="9:46" s="22" customFormat="1" x14ac:dyDescent="0.3">
      <c r="I149" s="24"/>
      <c r="J149" s="24"/>
      <c r="K149" s="24"/>
      <c r="L149" s="25"/>
      <c r="M149" s="25"/>
      <c r="AT149" s="32"/>
    </row>
    <row r="150" spans="9:46" s="22" customFormat="1" x14ac:dyDescent="0.3">
      <c r="I150" s="24"/>
      <c r="J150" s="24"/>
      <c r="K150" s="24"/>
      <c r="L150" s="25"/>
      <c r="M150" s="25"/>
      <c r="AT150" s="32"/>
    </row>
    <row r="151" spans="9:46" s="22" customFormat="1" x14ac:dyDescent="0.3">
      <c r="I151" s="24"/>
      <c r="J151" s="24"/>
      <c r="K151" s="24"/>
      <c r="L151" s="25"/>
      <c r="M151" s="25"/>
      <c r="AT151" s="32"/>
    </row>
    <row r="152" spans="9:46" s="22" customFormat="1" x14ac:dyDescent="0.3">
      <c r="I152" s="24"/>
      <c r="J152" s="24"/>
      <c r="K152" s="24"/>
      <c r="L152" s="25"/>
      <c r="M152" s="25"/>
      <c r="AT152" s="32"/>
    </row>
    <row r="153" spans="9:46" s="22" customFormat="1" x14ac:dyDescent="0.3">
      <c r="I153" s="24"/>
      <c r="J153" s="24"/>
      <c r="K153" s="24"/>
      <c r="L153" s="25"/>
      <c r="M153" s="25"/>
      <c r="AT153" s="32"/>
    </row>
    <row r="154" spans="9:46" s="22" customFormat="1" x14ac:dyDescent="0.3">
      <c r="I154" s="24"/>
      <c r="J154" s="24"/>
      <c r="K154" s="24"/>
      <c r="L154" s="25"/>
      <c r="M154" s="25"/>
      <c r="AT154" s="32"/>
    </row>
    <row r="155" spans="9:46" s="22" customFormat="1" x14ac:dyDescent="0.3">
      <c r="I155" s="24"/>
      <c r="J155" s="24"/>
      <c r="K155" s="24"/>
      <c r="L155" s="25"/>
      <c r="M155" s="25"/>
      <c r="AT155" s="32"/>
    </row>
    <row r="156" spans="9:46" s="22" customFormat="1" x14ac:dyDescent="0.3">
      <c r="I156" s="24"/>
      <c r="J156" s="24"/>
      <c r="K156" s="24"/>
      <c r="L156" s="25"/>
      <c r="M156" s="25"/>
      <c r="AT156" s="32"/>
    </row>
    <row r="157" spans="9:46" s="22" customFormat="1" x14ac:dyDescent="0.3">
      <c r="I157" s="24"/>
      <c r="J157" s="24"/>
      <c r="K157" s="24"/>
      <c r="L157" s="25"/>
      <c r="M157" s="25"/>
      <c r="AT157" s="32"/>
    </row>
    <row r="158" spans="9:46" s="22" customFormat="1" x14ac:dyDescent="0.3">
      <c r="I158" s="24"/>
      <c r="J158" s="24"/>
      <c r="K158" s="24"/>
      <c r="L158" s="25"/>
      <c r="M158" s="25"/>
      <c r="AT158" s="32"/>
    </row>
    <row r="159" spans="9:46" s="22" customFormat="1" x14ac:dyDescent="0.3">
      <c r="I159" s="24"/>
      <c r="J159" s="24"/>
      <c r="K159" s="24"/>
      <c r="L159" s="25"/>
      <c r="M159" s="25"/>
      <c r="AT159" s="32"/>
    </row>
    <row r="160" spans="9:46" s="22" customFormat="1" x14ac:dyDescent="0.3">
      <c r="I160" s="24"/>
      <c r="J160" s="24"/>
      <c r="K160" s="24"/>
      <c r="L160" s="25"/>
      <c r="M160" s="25"/>
      <c r="AT160" s="32"/>
    </row>
    <row r="161" spans="9:46" s="22" customFormat="1" x14ac:dyDescent="0.3">
      <c r="I161" s="24"/>
      <c r="J161" s="24"/>
      <c r="K161" s="24"/>
      <c r="L161" s="25"/>
      <c r="M161" s="25"/>
      <c r="AT161" s="32"/>
    </row>
    <row r="162" spans="9:46" s="22" customFormat="1" x14ac:dyDescent="0.3">
      <c r="I162" s="24"/>
      <c r="J162" s="24"/>
      <c r="K162" s="24"/>
      <c r="L162" s="25"/>
      <c r="M162" s="25"/>
      <c r="AT162" s="32"/>
    </row>
    <row r="163" spans="9:46" s="22" customFormat="1" x14ac:dyDescent="0.3">
      <c r="I163" s="24"/>
      <c r="J163" s="24"/>
      <c r="K163" s="24"/>
      <c r="L163" s="25"/>
      <c r="M163" s="25"/>
      <c r="AT163" s="32"/>
    </row>
    <row r="164" spans="9:46" s="22" customFormat="1" x14ac:dyDescent="0.3">
      <c r="I164" s="24"/>
      <c r="J164" s="24"/>
      <c r="K164" s="24"/>
      <c r="L164" s="25"/>
      <c r="M164" s="25"/>
      <c r="AT164" s="32"/>
    </row>
    <row r="165" spans="9:46" s="22" customFormat="1" x14ac:dyDescent="0.3">
      <c r="I165" s="24"/>
      <c r="J165" s="24"/>
      <c r="K165" s="24"/>
      <c r="L165" s="25"/>
      <c r="M165" s="25"/>
      <c r="AT165" s="32"/>
    </row>
    <row r="166" spans="9:46" s="22" customFormat="1" x14ac:dyDescent="0.3">
      <c r="I166" s="24"/>
      <c r="J166" s="24"/>
      <c r="K166" s="24"/>
      <c r="L166" s="25"/>
      <c r="M166" s="25"/>
      <c r="AT166" s="32"/>
    </row>
    <row r="167" spans="9:46" s="22" customFormat="1" x14ac:dyDescent="0.3">
      <c r="I167" s="24"/>
      <c r="J167" s="24"/>
      <c r="K167" s="24"/>
      <c r="L167" s="25"/>
      <c r="M167" s="25"/>
      <c r="AT167" s="32"/>
    </row>
    <row r="168" spans="9:46" s="22" customFormat="1" x14ac:dyDescent="0.3">
      <c r="I168" s="24"/>
      <c r="J168" s="24"/>
      <c r="K168" s="24"/>
      <c r="L168" s="25"/>
      <c r="M168" s="25"/>
      <c r="AT168" s="32"/>
    </row>
    <row r="169" spans="9:46" s="22" customFormat="1" x14ac:dyDescent="0.3">
      <c r="I169" s="24"/>
      <c r="J169" s="24"/>
      <c r="K169" s="24"/>
      <c r="L169" s="25"/>
      <c r="M169" s="25"/>
      <c r="AT169" s="32"/>
    </row>
    <row r="170" spans="9:46" s="22" customFormat="1" x14ac:dyDescent="0.3">
      <c r="I170" s="24"/>
      <c r="J170" s="24"/>
      <c r="K170" s="24"/>
      <c r="L170" s="25"/>
      <c r="M170" s="25"/>
      <c r="AT170" s="32"/>
    </row>
    <row r="171" spans="9:46" s="22" customFormat="1" x14ac:dyDescent="0.3">
      <c r="I171" s="24"/>
      <c r="J171" s="24"/>
      <c r="K171" s="24"/>
      <c r="L171" s="25"/>
      <c r="M171" s="25"/>
      <c r="AT171" s="32"/>
    </row>
    <row r="172" spans="9:46" s="22" customFormat="1" x14ac:dyDescent="0.3">
      <c r="I172" s="24"/>
      <c r="J172" s="24"/>
      <c r="K172" s="24"/>
      <c r="L172" s="25"/>
      <c r="M172" s="25"/>
      <c r="AT172" s="32"/>
    </row>
    <row r="173" spans="9:46" s="22" customFormat="1" x14ac:dyDescent="0.3">
      <c r="I173" s="24"/>
      <c r="J173" s="24"/>
      <c r="K173" s="24"/>
      <c r="L173" s="25"/>
      <c r="M173" s="25"/>
      <c r="AT173" s="32"/>
    </row>
    <row r="174" spans="9:46" s="22" customFormat="1" x14ac:dyDescent="0.3">
      <c r="I174" s="24"/>
      <c r="J174" s="24"/>
      <c r="K174" s="24"/>
      <c r="L174" s="25"/>
      <c r="M174" s="25"/>
      <c r="AT174" s="32"/>
    </row>
    <row r="175" spans="9:46" s="22" customFormat="1" x14ac:dyDescent="0.3">
      <c r="I175" s="24"/>
      <c r="J175" s="24"/>
      <c r="K175" s="24"/>
      <c r="L175" s="25"/>
      <c r="M175" s="25"/>
      <c r="AT175" s="32"/>
    </row>
    <row r="176" spans="9:46" s="22" customFormat="1" x14ac:dyDescent="0.3">
      <c r="I176" s="24"/>
      <c r="J176" s="24"/>
      <c r="K176" s="24"/>
      <c r="L176" s="25"/>
      <c r="M176" s="25"/>
      <c r="AT176" s="32"/>
    </row>
    <row r="177" spans="9:46" s="22" customFormat="1" x14ac:dyDescent="0.3">
      <c r="I177" s="24"/>
      <c r="J177" s="24"/>
      <c r="K177" s="24"/>
      <c r="L177" s="25"/>
      <c r="M177" s="25"/>
      <c r="AT177" s="32"/>
    </row>
    <row r="178" spans="9:46" s="22" customFormat="1" x14ac:dyDescent="0.3">
      <c r="I178" s="24"/>
      <c r="J178" s="24"/>
      <c r="K178" s="24"/>
      <c r="L178" s="25"/>
      <c r="M178" s="25"/>
      <c r="AT178" s="32"/>
    </row>
    <row r="179" spans="9:46" s="22" customFormat="1" x14ac:dyDescent="0.3">
      <c r="I179" s="24"/>
      <c r="J179" s="24"/>
      <c r="K179" s="24"/>
      <c r="L179" s="25"/>
      <c r="M179" s="25"/>
      <c r="AT179" s="32"/>
    </row>
    <row r="180" spans="9:46" s="22" customFormat="1" x14ac:dyDescent="0.3">
      <c r="I180" s="24"/>
      <c r="J180" s="24"/>
      <c r="K180" s="24"/>
      <c r="L180" s="25"/>
      <c r="M180" s="25"/>
      <c r="AT180" s="32"/>
    </row>
    <row r="181" spans="9:46" s="22" customFormat="1" x14ac:dyDescent="0.3">
      <c r="I181" s="24"/>
      <c r="J181" s="24"/>
      <c r="K181" s="24"/>
      <c r="L181" s="25"/>
      <c r="M181" s="25"/>
      <c r="AT181" s="32"/>
    </row>
    <row r="182" spans="9:46" s="22" customFormat="1" x14ac:dyDescent="0.3">
      <c r="I182" s="24"/>
      <c r="J182" s="24"/>
      <c r="K182" s="24"/>
      <c r="L182" s="25"/>
      <c r="M182" s="25"/>
      <c r="AT182" s="32"/>
    </row>
    <row r="183" spans="9:46" s="22" customFormat="1" x14ac:dyDescent="0.3">
      <c r="I183" s="24"/>
      <c r="J183" s="24"/>
      <c r="K183" s="24"/>
      <c r="L183" s="25"/>
      <c r="M183" s="25"/>
      <c r="AT183" s="32"/>
    </row>
    <row r="184" spans="9:46" s="22" customFormat="1" x14ac:dyDescent="0.3">
      <c r="I184" s="24"/>
      <c r="J184" s="24"/>
      <c r="K184" s="24"/>
      <c r="L184" s="25"/>
      <c r="M184" s="25"/>
      <c r="AT184" s="32"/>
    </row>
    <row r="185" spans="9:46" s="22" customFormat="1" x14ac:dyDescent="0.3">
      <c r="I185" s="24"/>
      <c r="J185" s="24"/>
      <c r="K185" s="24"/>
      <c r="L185" s="25"/>
      <c r="M185" s="25"/>
      <c r="AT185" s="32"/>
    </row>
    <row r="186" spans="9:46" s="22" customFormat="1" x14ac:dyDescent="0.3">
      <c r="I186" s="24"/>
      <c r="J186" s="24"/>
      <c r="K186" s="24"/>
      <c r="L186" s="25"/>
      <c r="M186" s="25"/>
      <c r="AT186" s="32"/>
    </row>
    <row r="187" spans="9:46" s="22" customFormat="1" x14ac:dyDescent="0.3">
      <c r="I187" s="24"/>
      <c r="J187" s="24"/>
      <c r="K187" s="24"/>
      <c r="L187" s="25"/>
      <c r="M187" s="25"/>
      <c r="AT187" s="32"/>
    </row>
    <row r="188" spans="9:46" s="22" customFormat="1" x14ac:dyDescent="0.3">
      <c r="I188" s="24"/>
      <c r="J188" s="24"/>
      <c r="K188" s="24"/>
      <c r="L188" s="25"/>
      <c r="M188" s="25"/>
      <c r="AT188" s="32"/>
    </row>
    <row r="189" spans="9:46" s="22" customFormat="1" x14ac:dyDescent="0.3">
      <c r="I189" s="24"/>
      <c r="J189" s="24"/>
      <c r="K189" s="24"/>
      <c r="L189" s="25"/>
      <c r="M189" s="25"/>
      <c r="AT189" s="32"/>
    </row>
    <row r="190" spans="9:46" s="22" customFormat="1" x14ac:dyDescent="0.3">
      <c r="I190" s="24"/>
      <c r="J190" s="24"/>
      <c r="K190" s="24"/>
      <c r="L190" s="25"/>
      <c r="M190" s="25"/>
      <c r="AT190" s="32"/>
    </row>
    <row r="191" spans="9:46" s="22" customFormat="1" x14ac:dyDescent="0.3">
      <c r="I191" s="24"/>
      <c r="J191" s="24"/>
      <c r="K191" s="24"/>
      <c r="L191" s="25"/>
      <c r="M191" s="25"/>
      <c r="AT191" s="32"/>
    </row>
    <row r="192" spans="9:46" s="22" customFormat="1" x14ac:dyDescent="0.3">
      <c r="I192" s="24"/>
      <c r="J192" s="24"/>
      <c r="K192" s="24"/>
      <c r="L192" s="25"/>
      <c r="M192" s="25"/>
      <c r="AT192" s="32"/>
    </row>
    <row r="193" spans="9:46" s="22" customFormat="1" x14ac:dyDescent="0.3">
      <c r="I193" s="24"/>
      <c r="J193" s="24"/>
      <c r="K193" s="24"/>
      <c r="L193" s="25"/>
      <c r="M193" s="25"/>
      <c r="AT193" s="32"/>
    </row>
    <row r="194" spans="9:46" s="22" customFormat="1" x14ac:dyDescent="0.3">
      <c r="I194" s="24"/>
      <c r="J194" s="24"/>
      <c r="K194" s="24"/>
      <c r="L194" s="25"/>
      <c r="M194" s="25"/>
      <c r="AT194" s="32"/>
    </row>
    <row r="195" spans="9:46" s="22" customFormat="1" x14ac:dyDescent="0.3">
      <c r="I195" s="24"/>
      <c r="J195" s="24"/>
      <c r="K195" s="24"/>
      <c r="L195" s="25"/>
      <c r="M195" s="25"/>
      <c r="AT195" s="32"/>
    </row>
    <row r="196" spans="9:46" s="22" customFormat="1" x14ac:dyDescent="0.3">
      <c r="I196" s="24"/>
      <c r="J196" s="24"/>
      <c r="K196" s="24"/>
      <c r="L196" s="25"/>
      <c r="M196" s="25"/>
      <c r="AT196" s="32"/>
    </row>
    <row r="197" spans="9:46" s="22" customFormat="1" x14ac:dyDescent="0.3">
      <c r="I197" s="24"/>
      <c r="J197" s="24"/>
      <c r="K197" s="24"/>
      <c r="L197" s="25"/>
      <c r="M197" s="25"/>
      <c r="AT197" s="32"/>
    </row>
    <row r="198" spans="9:46" s="22" customFormat="1" x14ac:dyDescent="0.3">
      <c r="I198" s="24"/>
      <c r="J198" s="24"/>
      <c r="K198" s="24"/>
      <c r="L198" s="25"/>
      <c r="M198" s="25"/>
      <c r="AT198" s="32"/>
    </row>
    <row r="199" spans="9:46" s="22" customFormat="1" x14ac:dyDescent="0.3">
      <c r="I199" s="24"/>
      <c r="J199" s="24"/>
      <c r="K199" s="24"/>
      <c r="L199" s="25"/>
      <c r="M199" s="25"/>
      <c r="AT199" s="32"/>
    </row>
    <row r="200" spans="9:46" s="22" customFormat="1" x14ac:dyDescent="0.3">
      <c r="I200" s="24"/>
      <c r="J200" s="24"/>
      <c r="K200" s="24"/>
      <c r="L200" s="25"/>
      <c r="M200" s="25"/>
      <c r="AT200" s="32"/>
    </row>
    <row r="201" spans="9:46" s="22" customFormat="1" x14ac:dyDescent="0.3">
      <c r="I201" s="24"/>
      <c r="J201" s="24"/>
      <c r="K201" s="24"/>
      <c r="L201" s="25"/>
      <c r="M201" s="25"/>
      <c r="AT201" s="32"/>
    </row>
    <row r="202" spans="9:46" s="22" customFormat="1" x14ac:dyDescent="0.3">
      <c r="I202" s="24"/>
      <c r="J202" s="24"/>
      <c r="K202" s="24"/>
      <c r="L202" s="25"/>
      <c r="M202" s="25"/>
      <c r="AT202" s="32"/>
    </row>
    <row r="203" spans="9:46" s="22" customFormat="1" x14ac:dyDescent="0.3">
      <c r="I203" s="24"/>
      <c r="J203" s="24"/>
      <c r="K203" s="24"/>
      <c r="L203" s="25"/>
      <c r="M203" s="25"/>
      <c r="AT203" s="32"/>
    </row>
    <row r="204" spans="9:46" s="22" customFormat="1" x14ac:dyDescent="0.3">
      <c r="I204" s="24"/>
      <c r="J204" s="24"/>
      <c r="K204" s="24"/>
      <c r="L204" s="25"/>
      <c r="M204" s="25"/>
      <c r="AT204" s="32"/>
    </row>
    <row r="205" spans="9:46" s="22" customFormat="1" x14ac:dyDescent="0.3">
      <c r="I205" s="24"/>
      <c r="J205" s="24"/>
      <c r="K205" s="24"/>
      <c r="L205" s="25"/>
      <c r="M205" s="25"/>
      <c r="AT205" s="32"/>
    </row>
    <row r="206" spans="9:46" s="22" customFormat="1" x14ac:dyDescent="0.3">
      <c r="I206" s="24"/>
      <c r="J206" s="24"/>
      <c r="K206" s="24"/>
      <c r="L206" s="25"/>
      <c r="M206" s="25"/>
      <c r="AT206" s="32"/>
    </row>
    <row r="207" spans="9:46" s="22" customFormat="1" x14ac:dyDescent="0.3">
      <c r="I207" s="24"/>
      <c r="J207" s="24"/>
      <c r="K207" s="24"/>
      <c r="L207" s="25"/>
      <c r="M207" s="25"/>
      <c r="AT207" s="32"/>
    </row>
    <row r="208" spans="9:46" s="22" customFormat="1" x14ac:dyDescent="0.3">
      <c r="I208" s="24"/>
      <c r="J208" s="24"/>
      <c r="K208" s="24"/>
      <c r="L208" s="25"/>
      <c r="M208" s="25"/>
      <c r="AT208" s="32"/>
    </row>
    <row r="209" spans="1:47" s="22" customFormat="1" x14ac:dyDescent="0.3">
      <c r="I209" s="24"/>
      <c r="J209" s="24"/>
      <c r="K209" s="24"/>
      <c r="L209" s="25"/>
      <c r="M209" s="25"/>
      <c r="AT209" s="32"/>
    </row>
    <row r="210" spans="1:47" s="22" customFormat="1" x14ac:dyDescent="0.3">
      <c r="I210" s="24"/>
      <c r="J210" s="24"/>
      <c r="K210" s="24"/>
      <c r="L210" s="25"/>
      <c r="M210" s="25"/>
      <c r="AT210" s="32"/>
    </row>
    <row r="211" spans="1:47" s="22" customFormat="1" x14ac:dyDescent="0.3">
      <c r="I211" s="24"/>
      <c r="J211" s="24"/>
      <c r="K211" s="24"/>
      <c r="L211" s="25"/>
      <c r="M211" s="25"/>
      <c r="AT211" s="32"/>
    </row>
    <row r="212" spans="1:47" s="30" customFormat="1" x14ac:dyDescent="0.3">
      <c r="A212" s="22"/>
      <c r="B212" s="22"/>
      <c r="C212" s="22"/>
      <c r="D212" s="22"/>
      <c r="E212" s="22"/>
      <c r="F212" s="22"/>
      <c r="G212" s="22"/>
      <c r="H212" s="22"/>
      <c r="I212" s="27"/>
      <c r="J212" s="27"/>
      <c r="K212" s="27"/>
      <c r="L212" s="25"/>
      <c r="M212" s="25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32"/>
      <c r="AU212" s="22"/>
    </row>
    <row r="213" spans="1:47" s="30" customFormat="1" x14ac:dyDescent="0.3">
      <c r="A213" s="22"/>
      <c r="B213" s="22"/>
      <c r="C213" s="22"/>
      <c r="D213" s="22"/>
      <c r="E213" s="22"/>
      <c r="F213" s="22"/>
      <c r="G213" s="22"/>
      <c r="H213" s="22"/>
      <c r="I213" s="27"/>
      <c r="J213" s="27"/>
      <c r="K213" s="27"/>
      <c r="L213" s="25"/>
      <c r="M213" s="25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32"/>
      <c r="AU213" s="22"/>
    </row>
    <row r="214" spans="1:47" s="30" customFormat="1" x14ac:dyDescent="0.3">
      <c r="A214" s="22"/>
      <c r="B214" s="22"/>
      <c r="C214" s="22"/>
      <c r="D214" s="22"/>
      <c r="E214" s="22"/>
      <c r="F214" s="22"/>
      <c r="G214" s="22"/>
      <c r="H214" s="22"/>
      <c r="I214" s="27"/>
      <c r="J214" s="27"/>
      <c r="K214" s="27"/>
      <c r="L214" s="28"/>
      <c r="M214" s="25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32"/>
      <c r="AU214" s="22"/>
    </row>
    <row r="215" spans="1:47" s="30" customFormat="1" x14ac:dyDescent="0.3">
      <c r="A215" s="22"/>
      <c r="B215" s="22"/>
      <c r="C215" s="22"/>
      <c r="D215" s="22"/>
      <c r="E215" s="22"/>
      <c r="F215" s="22"/>
      <c r="G215" s="22"/>
      <c r="H215" s="22"/>
      <c r="I215" s="27"/>
      <c r="J215" s="27"/>
      <c r="K215" s="27"/>
      <c r="L215" s="28"/>
      <c r="M215" s="25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32"/>
      <c r="AU215" s="22"/>
    </row>
    <row r="216" spans="1:47" s="30" customFormat="1" x14ac:dyDescent="0.3">
      <c r="A216" s="22"/>
      <c r="B216" s="22"/>
      <c r="C216" s="22"/>
      <c r="D216" s="22"/>
      <c r="E216" s="22"/>
      <c r="F216" s="22"/>
      <c r="G216" s="22"/>
      <c r="H216" s="22"/>
      <c r="I216" s="27"/>
      <c r="J216" s="27"/>
      <c r="K216" s="27"/>
      <c r="L216" s="28"/>
      <c r="M216" s="25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32"/>
      <c r="AU216" s="22"/>
    </row>
    <row r="217" spans="1:47" s="30" customFormat="1" x14ac:dyDescent="0.3">
      <c r="A217" s="22"/>
      <c r="B217" s="22"/>
      <c r="C217" s="22"/>
      <c r="D217" s="22"/>
      <c r="E217" s="22"/>
      <c r="F217" s="22"/>
      <c r="G217" s="22"/>
      <c r="H217" s="22"/>
      <c r="I217" s="27"/>
      <c r="J217" s="27"/>
      <c r="K217" s="27"/>
      <c r="L217" s="28"/>
      <c r="M217" s="25"/>
      <c r="N217" s="26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32"/>
      <c r="AU217" s="22"/>
    </row>
    <row r="218" spans="1:47" s="30" customFormat="1" x14ac:dyDescent="0.3">
      <c r="A218" s="22"/>
      <c r="B218" s="22"/>
      <c r="C218" s="22"/>
      <c r="D218" s="22"/>
      <c r="E218" s="22"/>
      <c r="F218" s="22"/>
      <c r="G218" s="22"/>
      <c r="H218" s="22"/>
      <c r="I218" s="27"/>
      <c r="J218" s="27"/>
      <c r="K218" s="27"/>
      <c r="L218" s="28"/>
      <c r="M218" s="25"/>
      <c r="N218" s="26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32"/>
      <c r="AU218" s="22"/>
    </row>
    <row r="219" spans="1:47" s="30" customFormat="1" x14ac:dyDescent="0.3">
      <c r="A219" s="22"/>
      <c r="B219" s="22"/>
      <c r="C219" s="22"/>
      <c r="D219" s="22"/>
      <c r="E219" s="22"/>
      <c r="F219" s="22"/>
      <c r="G219" s="22"/>
      <c r="H219" s="22"/>
      <c r="I219" s="27"/>
      <c r="J219" s="27"/>
      <c r="K219" s="27"/>
      <c r="L219" s="28"/>
      <c r="M219" s="28"/>
      <c r="N219" s="26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32"/>
      <c r="AU219" s="22"/>
    </row>
    <row r="220" spans="1:47" s="30" customFormat="1" x14ac:dyDescent="0.3">
      <c r="A220" s="22"/>
      <c r="B220" s="22"/>
      <c r="C220" s="22"/>
      <c r="D220" s="22"/>
      <c r="E220" s="22"/>
      <c r="F220" s="22"/>
      <c r="G220" s="22"/>
      <c r="H220" s="22"/>
      <c r="I220" s="27"/>
      <c r="J220" s="27"/>
      <c r="K220" s="27"/>
      <c r="L220" s="28"/>
      <c r="M220" s="28"/>
      <c r="N220" s="26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32"/>
      <c r="AU220" s="22"/>
    </row>
    <row r="221" spans="1:47" s="30" customFormat="1" x14ac:dyDescent="0.3">
      <c r="A221" s="22"/>
      <c r="B221" s="22"/>
      <c r="C221" s="22"/>
      <c r="D221" s="22"/>
      <c r="E221" s="22"/>
      <c r="F221" s="22"/>
      <c r="G221" s="22"/>
      <c r="H221" s="22"/>
      <c r="I221" s="27"/>
      <c r="J221" s="27"/>
      <c r="K221" s="27"/>
      <c r="L221" s="28"/>
      <c r="M221" s="28"/>
      <c r="N221" s="26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32"/>
      <c r="AU221" s="22"/>
    </row>
    <row r="222" spans="1:47" s="30" customFormat="1" x14ac:dyDescent="0.3">
      <c r="A222" s="26"/>
      <c r="B222" s="26"/>
      <c r="C222" s="26"/>
      <c r="D222" s="26"/>
      <c r="E222" s="26"/>
      <c r="F222" s="26"/>
      <c r="G222" s="26"/>
      <c r="H222" s="26"/>
      <c r="I222" s="27"/>
      <c r="J222" s="27"/>
      <c r="K222" s="27"/>
      <c r="L222" s="28"/>
      <c r="M222" s="28"/>
      <c r="N222" s="26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32"/>
      <c r="AU222" s="22"/>
    </row>
    <row r="223" spans="1:47" s="30" customFormat="1" x14ac:dyDescent="0.3">
      <c r="A223" s="26"/>
      <c r="B223" s="26"/>
      <c r="C223" s="26"/>
      <c r="D223" s="26"/>
      <c r="E223" s="26"/>
      <c r="F223" s="26"/>
      <c r="G223" s="26"/>
      <c r="H223" s="26"/>
      <c r="I223" s="27"/>
      <c r="J223" s="27"/>
      <c r="K223" s="27"/>
      <c r="L223" s="28"/>
      <c r="M223" s="28"/>
      <c r="N223" s="26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32"/>
      <c r="AU223" s="22"/>
    </row>
    <row r="224" spans="1:47" s="30" customFormat="1" x14ac:dyDescent="0.3">
      <c r="A224" s="26"/>
      <c r="B224" s="26"/>
      <c r="C224" s="26"/>
      <c r="D224" s="26"/>
      <c r="E224" s="26"/>
      <c r="F224" s="26"/>
      <c r="G224" s="26"/>
      <c r="H224" s="26"/>
      <c r="I224" s="27"/>
      <c r="J224" s="27"/>
      <c r="K224" s="27"/>
      <c r="L224" s="28"/>
      <c r="M224" s="28"/>
      <c r="N224" s="26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32"/>
      <c r="AU224" s="22"/>
    </row>
    <row r="225" spans="1:47" s="30" customFormat="1" x14ac:dyDescent="0.3">
      <c r="A225" s="26"/>
      <c r="B225" s="26"/>
      <c r="C225" s="26"/>
      <c r="D225" s="26"/>
      <c r="E225" s="26"/>
      <c r="F225" s="26"/>
      <c r="G225" s="26"/>
      <c r="H225" s="26"/>
      <c r="I225" s="27"/>
      <c r="J225" s="27"/>
      <c r="K225" s="27"/>
      <c r="L225" s="28"/>
      <c r="M225" s="28"/>
      <c r="N225" s="26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32"/>
      <c r="AU225" s="22"/>
    </row>
    <row r="226" spans="1:47" s="30" customFormat="1" x14ac:dyDescent="0.3">
      <c r="A226" s="26"/>
      <c r="B226" s="26"/>
      <c r="C226" s="26"/>
      <c r="D226" s="26"/>
      <c r="E226" s="26"/>
      <c r="F226" s="26"/>
      <c r="G226" s="26"/>
      <c r="H226" s="26"/>
      <c r="I226" s="27"/>
      <c r="J226" s="27"/>
      <c r="K226" s="27"/>
      <c r="L226" s="28"/>
      <c r="M226" s="28"/>
      <c r="N226" s="26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32"/>
      <c r="AU226" s="22"/>
    </row>
    <row r="227" spans="1:47" s="30" customFormat="1" x14ac:dyDescent="0.3">
      <c r="A227" s="26"/>
      <c r="B227" s="26"/>
      <c r="C227" s="26"/>
      <c r="D227" s="26"/>
      <c r="E227" s="26"/>
      <c r="F227" s="26"/>
      <c r="G227" s="26"/>
      <c r="H227" s="26"/>
      <c r="I227" s="27"/>
      <c r="J227" s="27"/>
      <c r="K227" s="27"/>
      <c r="L227" s="28"/>
      <c r="M227" s="28"/>
      <c r="N227" s="26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32"/>
      <c r="AU227" s="22"/>
    </row>
    <row r="228" spans="1:47" s="30" customFormat="1" x14ac:dyDescent="0.3">
      <c r="A228" s="26"/>
      <c r="B228" s="26"/>
      <c r="C228" s="26"/>
      <c r="D228" s="26"/>
      <c r="E228" s="26"/>
      <c r="F228" s="26"/>
      <c r="G228" s="26"/>
      <c r="H228" s="26"/>
      <c r="I228" s="27"/>
      <c r="J228" s="27"/>
      <c r="K228" s="27"/>
      <c r="L228" s="28"/>
      <c r="M228" s="28"/>
      <c r="N228" s="26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32"/>
      <c r="AU228" s="22"/>
    </row>
    <row r="229" spans="1:47" x14ac:dyDescent="0.3">
      <c r="A229" s="26"/>
      <c r="B229" s="26"/>
      <c r="C229" s="26"/>
      <c r="D229" s="26"/>
      <c r="E229" s="26"/>
      <c r="F229" s="26"/>
      <c r="G229" s="26"/>
      <c r="H229" s="26"/>
      <c r="L229" s="28"/>
      <c r="M229" s="28"/>
      <c r="AT229" s="29"/>
      <c r="AU229" s="29"/>
    </row>
    <row r="230" spans="1:47" x14ac:dyDescent="0.3">
      <c r="A230" s="26"/>
      <c r="B230" s="26"/>
      <c r="C230" s="26"/>
      <c r="D230" s="26"/>
      <c r="E230" s="26"/>
      <c r="F230" s="26"/>
      <c r="G230" s="26"/>
      <c r="H230" s="26"/>
      <c r="L230" s="28"/>
      <c r="M230" s="28"/>
      <c r="AT230" s="29"/>
      <c r="AU230" s="29"/>
    </row>
    <row r="231" spans="1:47" x14ac:dyDescent="0.3">
      <c r="A231" s="26"/>
      <c r="B231" s="26"/>
      <c r="C231" s="26"/>
      <c r="D231" s="26"/>
      <c r="E231" s="26"/>
      <c r="F231" s="26"/>
      <c r="G231" s="26"/>
      <c r="H231" s="26"/>
      <c r="M231" s="28"/>
      <c r="AT231" s="29"/>
      <c r="AU231" s="29"/>
    </row>
    <row r="232" spans="1:47" x14ac:dyDescent="0.3">
      <c r="A232" s="26"/>
      <c r="B232" s="26"/>
      <c r="C232" s="26"/>
      <c r="D232" s="26"/>
      <c r="E232" s="26"/>
      <c r="F232" s="26"/>
      <c r="G232" s="26"/>
      <c r="H232" s="26"/>
      <c r="M232" s="28"/>
      <c r="AT232" s="29"/>
      <c r="AU232" s="29"/>
    </row>
    <row r="233" spans="1:47" x14ac:dyDescent="0.3">
      <c r="A233" s="26"/>
      <c r="B233" s="26"/>
      <c r="C233" s="26"/>
      <c r="D233" s="26"/>
      <c r="E233" s="26"/>
      <c r="F233" s="26"/>
      <c r="G233" s="26"/>
      <c r="H233" s="26"/>
      <c r="M233" s="28"/>
      <c r="AT233" s="29"/>
      <c r="AU233" s="29"/>
    </row>
    <row r="234" spans="1:47" x14ac:dyDescent="0.3">
      <c r="A234" s="26"/>
      <c r="B234" s="26"/>
      <c r="C234" s="26"/>
      <c r="D234" s="26"/>
      <c r="E234" s="26"/>
      <c r="F234" s="26"/>
      <c r="G234" s="26"/>
      <c r="H234" s="26"/>
      <c r="M234" s="28"/>
      <c r="AT234" s="29"/>
      <c r="AU234" s="29"/>
    </row>
    <row r="235" spans="1:47" x14ac:dyDescent="0.3">
      <c r="A235" s="26"/>
      <c r="B235" s="26"/>
      <c r="C235" s="26"/>
      <c r="D235" s="26"/>
      <c r="E235" s="26"/>
      <c r="F235" s="26"/>
      <c r="G235" s="26"/>
      <c r="H235" s="26"/>
      <c r="L235" s="29"/>
      <c r="M235" s="28"/>
      <c r="AT235" s="29"/>
      <c r="AU235" s="29"/>
    </row>
    <row r="236" spans="1:47" x14ac:dyDescent="0.3">
      <c r="A236" s="26"/>
      <c r="B236" s="26"/>
      <c r="C236" s="26"/>
      <c r="D236" s="26"/>
      <c r="E236" s="26"/>
      <c r="F236" s="26"/>
      <c r="G236" s="26"/>
      <c r="H236" s="26"/>
      <c r="AT236" s="29"/>
      <c r="AU236" s="29"/>
    </row>
    <row r="237" spans="1:47" x14ac:dyDescent="0.3">
      <c r="A237" s="26"/>
      <c r="B237" s="26"/>
      <c r="C237" s="26"/>
      <c r="D237" s="26"/>
      <c r="E237" s="26"/>
      <c r="F237" s="26"/>
      <c r="G237" s="26"/>
      <c r="H237" s="26"/>
      <c r="AT237" s="29"/>
      <c r="AU237" s="29"/>
    </row>
    <row r="238" spans="1:47" x14ac:dyDescent="0.3">
      <c r="A238" s="26"/>
      <c r="B238" s="26"/>
      <c r="C238" s="26"/>
      <c r="D238" s="26"/>
      <c r="E238" s="26"/>
      <c r="F238" s="26"/>
      <c r="G238" s="26"/>
      <c r="H238" s="26"/>
      <c r="AT238" s="29"/>
      <c r="AU238" s="29"/>
    </row>
    <row r="239" spans="1:47" x14ac:dyDescent="0.3">
      <c r="AT239" s="29"/>
      <c r="AU239" s="29"/>
    </row>
    <row r="240" spans="1:47" x14ac:dyDescent="0.3">
      <c r="AT240" s="29"/>
      <c r="AU240" s="29"/>
    </row>
    <row r="242" spans="12:45" s="29" customFormat="1" x14ac:dyDescent="0.3">
      <c r="L242" s="31"/>
      <c r="M242" s="31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</row>
    <row r="1048573" spans="14:14" x14ac:dyDescent="0.3">
      <c r="N1048573" s="65"/>
    </row>
  </sheetData>
  <mergeCells count="33">
    <mergeCell ref="L63:M63"/>
    <mergeCell ref="L43:M43"/>
    <mergeCell ref="L45:M45"/>
    <mergeCell ref="L49:M49"/>
    <mergeCell ref="L57:M57"/>
    <mergeCell ref="L58:M58"/>
    <mergeCell ref="L59:M59"/>
    <mergeCell ref="L60:N60"/>
    <mergeCell ref="L61:N61"/>
    <mergeCell ref="L62:N62"/>
    <mergeCell ref="L52:M52"/>
    <mergeCell ref="L53:M53"/>
    <mergeCell ref="L54:M54"/>
    <mergeCell ref="L39:M39"/>
    <mergeCell ref="L56:M56"/>
    <mergeCell ref="L50:M50"/>
    <mergeCell ref="A36:N36"/>
    <mergeCell ref="L42:N42"/>
    <mergeCell ref="L44:M44"/>
    <mergeCell ref="L46:M46"/>
    <mergeCell ref="L47:M47"/>
    <mergeCell ref="L48:M48"/>
    <mergeCell ref="A37:F37"/>
    <mergeCell ref="L37:N37"/>
    <mergeCell ref="L55:M55"/>
    <mergeCell ref="L38:M38"/>
    <mergeCell ref="L51:M51"/>
    <mergeCell ref="L40:N41"/>
    <mergeCell ref="A1:N1"/>
    <mergeCell ref="A2:N2"/>
    <mergeCell ref="A6:B6"/>
    <mergeCell ref="A7:N7"/>
    <mergeCell ref="A35:B35"/>
  </mergeCells>
  <pageMargins left="0" right="0" top="0" bottom="0" header="0.31496062992125984" footer="0.31496062992125984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D516E-0067-4384-AD3F-256DE2CFB576}">
  <sheetPr>
    <pageSetUpPr fitToPage="1"/>
  </sheetPr>
  <dimension ref="A1:BF1048554"/>
  <sheetViews>
    <sheetView zoomScale="60" zoomScaleNormal="60" workbookViewId="0">
      <selection activeCell="D34" sqref="D34"/>
    </sheetView>
  </sheetViews>
  <sheetFormatPr defaultColWidth="9.109375" defaultRowHeight="13.8" x14ac:dyDescent="0.3"/>
  <cols>
    <col min="1" max="1" width="25.88671875" style="29" customWidth="1"/>
    <col min="2" max="2" width="11.33203125" style="29" bestFit="1" customWidth="1"/>
    <col min="3" max="3" width="18" style="29" bestFit="1" customWidth="1"/>
    <col min="4" max="4" width="16.44140625" style="29" bestFit="1" customWidth="1"/>
    <col min="5" max="5" width="18.44140625" style="29" customWidth="1"/>
    <col min="6" max="6" width="17.6640625" style="29" bestFit="1" customWidth="1"/>
    <col min="7" max="7" width="17" style="29" customWidth="1"/>
    <col min="8" max="8" width="19.5546875" style="29" customWidth="1"/>
    <col min="9" max="9" width="17.33203125" style="31" bestFit="1" customWidth="1"/>
    <col min="10" max="10" width="17.109375" style="31" bestFit="1" customWidth="1"/>
    <col min="11" max="11" width="18" style="31" bestFit="1" customWidth="1"/>
    <col min="12" max="12" width="80.44140625" style="31" bestFit="1" customWidth="1"/>
    <col min="13" max="13" width="9.5546875" style="31" customWidth="1"/>
    <col min="14" max="14" width="17.5546875" style="29" bestFit="1" customWidth="1"/>
    <col min="15" max="15" width="10.5546875" style="22" bestFit="1" customWidth="1"/>
    <col min="16" max="45" width="9.109375" style="22"/>
    <col min="46" max="47" width="9.109375" style="32"/>
    <col min="48" max="16384" width="9.109375" style="29"/>
  </cols>
  <sheetData>
    <row r="1" spans="1:47" s="10" customFormat="1" ht="29.25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47" s="10" customFormat="1" ht="29.25" customHeight="1" x14ac:dyDescent="0.3">
      <c r="A2" s="538" t="s">
        <v>158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47" s="11" customFormat="1" ht="27.75" customHeight="1" x14ac:dyDescent="0.3">
      <c r="A3" s="83" t="s">
        <v>3</v>
      </c>
      <c r="B3" s="83" t="s">
        <v>0</v>
      </c>
      <c r="C3" s="84" t="s">
        <v>1</v>
      </c>
      <c r="D3" s="84" t="s">
        <v>68</v>
      </c>
      <c r="E3" s="84" t="s">
        <v>69</v>
      </c>
      <c r="F3" s="85" t="s">
        <v>2</v>
      </c>
      <c r="G3" s="84" t="s">
        <v>6</v>
      </c>
      <c r="H3" s="84" t="s">
        <v>7</v>
      </c>
      <c r="I3" s="84" t="s">
        <v>4</v>
      </c>
      <c r="J3" s="84" t="s">
        <v>5</v>
      </c>
      <c r="K3" s="84" t="s">
        <v>70</v>
      </c>
      <c r="L3" s="83" t="s">
        <v>59</v>
      </c>
      <c r="M3" s="86" t="s">
        <v>8</v>
      </c>
      <c r="N3" s="86" t="s">
        <v>10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 spans="1:47" s="32" customFormat="1" ht="17.25" customHeight="1" x14ac:dyDescent="0.3">
      <c r="A4" s="67" t="s">
        <v>141</v>
      </c>
      <c r="B4" s="67">
        <v>15</v>
      </c>
      <c r="C4" s="2">
        <v>730</v>
      </c>
      <c r="D4" s="2">
        <v>60</v>
      </c>
      <c r="E4" s="5">
        <f>(C4-D4)</f>
        <v>670</v>
      </c>
      <c r="F4" s="2">
        <f>50</f>
        <v>50</v>
      </c>
      <c r="G4" s="2">
        <v>0</v>
      </c>
      <c r="H4" s="2">
        <f>D71</f>
        <v>19.989999999999998</v>
      </c>
      <c r="I4" s="109">
        <f>SUM(E4:H4)</f>
        <v>739.99</v>
      </c>
      <c r="J4" s="2">
        <f>60%*(C4+F4)</f>
        <v>468</v>
      </c>
      <c r="K4" s="2">
        <f>I4-J4</f>
        <v>271.99</v>
      </c>
      <c r="L4" s="90" t="s">
        <v>160</v>
      </c>
      <c r="M4" s="3">
        <v>10</v>
      </c>
      <c r="N4" s="67">
        <v>11</v>
      </c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69"/>
      <c r="AU4" s="69"/>
    </row>
    <row r="5" spans="1:47" s="18" customFormat="1" ht="17.25" customHeight="1" x14ac:dyDescent="0.3">
      <c r="A5" s="90" t="s">
        <v>142</v>
      </c>
      <c r="B5" s="90">
        <v>19</v>
      </c>
      <c r="C5" s="2">
        <v>600</v>
      </c>
      <c r="D5" s="2">
        <f>10%*C5</f>
        <v>60</v>
      </c>
      <c r="E5" s="5">
        <f>(C5-D5)</f>
        <v>540</v>
      </c>
      <c r="F5" s="2">
        <f>50</f>
        <v>50</v>
      </c>
      <c r="G5" s="2">
        <v>0</v>
      </c>
      <c r="H5" s="2">
        <f>D79</f>
        <v>19.738333333333333</v>
      </c>
      <c r="I5" s="109">
        <f>SUM(E5:H5)</f>
        <v>609.73833333333334</v>
      </c>
      <c r="J5" s="2">
        <f>60%*(C5+F5)</f>
        <v>390</v>
      </c>
      <c r="K5" s="2">
        <f>I5-J5</f>
        <v>219.73833333333334</v>
      </c>
      <c r="L5" s="90" t="s">
        <v>98</v>
      </c>
      <c r="M5" s="3">
        <v>10</v>
      </c>
      <c r="N5" s="3">
        <v>11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1"/>
      <c r="AP5" s="11"/>
      <c r="AQ5" s="11"/>
      <c r="AR5" s="11"/>
      <c r="AS5" s="11"/>
      <c r="AT5" s="11"/>
      <c r="AU5" s="11"/>
    </row>
    <row r="6" spans="1:47" s="52" customFormat="1" x14ac:dyDescent="0.3">
      <c r="A6" s="518" t="s">
        <v>4</v>
      </c>
      <c r="B6" s="518"/>
      <c r="C6" s="109">
        <f>SUM(C4:C5)</f>
        <v>1330</v>
      </c>
      <c r="D6" s="109">
        <f t="shared" ref="D6:K6" si="0">SUM(D4:D5)</f>
        <v>120</v>
      </c>
      <c r="E6" s="109">
        <f t="shared" si="0"/>
        <v>1210</v>
      </c>
      <c r="F6" s="109">
        <f t="shared" si="0"/>
        <v>100</v>
      </c>
      <c r="G6" s="109">
        <f t="shared" si="0"/>
        <v>0</v>
      </c>
      <c r="H6" s="109">
        <f t="shared" si="0"/>
        <v>39.728333333333332</v>
      </c>
      <c r="I6" s="109">
        <f>SUM(I4:I5)</f>
        <v>1349.7283333333335</v>
      </c>
      <c r="J6" s="109">
        <f t="shared" si="0"/>
        <v>858</v>
      </c>
      <c r="K6" s="109">
        <f t="shared" si="0"/>
        <v>491.72833333333335</v>
      </c>
      <c r="L6" s="90"/>
      <c r="M6" s="3"/>
      <c r="N6" s="3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1"/>
      <c r="AH6" s="11"/>
      <c r="AI6" s="11"/>
      <c r="AJ6" s="11"/>
      <c r="AK6" s="11"/>
      <c r="AL6" s="11"/>
      <c r="AM6" s="11"/>
    </row>
    <row r="7" spans="1:47" s="52" customFormat="1" ht="29.25" customHeight="1" x14ac:dyDescent="0.3">
      <c r="A7" s="521" t="s">
        <v>159</v>
      </c>
      <c r="B7" s="521"/>
      <c r="C7" s="521"/>
      <c r="D7" s="521"/>
      <c r="E7" s="521"/>
      <c r="F7" s="521"/>
      <c r="G7" s="521"/>
      <c r="H7" s="521"/>
      <c r="I7" s="521"/>
      <c r="J7" s="521"/>
      <c r="K7" s="521"/>
      <c r="L7" s="521"/>
      <c r="M7" s="521"/>
      <c r="N7" s="521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1"/>
      <c r="AH7" s="11"/>
      <c r="AI7" s="11"/>
      <c r="AJ7" s="11"/>
      <c r="AK7" s="11"/>
      <c r="AL7" s="11"/>
      <c r="AM7" s="11"/>
    </row>
    <row r="8" spans="1:47" s="11" customFormat="1" ht="27.6" x14ac:dyDescent="0.3">
      <c r="A8" s="83" t="s">
        <v>3</v>
      </c>
      <c r="B8" s="83" t="s">
        <v>0</v>
      </c>
      <c r="C8" s="84" t="s">
        <v>1</v>
      </c>
      <c r="D8" s="84" t="s">
        <v>68</v>
      </c>
      <c r="E8" s="84" t="s">
        <v>69</v>
      </c>
      <c r="F8" s="85" t="s">
        <v>2</v>
      </c>
      <c r="G8" s="84" t="s">
        <v>6</v>
      </c>
      <c r="H8" s="84" t="s">
        <v>7</v>
      </c>
      <c r="I8" s="84" t="s">
        <v>4</v>
      </c>
      <c r="J8" s="84" t="s">
        <v>5</v>
      </c>
      <c r="K8" s="84" t="s">
        <v>70</v>
      </c>
      <c r="L8" s="83" t="s">
        <v>59</v>
      </c>
      <c r="M8" s="86" t="s">
        <v>8</v>
      </c>
      <c r="N8" s="86" t="s">
        <v>10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</row>
    <row r="9" spans="1:47" s="15" customFormat="1" ht="14.25" customHeight="1" x14ac:dyDescent="0.3">
      <c r="A9" s="88" t="s">
        <v>132</v>
      </c>
      <c r="B9" s="90">
        <v>1</v>
      </c>
      <c r="C9" s="2">
        <v>0</v>
      </c>
      <c r="D9" s="2">
        <f>C9*10%</f>
        <v>0</v>
      </c>
      <c r="E9" s="2">
        <f>C9-D9</f>
        <v>0</v>
      </c>
      <c r="F9" s="5">
        <v>0</v>
      </c>
      <c r="G9" s="2">
        <v>0</v>
      </c>
      <c r="H9" s="2">
        <v>0</v>
      </c>
      <c r="I9" s="109">
        <f>SUM(E9:H9)</f>
        <v>0</v>
      </c>
      <c r="J9" s="2">
        <f>7%*I9</f>
        <v>0</v>
      </c>
      <c r="K9" s="2">
        <f>I9-J9</f>
        <v>0</v>
      </c>
      <c r="L9" s="90" t="s">
        <v>179</v>
      </c>
      <c r="M9" s="3">
        <v>10</v>
      </c>
      <c r="N9" s="3">
        <v>11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7" s="50" customFormat="1" x14ac:dyDescent="0.3">
      <c r="A10" s="90"/>
      <c r="B10" s="4">
        <v>2</v>
      </c>
      <c r="C10" s="5"/>
      <c r="D10" s="5"/>
      <c r="E10" s="5"/>
      <c r="F10" s="5"/>
      <c r="G10" s="5"/>
      <c r="H10" s="5"/>
      <c r="I10" s="109"/>
      <c r="J10" s="2">
        <f t="shared" ref="J10:J34" si="1">7%*I10</f>
        <v>0</v>
      </c>
      <c r="K10" s="2"/>
      <c r="L10" s="90"/>
      <c r="M10" s="3"/>
      <c r="N10" s="3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16"/>
      <c r="AK10" s="17"/>
      <c r="AL10" s="17"/>
      <c r="AM10" s="17"/>
      <c r="AN10" s="17"/>
      <c r="AO10" s="96"/>
      <c r="AP10" s="96"/>
      <c r="AQ10" s="96"/>
      <c r="AR10" s="96"/>
      <c r="AS10" s="96"/>
      <c r="AT10" s="96"/>
      <c r="AU10" s="96"/>
    </row>
    <row r="11" spans="1:47" s="73" customFormat="1" x14ac:dyDescent="0.3">
      <c r="A11" s="90"/>
      <c r="B11" s="4">
        <v>3</v>
      </c>
      <c r="C11" s="5"/>
      <c r="D11" s="5"/>
      <c r="E11" s="5"/>
      <c r="F11" s="5"/>
      <c r="G11" s="5"/>
      <c r="H11" s="5"/>
      <c r="I11" s="109"/>
      <c r="J11" s="2">
        <f t="shared" si="1"/>
        <v>0</v>
      </c>
      <c r="K11" s="2"/>
      <c r="L11" s="90"/>
      <c r="M11" s="3"/>
      <c r="N11" s="3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6"/>
      <c r="AP11" s="6"/>
      <c r="AQ11" s="6"/>
      <c r="AR11" s="6"/>
      <c r="AS11" s="6"/>
      <c r="AT11" s="6"/>
      <c r="AU11" s="6"/>
    </row>
    <row r="12" spans="1:47" s="51" customFormat="1" x14ac:dyDescent="0.3">
      <c r="A12" s="90"/>
      <c r="B12" s="90">
        <v>4</v>
      </c>
      <c r="C12" s="1"/>
      <c r="D12" s="1"/>
      <c r="E12" s="1"/>
      <c r="F12" s="2"/>
      <c r="G12" s="1"/>
      <c r="H12" s="1"/>
      <c r="I12" s="111"/>
      <c r="J12" s="2">
        <f t="shared" si="1"/>
        <v>0</v>
      </c>
      <c r="K12" s="2"/>
      <c r="L12" s="90"/>
      <c r="M12" s="3"/>
      <c r="N12" s="67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15"/>
      <c r="AP12" s="15"/>
      <c r="AQ12" s="15"/>
      <c r="AR12" s="15"/>
      <c r="AS12" s="15"/>
      <c r="AT12" s="15"/>
      <c r="AU12" s="15"/>
    </row>
    <row r="13" spans="1:47" s="51" customFormat="1" ht="15.75" customHeight="1" x14ac:dyDescent="0.3">
      <c r="A13" s="90"/>
      <c r="B13" s="90">
        <v>5</v>
      </c>
      <c r="C13" s="2"/>
      <c r="D13" s="2"/>
      <c r="E13" s="2"/>
      <c r="F13" s="2"/>
      <c r="G13" s="2"/>
      <c r="H13" s="2"/>
      <c r="I13" s="109"/>
      <c r="J13" s="2">
        <f t="shared" si="1"/>
        <v>0</v>
      </c>
      <c r="K13" s="2"/>
      <c r="L13" s="90"/>
      <c r="M13" s="3"/>
      <c r="N13" s="3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15"/>
      <c r="AP13" s="15"/>
      <c r="AQ13" s="15"/>
      <c r="AR13" s="15"/>
      <c r="AS13" s="15"/>
      <c r="AT13" s="15"/>
      <c r="AU13" s="15"/>
    </row>
    <row r="14" spans="1:47" s="52" customFormat="1" x14ac:dyDescent="0.3">
      <c r="A14" s="90"/>
      <c r="B14" s="90">
        <v>6</v>
      </c>
      <c r="C14" s="5"/>
      <c r="D14" s="5"/>
      <c r="E14" s="5"/>
      <c r="F14" s="2"/>
      <c r="G14" s="2"/>
      <c r="H14" s="2"/>
      <c r="I14" s="109"/>
      <c r="J14" s="2">
        <f t="shared" si="1"/>
        <v>0</v>
      </c>
      <c r="K14" s="2"/>
      <c r="L14" s="90"/>
      <c r="M14" s="3"/>
      <c r="N14" s="3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1"/>
      <c r="AP14" s="11"/>
      <c r="AQ14" s="11"/>
      <c r="AR14" s="11"/>
      <c r="AS14" s="11"/>
      <c r="AT14" s="11"/>
      <c r="AU14" s="11"/>
    </row>
    <row r="15" spans="1:47" s="51" customFormat="1" ht="14.25" customHeight="1" x14ac:dyDescent="0.3">
      <c r="A15" s="90"/>
      <c r="B15" s="90">
        <v>7</v>
      </c>
      <c r="C15" s="2"/>
      <c r="D15" s="2"/>
      <c r="E15" s="5"/>
      <c r="F15" s="2"/>
      <c r="G15" s="2"/>
      <c r="H15" s="2"/>
      <c r="I15" s="109"/>
      <c r="J15" s="2">
        <f t="shared" si="1"/>
        <v>0</v>
      </c>
      <c r="K15" s="2"/>
      <c r="L15" s="90"/>
      <c r="M15" s="3"/>
      <c r="N15" s="3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15"/>
      <c r="AP15" s="15"/>
      <c r="AQ15" s="15"/>
      <c r="AR15" s="15"/>
      <c r="AS15" s="15"/>
      <c r="AT15" s="15"/>
      <c r="AU15" s="15"/>
    </row>
    <row r="16" spans="1:47" s="51" customFormat="1" x14ac:dyDescent="0.3">
      <c r="A16" s="90"/>
      <c r="B16" s="90">
        <v>8</v>
      </c>
      <c r="C16" s="2"/>
      <c r="D16" s="2"/>
      <c r="E16" s="5"/>
      <c r="F16" s="2"/>
      <c r="G16" s="2"/>
      <c r="H16" s="2"/>
      <c r="I16" s="109"/>
      <c r="J16" s="2">
        <f t="shared" si="1"/>
        <v>0</v>
      </c>
      <c r="K16" s="2"/>
      <c r="L16" s="90"/>
      <c r="M16" s="3"/>
      <c r="N16" s="3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15"/>
      <c r="AP16" s="15"/>
      <c r="AQ16" s="15"/>
      <c r="AR16" s="15"/>
      <c r="AS16" s="15"/>
      <c r="AT16" s="15"/>
      <c r="AU16" s="15"/>
    </row>
    <row r="17" spans="1:47" s="51" customFormat="1" ht="15.75" customHeight="1" x14ac:dyDescent="0.3">
      <c r="A17" s="90"/>
      <c r="B17" s="90">
        <v>9</v>
      </c>
      <c r="C17" s="2"/>
      <c r="D17" s="2"/>
      <c r="E17" s="5"/>
      <c r="F17" s="2"/>
      <c r="G17" s="2"/>
      <c r="H17" s="2"/>
      <c r="I17" s="109"/>
      <c r="J17" s="2">
        <f t="shared" si="1"/>
        <v>0</v>
      </c>
      <c r="K17" s="2"/>
      <c r="L17" s="90"/>
      <c r="M17" s="125"/>
      <c r="N17" s="3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15"/>
      <c r="AP17" s="15"/>
      <c r="AQ17" s="15"/>
      <c r="AR17" s="15"/>
      <c r="AS17" s="15"/>
      <c r="AT17" s="15"/>
      <c r="AU17" s="15"/>
    </row>
    <row r="18" spans="1:47" s="32" customFormat="1" x14ac:dyDescent="0.3">
      <c r="A18" s="67" t="s">
        <v>92</v>
      </c>
      <c r="B18" s="67">
        <v>10</v>
      </c>
      <c r="C18" s="2">
        <v>600</v>
      </c>
      <c r="D18" s="2">
        <f>10%*C18</f>
        <v>60</v>
      </c>
      <c r="E18" s="5">
        <f>C18-D18</f>
        <v>540</v>
      </c>
      <c r="F18" s="2">
        <v>0</v>
      </c>
      <c r="G18" s="2">
        <v>0</v>
      </c>
      <c r="H18" s="2">
        <f>D61</f>
        <v>17.824999999999999</v>
      </c>
      <c r="I18" s="109">
        <f>SUM(E18:H18)</f>
        <v>557.82500000000005</v>
      </c>
      <c r="J18" s="2">
        <f t="shared" si="1"/>
        <v>39.047750000000008</v>
      </c>
      <c r="K18" s="2">
        <f>I18-J18</f>
        <v>518.77725000000009</v>
      </c>
      <c r="L18" s="47" t="s">
        <v>161</v>
      </c>
      <c r="M18" s="3">
        <v>10</v>
      </c>
      <c r="N18" s="67">
        <v>11</v>
      </c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69"/>
      <c r="AU18" s="69"/>
    </row>
    <row r="19" spans="1:47" s="32" customFormat="1" x14ac:dyDescent="0.3">
      <c r="A19" s="67"/>
      <c r="B19" s="67">
        <v>11</v>
      </c>
      <c r="C19" s="2"/>
      <c r="D19" s="2"/>
      <c r="E19" s="5"/>
      <c r="F19" s="2"/>
      <c r="G19" s="2"/>
      <c r="H19" s="2"/>
      <c r="I19" s="109"/>
      <c r="J19" s="2">
        <f t="shared" si="1"/>
        <v>0</v>
      </c>
      <c r="K19" s="2"/>
      <c r="L19" s="47"/>
      <c r="M19" s="3"/>
      <c r="N19" s="67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69"/>
      <c r="AU19" s="69"/>
    </row>
    <row r="20" spans="1:47" s="51" customFormat="1" x14ac:dyDescent="0.3">
      <c r="A20" s="90"/>
      <c r="B20" s="90">
        <v>12</v>
      </c>
      <c r="C20" s="2"/>
      <c r="D20" s="2"/>
      <c r="E20" s="5"/>
      <c r="F20" s="5"/>
      <c r="G20" s="5"/>
      <c r="H20" s="5"/>
      <c r="I20" s="109"/>
      <c r="J20" s="2">
        <f t="shared" si="1"/>
        <v>0</v>
      </c>
      <c r="K20" s="2"/>
      <c r="L20" s="90"/>
      <c r="M20" s="3"/>
      <c r="N20" s="3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15"/>
      <c r="AP20" s="15"/>
      <c r="AQ20" s="15"/>
      <c r="AR20" s="15"/>
      <c r="AS20" s="15"/>
      <c r="AT20" s="15"/>
      <c r="AU20" s="15"/>
    </row>
    <row r="21" spans="1:47" s="32" customFormat="1" x14ac:dyDescent="0.3">
      <c r="A21" s="67"/>
      <c r="B21" s="67">
        <v>13</v>
      </c>
      <c r="C21" s="2"/>
      <c r="D21" s="2"/>
      <c r="E21" s="5"/>
      <c r="F21" s="2"/>
      <c r="G21" s="2"/>
      <c r="H21" s="2"/>
      <c r="I21" s="109"/>
      <c r="J21" s="2">
        <f t="shared" si="1"/>
        <v>0</v>
      </c>
      <c r="K21" s="2"/>
      <c r="L21" s="90"/>
      <c r="M21" s="3"/>
      <c r="N21" s="67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69"/>
      <c r="AU21" s="69"/>
    </row>
    <row r="22" spans="1:47" s="32" customFormat="1" x14ac:dyDescent="0.3">
      <c r="A22" s="67"/>
      <c r="B22" s="67">
        <v>14</v>
      </c>
      <c r="C22" s="2"/>
      <c r="D22" s="2"/>
      <c r="E22" s="5"/>
      <c r="F22" s="2"/>
      <c r="G22" s="2"/>
      <c r="H22" s="2"/>
      <c r="I22" s="109"/>
      <c r="J22" s="2">
        <f t="shared" si="1"/>
        <v>0</v>
      </c>
      <c r="K22" s="2"/>
      <c r="L22" s="90"/>
      <c r="M22" s="3"/>
      <c r="N22" s="67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69"/>
      <c r="AU22" s="69"/>
    </row>
    <row r="23" spans="1:47" s="32" customFormat="1" x14ac:dyDescent="0.3">
      <c r="A23" s="67" t="s">
        <v>141</v>
      </c>
      <c r="B23" s="67">
        <v>15</v>
      </c>
      <c r="C23" s="67"/>
      <c r="D23" s="67"/>
      <c r="E23" s="67"/>
      <c r="F23" s="67"/>
      <c r="G23" s="67"/>
      <c r="H23" s="67"/>
      <c r="I23" s="47"/>
      <c r="J23" s="2">
        <f t="shared" si="1"/>
        <v>0</v>
      </c>
      <c r="K23" s="47"/>
      <c r="L23" s="47" t="s">
        <v>108</v>
      </c>
      <c r="M23" s="47"/>
      <c r="N23" s="67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</row>
    <row r="24" spans="1:47" s="52" customFormat="1" x14ac:dyDescent="0.3">
      <c r="A24" s="3" t="s">
        <v>100</v>
      </c>
      <c r="B24" s="3">
        <v>16</v>
      </c>
      <c r="C24" s="2">
        <f>'GERAL 2021'!G18</f>
        <v>640</v>
      </c>
      <c r="D24" s="2">
        <f>10%*C24</f>
        <v>64</v>
      </c>
      <c r="E24" s="5">
        <f>C24-D24</f>
        <v>576</v>
      </c>
      <c r="F24" s="2">
        <f>60</f>
        <v>60</v>
      </c>
      <c r="G24" s="2">
        <v>0</v>
      </c>
      <c r="H24" s="2">
        <f>D73</f>
        <v>19.811666666666667</v>
      </c>
      <c r="I24" s="109">
        <f>SUM(E24:H24)</f>
        <v>655.81166666666672</v>
      </c>
      <c r="J24" s="2">
        <f t="shared" si="1"/>
        <v>45.906816666666678</v>
      </c>
      <c r="K24" s="2">
        <f>I24-J24</f>
        <v>609.90485000000001</v>
      </c>
      <c r="L24" s="90" t="s">
        <v>140</v>
      </c>
      <c r="M24" s="3">
        <v>10</v>
      </c>
      <c r="N24" s="3">
        <v>11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1"/>
      <c r="AP24" s="11"/>
      <c r="AQ24" s="11"/>
      <c r="AR24" s="11"/>
      <c r="AS24" s="11"/>
      <c r="AT24" s="11"/>
      <c r="AU24" s="11"/>
    </row>
    <row r="25" spans="1:47" s="52" customFormat="1" x14ac:dyDescent="0.3">
      <c r="A25" s="88" t="s">
        <v>119</v>
      </c>
      <c r="B25" s="88">
        <v>17</v>
      </c>
      <c r="C25" s="2">
        <f>'GERAL 2021'!G19</f>
        <v>640</v>
      </c>
      <c r="D25" s="2">
        <f>10%*C25</f>
        <v>64</v>
      </c>
      <c r="E25" s="5">
        <f>(C25-D25)</f>
        <v>576</v>
      </c>
      <c r="F25" s="2">
        <v>0</v>
      </c>
      <c r="G25" s="2">
        <v>0</v>
      </c>
      <c r="H25" s="2">
        <f>D75</f>
        <v>19.811666666666667</v>
      </c>
      <c r="I25" s="109">
        <f>SUM(E25:H25)</f>
        <v>595.81166666666672</v>
      </c>
      <c r="J25" s="2">
        <f>7%*I25</f>
        <v>41.706816666666676</v>
      </c>
      <c r="K25" s="2">
        <f>I25-J25</f>
        <v>554.10485000000006</v>
      </c>
      <c r="L25" s="47" t="s">
        <v>118</v>
      </c>
      <c r="M25" s="3">
        <v>10</v>
      </c>
      <c r="N25" s="3">
        <v>11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1"/>
      <c r="AP25" s="11"/>
      <c r="AQ25" s="11"/>
      <c r="AR25" s="11"/>
      <c r="AS25" s="11"/>
      <c r="AT25" s="11"/>
      <c r="AU25" s="11"/>
    </row>
    <row r="26" spans="1:47" s="52" customFormat="1" ht="14.25" customHeight="1" x14ac:dyDescent="0.3">
      <c r="A26" s="88" t="s">
        <v>103</v>
      </c>
      <c r="B26" s="90">
        <v>18</v>
      </c>
      <c r="C26" s="2">
        <f>'GERAL 2021'!G20</f>
        <v>650</v>
      </c>
      <c r="D26" s="2">
        <f>10%*C26</f>
        <v>65</v>
      </c>
      <c r="E26" s="5">
        <f>C26-D26</f>
        <v>585</v>
      </c>
      <c r="F26" s="2">
        <f>30</f>
        <v>30</v>
      </c>
      <c r="G26" s="2">
        <v>0</v>
      </c>
      <c r="H26" s="2">
        <f>D77</f>
        <v>19.836666666666666</v>
      </c>
      <c r="I26" s="109">
        <f>SUM(E26:H26)</f>
        <v>634.8366666666667</v>
      </c>
      <c r="J26" s="2">
        <f t="shared" si="1"/>
        <v>44.438566666666674</v>
      </c>
      <c r="K26" s="2">
        <f>I26-J26</f>
        <v>590.3981</v>
      </c>
      <c r="L26" s="90" t="s">
        <v>140</v>
      </c>
      <c r="M26" s="3">
        <v>10</v>
      </c>
      <c r="N26" s="3">
        <v>11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1"/>
      <c r="AP26" s="11"/>
      <c r="AQ26" s="11"/>
      <c r="AR26" s="11"/>
      <c r="AS26" s="11"/>
      <c r="AT26" s="11"/>
      <c r="AU26" s="11"/>
    </row>
    <row r="27" spans="1:47" s="32" customFormat="1" x14ac:dyDescent="0.3">
      <c r="A27" s="67" t="s">
        <v>142</v>
      </c>
      <c r="B27" s="67">
        <v>19</v>
      </c>
      <c r="C27" s="67"/>
      <c r="D27" s="67"/>
      <c r="E27" s="67"/>
      <c r="F27" s="67"/>
      <c r="G27" s="67"/>
      <c r="H27" s="67"/>
      <c r="I27" s="47"/>
      <c r="J27" s="2">
        <f t="shared" si="1"/>
        <v>0</v>
      </c>
      <c r="K27" s="47"/>
      <c r="L27" s="47" t="s">
        <v>108</v>
      </c>
      <c r="M27" s="47"/>
      <c r="N27" s="67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</row>
    <row r="28" spans="1:47" s="52" customFormat="1" x14ac:dyDescent="0.3">
      <c r="A28" s="88"/>
      <c r="B28" s="90">
        <v>20</v>
      </c>
      <c r="C28" s="2"/>
      <c r="D28" s="2"/>
      <c r="E28" s="5"/>
      <c r="F28" s="2"/>
      <c r="G28" s="2"/>
      <c r="H28" s="2"/>
      <c r="I28" s="109"/>
      <c r="J28" s="2">
        <f t="shared" si="1"/>
        <v>0</v>
      </c>
      <c r="K28" s="2"/>
      <c r="L28" s="90"/>
      <c r="M28" s="125"/>
      <c r="N28" s="3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1"/>
      <c r="AP28" s="11"/>
      <c r="AQ28" s="11"/>
      <c r="AR28" s="11"/>
      <c r="AS28" s="11"/>
      <c r="AT28" s="11"/>
      <c r="AU28" s="11"/>
    </row>
    <row r="29" spans="1:47" s="52" customFormat="1" ht="15" customHeight="1" x14ac:dyDescent="0.3">
      <c r="A29" s="88"/>
      <c r="B29" s="90">
        <v>21</v>
      </c>
      <c r="C29" s="2"/>
      <c r="D29" s="2"/>
      <c r="E29" s="5"/>
      <c r="F29" s="2"/>
      <c r="G29" s="2"/>
      <c r="H29" s="2"/>
      <c r="I29" s="109"/>
      <c r="J29" s="2">
        <f t="shared" si="1"/>
        <v>0</v>
      </c>
      <c r="K29" s="2"/>
      <c r="L29" s="90"/>
      <c r="M29" s="125"/>
      <c r="N29" s="3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1"/>
      <c r="AP29" s="11"/>
      <c r="AQ29" s="11"/>
      <c r="AR29" s="11"/>
      <c r="AS29" s="11"/>
      <c r="AT29" s="11"/>
      <c r="AU29" s="11"/>
    </row>
    <row r="30" spans="1:47" s="52" customFormat="1" ht="15.75" customHeight="1" x14ac:dyDescent="0.3">
      <c r="A30" s="88"/>
      <c r="B30" s="90">
        <v>22</v>
      </c>
      <c r="C30" s="2"/>
      <c r="D30" s="2"/>
      <c r="E30" s="5"/>
      <c r="F30" s="2"/>
      <c r="G30" s="2"/>
      <c r="H30" s="2"/>
      <c r="I30" s="109"/>
      <c r="J30" s="2">
        <f t="shared" si="1"/>
        <v>0</v>
      </c>
      <c r="K30" s="2"/>
      <c r="L30" s="90"/>
      <c r="M30" s="125"/>
      <c r="N30" s="3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1"/>
      <c r="AP30" s="11"/>
      <c r="AQ30" s="11"/>
      <c r="AR30" s="11"/>
      <c r="AS30" s="11"/>
      <c r="AT30" s="11"/>
      <c r="AU30" s="11"/>
    </row>
    <row r="31" spans="1:47" s="52" customFormat="1" x14ac:dyDescent="0.3">
      <c r="A31" s="88"/>
      <c r="B31" s="90">
        <v>23</v>
      </c>
      <c r="C31" s="2"/>
      <c r="D31" s="2"/>
      <c r="E31" s="5"/>
      <c r="F31" s="2"/>
      <c r="G31" s="2"/>
      <c r="H31" s="2"/>
      <c r="I31" s="109"/>
      <c r="J31" s="2">
        <f t="shared" si="1"/>
        <v>0</v>
      </c>
      <c r="K31" s="2"/>
      <c r="L31" s="90"/>
      <c r="M31" s="3"/>
      <c r="N31" s="3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1"/>
      <c r="AP31" s="11"/>
      <c r="AQ31" s="11"/>
      <c r="AR31" s="11"/>
      <c r="AS31" s="11"/>
      <c r="AT31" s="11"/>
      <c r="AU31" s="11"/>
    </row>
    <row r="32" spans="1:47" s="52" customFormat="1" x14ac:dyDescent="0.3">
      <c r="A32" s="88"/>
      <c r="B32" s="90">
        <v>24</v>
      </c>
      <c r="C32" s="2"/>
      <c r="D32" s="2"/>
      <c r="E32" s="5"/>
      <c r="F32" s="2"/>
      <c r="G32" s="2"/>
      <c r="H32" s="2"/>
      <c r="I32" s="109"/>
      <c r="J32" s="2">
        <f t="shared" si="1"/>
        <v>0</v>
      </c>
      <c r="K32" s="2"/>
      <c r="L32" s="90"/>
      <c r="M32" s="3"/>
      <c r="N32" s="3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1"/>
      <c r="AP32" s="11"/>
      <c r="AQ32" s="11"/>
      <c r="AR32" s="11"/>
      <c r="AS32" s="11"/>
      <c r="AT32" s="11"/>
      <c r="AU32" s="11"/>
    </row>
    <row r="33" spans="1:58" s="52" customFormat="1" x14ac:dyDescent="0.3">
      <c r="A33" s="11" t="s">
        <v>87</v>
      </c>
      <c r="B33" s="90">
        <v>25</v>
      </c>
      <c r="C33" s="2">
        <f>704</f>
        <v>704</v>
      </c>
      <c r="D33" s="2">
        <f>10%*C33</f>
        <v>70.400000000000006</v>
      </c>
      <c r="E33" s="5">
        <f>C33-D33</f>
        <v>633.6</v>
      </c>
      <c r="F33" s="2">
        <f>30</f>
        <v>30</v>
      </c>
      <c r="G33" s="2">
        <v>0</v>
      </c>
      <c r="H33" s="2">
        <v>19.989999999999998</v>
      </c>
      <c r="I33" s="109">
        <f>SUM(E33:H33)</f>
        <v>683.59</v>
      </c>
      <c r="J33" s="2">
        <f t="shared" si="1"/>
        <v>47.851300000000009</v>
      </c>
      <c r="K33" s="2">
        <f>I33-J33</f>
        <v>635.73869999999999</v>
      </c>
      <c r="L33" s="71" t="s">
        <v>161</v>
      </c>
      <c r="M33" s="98">
        <v>10</v>
      </c>
      <c r="N33" s="3">
        <v>11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1"/>
      <c r="AP33" s="11"/>
      <c r="AQ33" s="11"/>
      <c r="AR33" s="11"/>
      <c r="AS33" s="11"/>
      <c r="AT33" s="11"/>
      <c r="AU33" s="11"/>
    </row>
    <row r="34" spans="1:58" s="52" customFormat="1" x14ac:dyDescent="0.3">
      <c r="A34" s="88"/>
      <c r="B34" s="90">
        <v>26</v>
      </c>
      <c r="C34" s="2"/>
      <c r="D34" s="2"/>
      <c r="E34" s="5"/>
      <c r="F34" s="2"/>
      <c r="G34" s="2"/>
      <c r="H34" s="2"/>
      <c r="I34" s="109"/>
      <c r="J34" s="2">
        <f t="shared" si="1"/>
        <v>0</v>
      </c>
      <c r="K34" s="2"/>
      <c r="L34" s="90"/>
      <c r="M34" s="3"/>
      <c r="N34" s="3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1"/>
      <c r="AP34" s="11"/>
      <c r="AQ34" s="11"/>
      <c r="AR34" s="11"/>
      <c r="AS34" s="11"/>
      <c r="AT34" s="11"/>
      <c r="AU34" s="11"/>
    </row>
    <row r="35" spans="1:58" s="52" customFormat="1" x14ac:dyDescent="0.3">
      <c r="A35" s="88" t="s">
        <v>86</v>
      </c>
      <c r="B35" s="90">
        <v>27</v>
      </c>
      <c r="C35" s="72">
        <f>650</f>
        <v>650</v>
      </c>
      <c r="D35" s="72">
        <f>10%*C35</f>
        <v>65</v>
      </c>
      <c r="E35" s="5">
        <f>C35-D35</f>
        <v>585</v>
      </c>
      <c r="F35" s="72">
        <f>60</f>
        <v>60</v>
      </c>
      <c r="G35" s="72">
        <v>0</v>
      </c>
      <c r="H35" s="72">
        <f>D95</f>
        <v>19.836666666666666</v>
      </c>
      <c r="I35" s="112">
        <f>SUM(E35:H35)</f>
        <v>664.8366666666667</v>
      </c>
      <c r="J35" s="2">
        <f>7%*I35</f>
        <v>46.538566666666675</v>
      </c>
      <c r="K35" s="72">
        <f>I35-J35</f>
        <v>618.29809999999998</v>
      </c>
      <c r="L35" s="71" t="s">
        <v>162</v>
      </c>
      <c r="M35" s="98">
        <v>10</v>
      </c>
      <c r="N35" s="3">
        <v>11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1"/>
      <c r="AP35" s="11"/>
      <c r="AQ35" s="11"/>
      <c r="AR35" s="11"/>
      <c r="AS35" s="11"/>
      <c r="AT35" s="11"/>
      <c r="AU35" s="11"/>
    </row>
    <row r="36" spans="1:58" s="52" customFormat="1" ht="14.4" thickBot="1" x14ac:dyDescent="0.35">
      <c r="A36" s="518" t="s">
        <v>4</v>
      </c>
      <c r="B36" s="518"/>
      <c r="C36" s="109">
        <f>SUM(C9:C35)</f>
        <v>3884</v>
      </c>
      <c r="D36" s="109">
        <f t="shared" ref="D36:K36" si="2">SUM(D9:D35)</f>
        <v>388.4</v>
      </c>
      <c r="E36" s="109">
        <f t="shared" si="2"/>
        <v>3495.6</v>
      </c>
      <c r="F36" s="109">
        <f t="shared" si="2"/>
        <v>180</v>
      </c>
      <c r="G36" s="109">
        <f t="shared" si="2"/>
        <v>0</v>
      </c>
      <c r="H36" s="109">
        <f t="shared" si="2"/>
        <v>117.11166666666665</v>
      </c>
      <c r="I36" s="109">
        <f>SUM(I9:I35)</f>
        <v>3792.711666666667</v>
      </c>
      <c r="J36" s="109">
        <f t="shared" si="2"/>
        <v>265.48981666666674</v>
      </c>
      <c r="K36" s="109">
        <f t="shared" si="2"/>
        <v>3527.2218499999999</v>
      </c>
      <c r="L36" s="90"/>
      <c r="M36" s="120"/>
      <c r="N36" s="56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1"/>
      <c r="AP36" s="11"/>
      <c r="AQ36" s="11"/>
      <c r="AR36" s="11"/>
      <c r="AS36" s="11"/>
      <c r="AT36" s="11"/>
      <c r="AU36" s="11"/>
    </row>
    <row r="37" spans="1:58" s="11" customFormat="1" ht="28.5" customHeight="1" x14ac:dyDescent="0.3">
      <c r="A37" s="521" t="s">
        <v>177</v>
      </c>
      <c r="B37" s="521"/>
      <c r="C37" s="521"/>
      <c r="D37" s="521"/>
      <c r="E37" s="521"/>
      <c r="F37" s="521"/>
      <c r="G37" s="521"/>
      <c r="H37" s="521"/>
      <c r="I37" s="521"/>
      <c r="J37" s="521"/>
      <c r="K37" s="521"/>
      <c r="L37" s="521"/>
      <c r="M37" s="521"/>
      <c r="N37" s="521"/>
      <c r="O37" s="7"/>
      <c r="P37" s="7"/>
      <c r="Q37" s="7"/>
      <c r="R37" s="7"/>
      <c r="S37" s="7"/>
      <c r="T37" s="7"/>
      <c r="U37" s="7"/>
      <c r="V37" s="7"/>
      <c r="W37" s="10"/>
      <c r="X37" s="10"/>
      <c r="Y37" s="10"/>
      <c r="Z37" s="10"/>
      <c r="AA37" s="10"/>
      <c r="AB37" s="10"/>
    </row>
    <row r="38" spans="1:58" s="11" customFormat="1" ht="25.5" customHeight="1" x14ac:dyDescent="0.3">
      <c r="A38" s="126" t="s">
        <v>173</v>
      </c>
      <c r="B38" s="126" t="s">
        <v>0</v>
      </c>
      <c r="C38" s="126" t="s">
        <v>174</v>
      </c>
      <c r="D38" s="521" t="s">
        <v>175</v>
      </c>
      <c r="E38" s="521"/>
      <c r="F38" s="521"/>
      <c r="G38" s="521"/>
      <c r="H38" s="521"/>
      <c r="I38" s="129" t="s">
        <v>176</v>
      </c>
      <c r="J38" s="128"/>
      <c r="K38" s="128"/>
      <c r="L38" s="127" t="s">
        <v>59</v>
      </c>
      <c r="M38" s="130" t="s">
        <v>8</v>
      </c>
      <c r="N38" s="130" t="s">
        <v>10</v>
      </c>
      <c r="O38" s="7"/>
      <c r="P38" s="7"/>
      <c r="Q38" s="7"/>
      <c r="R38" s="7"/>
      <c r="S38" s="7"/>
      <c r="T38" s="7"/>
      <c r="U38" s="7"/>
      <c r="V38" s="7"/>
      <c r="W38" s="10"/>
      <c r="X38" s="10"/>
      <c r="Y38" s="10"/>
      <c r="Z38" s="10"/>
      <c r="AA38" s="10"/>
      <c r="AB38" s="10"/>
    </row>
    <row r="39" spans="1:58" s="32" customFormat="1" ht="15" customHeight="1" x14ac:dyDescent="0.3">
      <c r="A39" s="67" t="s">
        <v>132</v>
      </c>
      <c r="B39" s="67">
        <v>1</v>
      </c>
      <c r="C39" s="47">
        <f>600+50+19.74</f>
        <v>669.74</v>
      </c>
      <c r="D39" s="546" t="s">
        <v>178</v>
      </c>
      <c r="E39" s="547"/>
      <c r="F39" s="547"/>
      <c r="G39" s="547"/>
      <c r="H39" s="548"/>
      <c r="I39" s="47">
        <f>600+50+19.74</f>
        <v>669.74</v>
      </c>
      <c r="J39" s="47"/>
      <c r="K39" s="47"/>
      <c r="L39" s="47" t="s">
        <v>199</v>
      </c>
      <c r="M39" s="131">
        <v>10</v>
      </c>
      <c r="N39" s="67">
        <v>11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</row>
    <row r="40" spans="1:58" s="40" customFormat="1" ht="15" customHeight="1" thickBot="1" x14ac:dyDescent="0.35">
      <c r="A40" s="518" t="s">
        <v>4</v>
      </c>
      <c r="B40" s="518"/>
      <c r="C40" s="518"/>
      <c r="D40" s="518"/>
      <c r="E40" s="518"/>
      <c r="F40" s="518"/>
      <c r="G40" s="518"/>
      <c r="H40" s="518"/>
      <c r="I40" s="114">
        <f>SUM(I39)</f>
        <v>669.74</v>
      </c>
      <c r="J40" s="90"/>
      <c r="K40" s="90"/>
      <c r="L40" s="90"/>
      <c r="M40" s="90"/>
      <c r="N40" s="90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11"/>
      <c r="AS40" s="11"/>
      <c r="AT40" s="11"/>
      <c r="AU40" s="11"/>
    </row>
    <row r="41" spans="1:58" s="19" customFormat="1" x14ac:dyDescent="0.3">
      <c r="A41" s="536"/>
      <c r="B41" s="537"/>
      <c r="C41" s="537"/>
      <c r="D41" s="537"/>
      <c r="E41" s="537"/>
      <c r="F41" s="537"/>
      <c r="G41" s="537"/>
      <c r="H41" s="537"/>
      <c r="I41" s="537"/>
      <c r="J41" s="537"/>
      <c r="K41" s="537"/>
      <c r="L41" s="537"/>
      <c r="M41" s="524"/>
      <c r="N41" s="525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</row>
    <row r="42" spans="1:58" s="40" customFormat="1" x14ac:dyDescent="0.3">
      <c r="A42" s="543" t="s">
        <v>9</v>
      </c>
      <c r="B42" s="543"/>
      <c r="C42" s="543"/>
      <c r="D42" s="543"/>
      <c r="E42" s="543"/>
      <c r="F42" s="543"/>
      <c r="G42" s="46"/>
      <c r="H42" s="46"/>
      <c r="I42" s="46"/>
      <c r="J42" s="46"/>
      <c r="K42" s="46"/>
      <c r="L42" s="544" t="s">
        <v>20</v>
      </c>
      <c r="M42" s="544"/>
      <c r="N42" s="545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11"/>
      <c r="AS42" s="11"/>
      <c r="AT42" s="11"/>
      <c r="AU42" s="11"/>
    </row>
    <row r="43" spans="1:58" s="40" customFormat="1" x14ac:dyDescent="0.3">
      <c r="A43" s="76" t="s">
        <v>40</v>
      </c>
      <c r="B43" s="77">
        <f>'GERAL 2021'!K3</f>
        <v>118.43</v>
      </c>
      <c r="C43" s="78">
        <v>6</v>
      </c>
      <c r="D43" s="77">
        <f>B43/C43</f>
        <v>19.738333333333333</v>
      </c>
      <c r="E43" s="78"/>
      <c r="F43" s="77"/>
      <c r="G43" s="11"/>
      <c r="H43" s="11"/>
      <c r="I43" s="87"/>
      <c r="J43" s="87"/>
      <c r="K43" s="87"/>
      <c r="L43" s="527" t="s">
        <v>94</v>
      </c>
      <c r="M43" s="527"/>
      <c r="N43" s="49">
        <f>J36</f>
        <v>265.48981666666674</v>
      </c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11"/>
      <c r="AS43" s="11"/>
      <c r="AT43" s="11"/>
      <c r="AU43" s="11"/>
    </row>
    <row r="44" spans="1:58" s="40" customFormat="1" x14ac:dyDescent="0.3">
      <c r="A44" s="12" t="s">
        <v>46</v>
      </c>
      <c r="B44" s="2">
        <f>'GERAL 2021'!I3</f>
        <v>1.0710401891252954</v>
      </c>
      <c r="C44" s="88">
        <v>6</v>
      </c>
      <c r="D44" s="2">
        <f>B44*C44</f>
        <v>6.4262411347517725</v>
      </c>
      <c r="E44" s="88"/>
      <c r="F44" s="88"/>
      <c r="G44" s="11"/>
      <c r="H44" s="11"/>
      <c r="I44" s="14"/>
      <c r="J44" s="14"/>
      <c r="K44" s="14"/>
      <c r="L44" s="534" t="s">
        <v>113</v>
      </c>
      <c r="M44" s="535"/>
      <c r="N44" s="114">
        <f>J6</f>
        <v>858</v>
      </c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11"/>
      <c r="AS44" s="11"/>
      <c r="AT44" s="11"/>
      <c r="AU44" s="11"/>
    </row>
    <row r="45" spans="1:58" s="40" customFormat="1" x14ac:dyDescent="0.3">
      <c r="A45" s="79" t="s">
        <v>29</v>
      </c>
      <c r="B45" s="80"/>
      <c r="C45" s="82"/>
      <c r="D45" s="80"/>
      <c r="E45" s="78"/>
      <c r="F45" s="77"/>
      <c r="G45" s="11"/>
      <c r="H45" s="11"/>
      <c r="I45" s="14"/>
      <c r="J45" s="14"/>
      <c r="K45" s="14"/>
      <c r="L45" s="520"/>
      <c r="M45" s="520"/>
      <c r="N45" s="528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11"/>
      <c r="AS45" s="11"/>
      <c r="AT45" s="11"/>
      <c r="AU45" s="11"/>
    </row>
    <row r="46" spans="1:58" s="40" customFormat="1" x14ac:dyDescent="0.3">
      <c r="A46" s="12" t="s">
        <v>30</v>
      </c>
      <c r="B46" s="2"/>
      <c r="C46" s="88"/>
      <c r="D46" s="2"/>
      <c r="E46" s="53"/>
      <c r="F46" s="53"/>
      <c r="G46" s="11"/>
      <c r="H46" s="11"/>
      <c r="I46" s="62"/>
      <c r="J46" s="62"/>
      <c r="K46" s="62"/>
      <c r="L46" s="520"/>
      <c r="M46" s="520"/>
      <c r="N46" s="528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11"/>
      <c r="AS46" s="11"/>
      <c r="AT46" s="11"/>
      <c r="AU46" s="11"/>
    </row>
    <row r="47" spans="1:58" s="40" customFormat="1" x14ac:dyDescent="0.3">
      <c r="A47" s="79" t="s">
        <v>65</v>
      </c>
      <c r="B47" s="80"/>
      <c r="C47" s="82"/>
      <c r="D47" s="80"/>
      <c r="E47" s="78"/>
      <c r="F47" s="77"/>
      <c r="G47" s="11"/>
      <c r="H47" s="11"/>
      <c r="I47" s="14"/>
      <c r="J47" s="14"/>
      <c r="K47" s="14"/>
      <c r="L47" s="529" t="s">
        <v>12</v>
      </c>
      <c r="M47" s="529"/>
      <c r="N47" s="530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11"/>
      <c r="AS47" s="11"/>
      <c r="AT47" s="11"/>
      <c r="AU47" s="11"/>
    </row>
    <row r="48" spans="1:58" s="11" customFormat="1" ht="15" customHeight="1" x14ac:dyDescent="0.3">
      <c r="A48" s="12" t="s">
        <v>62</v>
      </c>
      <c r="B48" s="2"/>
      <c r="C48" s="88"/>
      <c r="D48" s="2"/>
      <c r="E48" s="88"/>
      <c r="F48" s="88"/>
      <c r="I48" s="63"/>
      <c r="J48" s="63"/>
      <c r="K48" s="63"/>
      <c r="L48" s="514" t="s">
        <v>163</v>
      </c>
      <c r="M48" s="514"/>
      <c r="N48" s="2">
        <v>19.739999999999998</v>
      </c>
    </row>
    <row r="49" spans="1:46" s="11" customFormat="1" x14ac:dyDescent="0.3">
      <c r="A49" s="79" t="s">
        <v>60</v>
      </c>
      <c r="B49" s="80"/>
      <c r="C49" s="82"/>
      <c r="D49" s="80"/>
      <c r="E49" s="78"/>
      <c r="F49" s="77"/>
      <c r="I49" s="14"/>
      <c r="J49" s="14"/>
      <c r="K49" s="14"/>
      <c r="L49" s="514" t="s">
        <v>164</v>
      </c>
      <c r="M49" s="514"/>
      <c r="N49" s="2">
        <v>17.82</v>
      </c>
    </row>
    <row r="50" spans="1:46" s="11" customFormat="1" ht="15" customHeight="1" x14ac:dyDescent="0.3">
      <c r="A50" s="12" t="s">
        <v>61</v>
      </c>
      <c r="B50" s="2"/>
      <c r="C50" s="88"/>
      <c r="D50" s="2"/>
      <c r="E50" s="88"/>
      <c r="F50" s="88"/>
      <c r="I50" s="63"/>
      <c r="J50" s="63"/>
      <c r="K50" s="63"/>
      <c r="L50" s="514" t="s">
        <v>165</v>
      </c>
      <c r="M50" s="514"/>
      <c r="N50" s="2">
        <v>19.989999999999998</v>
      </c>
    </row>
    <row r="51" spans="1:46" s="11" customFormat="1" x14ac:dyDescent="0.3">
      <c r="A51" s="79" t="s">
        <v>31</v>
      </c>
      <c r="B51" s="80"/>
      <c r="C51" s="82"/>
      <c r="D51" s="80"/>
      <c r="E51" s="78"/>
      <c r="F51" s="77"/>
      <c r="I51" s="14"/>
      <c r="J51" s="14"/>
      <c r="K51" s="14"/>
      <c r="L51" s="514" t="s">
        <v>166</v>
      </c>
      <c r="M51" s="514"/>
      <c r="N51" s="121">
        <v>19.809999999999999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</row>
    <row r="52" spans="1:46" s="11" customFormat="1" x14ac:dyDescent="0.3">
      <c r="A52" s="12" t="s">
        <v>32</v>
      </c>
      <c r="B52" s="2"/>
      <c r="C52" s="88"/>
      <c r="D52" s="2"/>
      <c r="E52" s="88"/>
      <c r="F52" s="88"/>
      <c r="I52" s="63"/>
      <c r="J52" s="63"/>
      <c r="K52" s="63"/>
      <c r="L52" s="514" t="s">
        <v>167</v>
      </c>
      <c r="M52" s="514"/>
      <c r="N52" s="121">
        <v>19.809999999999999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</row>
    <row r="53" spans="1:46" s="11" customFormat="1" x14ac:dyDescent="0.3">
      <c r="A53" s="79" t="s">
        <v>57</v>
      </c>
      <c r="B53" s="80"/>
      <c r="C53" s="82"/>
      <c r="D53" s="80"/>
      <c r="E53" s="78"/>
      <c r="F53" s="77"/>
      <c r="I53" s="14"/>
      <c r="J53" s="14"/>
      <c r="K53" s="14"/>
      <c r="L53" s="520" t="s">
        <v>168</v>
      </c>
      <c r="M53" s="520"/>
      <c r="N53" s="2">
        <v>19.84</v>
      </c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</row>
    <row r="54" spans="1:46" s="11" customFormat="1" ht="12.75" customHeight="1" x14ac:dyDescent="0.3">
      <c r="A54" s="12" t="s">
        <v>58</v>
      </c>
      <c r="B54" s="2"/>
      <c r="C54" s="88"/>
      <c r="D54" s="2"/>
      <c r="E54" s="88"/>
      <c r="F54" s="88"/>
      <c r="I54" s="63"/>
      <c r="J54" s="63"/>
      <c r="K54" s="63"/>
      <c r="L54" s="520" t="s">
        <v>169</v>
      </c>
      <c r="M54" s="520"/>
      <c r="N54" s="2">
        <v>19.739999999999998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</row>
    <row r="55" spans="1:46" s="11" customFormat="1" x14ac:dyDescent="0.3">
      <c r="A55" s="79" t="s">
        <v>63</v>
      </c>
      <c r="B55" s="80"/>
      <c r="C55" s="82"/>
      <c r="D55" s="80"/>
      <c r="E55" s="78"/>
      <c r="F55" s="77"/>
      <c r="I55" s="14"/>
      <c r="J55" s="14"/>
      <c r="K55" s="14"/>
      <c r="L55" s="520" t="s">
        <v>170</v>
      </c>
      <c r="M55" s="520"/>
      <c r="N55" s="2">
        <v>19.93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</row>
    <row r="56" spans="1:46" s="11" customFormat="1" ht="12.75" customHeight="1" x14ac:dyDescent="0.3">
      <c r="A56" s="12" t="s">
        <v>64</v>
      </c>
      <c r="B56" s="2"/>
      <c r="C56" s="88"/>
      <c r="D56" s="2"/>
      <c r="E56" s="88"/>
      <c r="F56" s="88"/>
      <c r="I56" s="63"/>
      <c r="J56" s="63"/>
      <c r="K56" s="63"/>
      <c r="L56" s="520" t="s">
        <v>171</v>
      </c>
      <c r="M56" s="520"/>
      <c r="N56" s="2">
        <v>19.84</v>
      </c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</row>
    <row r="57" spans="1:46" s="11" customFormat="1" x14ac:dyDescent="0.3">
      <c r="A57" s="79" t="s">
        <v>33</v>
      </c>
      <c r="B57" s="80"/>
      <c r="C57" s="82"/>
      <c r="D57" s="80"/>
      <c r="E57" s="78"/>
      <c r="F57" s="77"/>
      <c r="I57" s="14"/>
      <c r="J57" s="14"/>
      <c r="K57" s="14"/>
      <c r="L57" s="542" t="s">
        <v>172</v>
      </c>
      <c r="M57" s="542"/>
      <c r="N57" s="2">
        <f>4*120</f>
        <v>480</v>
      </c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</row>
    <row r="58" spans="1:46" s="11" customFormat="1" ht="13.5" customHeight="1" x14ac:dyDescent="0.3">
      <c r="A58" s="12" t="s">
        <v>34</v>
      </c>
      <c r="B58" s="2"/>
      <c r="C58" s="88"/>
      <c r="D58" s="2"/>
      <c r="E58" s="88"/>
      <c r="F58" s="88"/>
      <c r="I58" s="63"/>
      <c r="J58" s="63"/>
      <c r="K58" s="63"/>
      <c r="L58" s="520" t="s">
        <v>127</v>
      </c>
      <c r="M58" s="520"/>
      <c r="N58" s="2">
        <v>151.43</v>
      </c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</row>
    <row r="59" spans="1:46" s="11" customFormat="1" x14ac:dyDescent="0.3">
      <c r="A59" s="79" t="s">
        <v>41</v>
      </c>
      <c r="B59" s="80"/>
      <c r="C59" s="82"/>
      <c r="D59" s="80"/>
      <c r="E59" s="78"/>
      <c r="F59" s="77"/>
      <c r="L59" s="520"/>
      <c r="M59" s="520"/>
      <c r="N59" s="2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</row>
    <row r="60" spans="1:46" s="11" customFormat="1" x14ac:dyDescent="0.3">
      <c r="A60" s="12" t="s">
        <v>42</v>
      </c>
      <c r="B60" s="2"/>
      <c r="C60" s="88"/>
      <c r="D60" s="2"/>
      <c r="E60" s="88"/>
      <c r="F60" s="88"/>
      <c r="I60" s="63"/>
      <c r="J60" s="63"/>
      <c r="K60" s="63"/>
      <c r="L60" s="520"/>
      <c r="M60" s="520"/>
      <c r="N60" s="90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</row>
    <row r="61" spans="1:46" s="11" customFormat="1" x14ac:dyDescent="0.3">
      <c r="A61" s="79" t="s">
        <v>66</v>
      </c>
      <c r="B61" s="80">
        <f>'GERAL 2021'!K12</f>
        <v>106.95</v>
      </c>
      <c r="C61" s="81">
        <v>6</v>
      </c>
      <c r="D61" s="80">
        <f>B61/C61</f>
        <v>17.824999999999999</v>
      </c>
      <c r="E61" s="82"/>
      <c r="F61" s="80"/>
      <c r="I61" s="14"/>
      <c r="J61" s="14"/>
      <c r="K61" s="14"/>
      <c r="L61" s="520"/>
      <c r="M61" s="520"/>
      <c r="N61" s="90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</row>
    <row r="62" spans="1:46" s="11" customFormat="1" x14ac:dyDescent="0.3">
      <c r="A62" s="12" t="s">
        <v>67</v>
      </c>
      <c r="B62" s="2">
        <f>'GERAL 2021'!I12</f>
        <v>1.0710401891252954</v>
      </c>
      <c r="C62" s="88">
        <v>8</v>
      </c>
      <c r="D62" s="2">
        <f>B62*C62</f>
        <v>8.5683215130023633</v>
      </c>
      <c r="E62" s="88"/>
      <c r="F62" s="88"/>
      <c r="I62" s="63"/>
      <c r="J62" s="63"/>
      <c r="K62" s="63"/>
      <c r="L62" s="518"/>
      <c r="M62" s="518"/>
      <c r="N62" s="109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</row>
    <row r="63" spans="1:46" s="11" customFormat="1" x14ac:dyDescent="0.3">
      <c r="A63" s="79" t="s">
        <v>14</v>
      </c>
      <c r="B63" s="80"/>
      <c r="C63" s="82"/>
      <c r="D63" s="80"/>
      <c r="E63" s="82"/>
      <c r="F63" s="80"/>
      <c r="I63" s="14"/>
      <c r="J63" s="14"/>
      <c r="K63" s="14"/>
      <c r="L63" s="531" t="s">
        <v>26</v>
      </c>
      <c r="M63" s="531"/>
      <c r="N63" s="45">
        <f>SUM(N43:N62)</f>
        <v>1931.4398166666665</v>
      </c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</row>
    <row r="64" spans="1:46" s="18" customFormat="1" x14ac:dyDescent="0.3">
      <c r="A64" s="12" t="s">
        <v>15</v>
      </c>
      <c r="B64" s="2"/>
      <c r="C64" s="88"/>
      <c r="D64" s="2"/>
      <c r="E64" s="88"/>
      <c r="F64" s="88"/>
      <c r="G64" s="11"/>
      <c r="H64" s="11"/>
      <c r="I64" s="87"/>
      <c r="J64" s="87"/>
      <c r="K64" s="87"/>
      <c r="L64" s="518"/>
      <c r="M64" s="518"/>
      <c r="N64" s="48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</row>
    <row r="65" spans="1:46" s="18" customFormat="1" x14ac:dyDescent="0.3">
      <c r="A65" s="79" t="s">
        <v>55</v>
      </c>
      <c r="B65" s="80"/>
      <c r="C65" s="82"/>
      <c r="D65" s="80"/>
      <c r="E65" s="82"/>
      <c r="F65" s="80"/>
      <c r="G65" s="11"/>
      <c r="H65" s="11"/>
      <c r="I65" s="11"/>
      <c r="J65" s="11"/>
      <c r="K65" s="11"/>
      <c r="L65" s="513" t="s">
        <v>11</v>
      </c>
      <c r="M65" s="513"/>
      <c r="N65" s="526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</row>
    <row r="66" spans="1:46" s="18" customFormat="1" x14ac:dyDescent="0.3">
      <c r="A66" s="12" t="s">
        <v>56</v>
      </c>
      <c r="B66" s="2"/>
      <c r="C66" s="88"/>
      <c r="D66" s="2"/>
      <c r="E66" s="88"/>
      <c r="F66" s="88"/>
      <c r="G66" s="11"/>
      <c r="H66" s="11"/>
      <c r="I66" s="11"/>
      <c r="J66" s="11"/>
      <c r="K66" s="11"/>
      <c r="L66" s="532">
        <f>I6+I36</f>
        <v>5142.4400000000005</v>
      </c>
      <c r="M66" s="532"/>
      <c r="N66" s="533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</row>
    <row r="67" spans="1:46" s="18" customFormat="1" x14ac:dyDescent="0.3">
      <c r="A67" s="79" t="s">
        <v>35</v>
      </c>
      <c r="B67" s="80"/>
      <c r="C67" s="82"/>
      <c r="D67" s="80"/>
      <c r="E67" s="82"/>
      <c r="F67" s="80"/>
      <c r="G67" s="11"/>
      <c r="H67" s="11"/>
      <c r="I67" s="11"/>
      <c r="J67" s="11"/>
      <c r="K67" s="11"/>
      <c r="L67" s="518"/>
      <c r="M67" s="518"/>
      <c r="N67" s="519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</row>
    <row r="68" spans="1:46" s="18" customFormat="1" x14ac:dyDescent="0.3">
      <c r="A68" s="12" t="s">
        <v>36</v>
      </c>
      <c r="B68" s="2"/>
      <c r="C68" s="88"/>
      <c r="D68" s="2"/>
      <c r="E68" s="88"/>
      <c r="F68" s="88"/>
      <c r="G68" s="11"/>
      <c r="H68" s="11"/>
      <c r="I68" s="14"/>
      <c r="J68" s="14"/>
      <c r="K68" s="14"/>
      <c r="L68" s="513" t="s">
        <v>13</v>
      </c>
      <c r="M68" s="513"/>
      <c r="N68" s="49">
        <f>L66-N63</f>
        <v>3211.000183333334</v>
      </c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</row>
    <row r="69" spans="1:46" s="18" customFormat="1" x14ac:dyDescent="0.3">
      <c r="A69" s="79" t="s">
        <v>47</v>
      </c>
      <c r="B69" s="80"/>
      <c r="C69" s="82"/>
      <c r="D69" s="80"/>
      <c r="E69" s="82"/>
      <c r="F69" s="80"/>
      <c r="G69" s="11"/>
      <c r="H69" s="11"/>
      <c r="I69" s="15"/>
      <c r="J69" s="15"/>
      <c r="K69" s="15"/>
      <c r="L69" s="123"/>
      <c r="M69" s="123"/>
      <c r="N69" s="5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</row>
    <row r="70" spans="1:46" s="18" customFormat="1" x14ac:dyDescent="0.3">
      <c r="A70" s="12" t="s">
        <v>48</v>
      </c>
      <c r="B70" s="2"/>
      <c r="C70" s="88"/>
      <c r="D70" s="2"/>
      <c r="E70" s="88"/>
      <c r="F70" s="88"/>
      <c r="G70" s="11"/>
      <c r="H70" s="11"/>
      <c r="I70" s="14"/>
      <c r="J70" s="14"/>
      <c r="K70" s="14"/>
      <c r="L70" s="124"/>
      <c r="M70" s="124"/>
      <c r="N70" s="5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</row>
    <row r="71" spans="1:46" s="18" customFormat="1" x14ac:dyDescent="0.3">
      <c r="A71" s="79" t="s">
        <v>16</v>
      </c>
      <c r="B71" s="80">
        <f>'GERAL 2021'!K17</f>
        <v>119.94</v>
      </c>
      <c r="C71" s="82">
        <v>6</v>
      </c>
      <c r="D71" s="80">
        <f>B71/C71</f>
        <v>19.989999999999998</v>
      </c>
      <c r="E71" s="81"/>
      <c r="F71" s="81"/>
      <c r="G71" s="11"/>
      <c r="H71" s="11"/>
      <c r="I71" s="14"/>
      <c r="J71" s="14"/>
      <c r="K71" s="14"/>
      <c r="L71" s="124"/>
      <c r="M71" s="124"/>
      <c r="N71" s="5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</row>
    <row r="72" spans="1:46" s="18" customFormat="1" x14ac:dyDescent="0.3">
      <c r="A72" s="12" t="s">
        <v>17</v>
      </c>
      <c r="B72" s="2">
        <f>'GERAL 2021'!I17</f>
        <v>1.0710401891252954</v>
      </c>
      <c r="C72" s="88">
        <v>5</v>
      </c>
      <c r="D72" s="2">
        <f>B72*C72</f>
        <v>5.3552009456264766</v>
      </c>
      <c r="E72" s="88"/>
      <c r="F72" s="88"/>
      <c r="G72" s="11"/>
      <c r="H72" s="11"/>
      <c r="I72" s="14"/>
      <c r="J72" s="14"/>
      <c r="K72" s="14"/>
      <c r="L72" s="124"/>
      <c r="M72" s="124"/>
      <c r="N72" s="5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</row>
    <row r="73" spans="1:46" s="18" customFormat="1" x14ac:dyDescent="0.3">
      <c r="A73" s="79" t="s">
        <v>27</v>
      </c>
      <c r="B73" s="80">
        <f>'GERAL 2021'!K18</f>
        <v>118.87</v>
      </c>
      <c r="C73" s="82">
        <v>6</v>
      </c>
      <c r="D73" s="80">
        <f>B73/C73</f>
        <v>19.811666666666667</v>
      </c>
      <c r="E73" s="81"/>
      <c r="F73" s="82"/>
      <c r="G73" s="11"/>
      <c r="H73" s="11"/>
      <c r="I73" s="14"/>
      <c r="J73" s="14"/>
      <c r="K73" s="14"/>
      <c r="L73" s="124"/>
      <c r="M73" s="124"/>
      <c r="N73" s="5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</row>
    <row r="74" spans="1:46" s="32" customFormat="1" x14ac:dyDescent="0.3">
      <c r="A74" s="12" t="s">
        <v>28</v>
      </c>
      <c r="B74" s="2">
        <f>'GERAL 2021'!I18</f>
        <v>1.0710401891252954</v>
      </c>
      <c r="C74" s="88">
        <v>7</v>
      </c>
      <c r="D74" s="2">
        <f>B74*C74</f>
        <v>7.4972813238770684</v>
      </c>
      <c r="E74" s="88"/>
      <c r="F74" s="90"/>
      <c r="G74" s="11"/>
      <c r="H74" s="11"/>
      <c r="I74" s="20"/>
      <c r="J74" s="20"/>
      <c r="K74" s="20"/>
      <c r="L74" s="124"/>
      <c r="M74" s="124"/>
      <c r="N74" s="57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</row>
    <row r="75" spans="1:46" s="32" customFormat="1" x14ac:dyDescent="0.3">
      <c r="A75" s="79" t="s">
        <v>18</v>
      </c>
      <c r="B75" s="80">
        <f>'GERAL 2021'!K19</f>
        <v>118.87</v>
      </c>
      <c r="C75" s="82">
        <v>6</v>
      </c>
      <c r="D75" s="80">
        <f>B75/C75</f>
        <v>19.811666666666667</v>
      </c>
      <c r="E75" s="82"/>
      <c r="F75" s="80"/>
      <c r="G75" s="18"/>
      <c r="H75" s="18"/>
      <c r="I75" s="20"/>
      <c r="J75" s="20"/>
      <c r="K75" s="20"/>
      <c r="L75" s="15"/>
      <c r="M75" s="14"/>
      <c r="N75" s="57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</row>
    <row r="76" spans="1:46" s="32" customFormat="1" x14ac:dyDescent="0.3">
      <c r="A76" s="12" t="s">
        <v>19</v>
      </c>
      <c r="B76" s="2">
        <f>'GERAL 2021'!I19</f>
        <v>1.0710401891252954</v>
      </c>
      <c r="C76" s="88">
        <v>6</v>
      </c>
      <c r="D76" s="2">
        <f>B76*C76</f>
        <v>6.4262411347517725</v>
      </c>
      <c r="E76" s="88"/>
      <c r="F76" s="88"/>
      <c r="G76" s="18"/>
      <c r="H76" s="18"/>
      <c r="I76" s="20"/>
      <c r="J76" s="20"/>
      <c r="K76" s="20"/>
      <c r="L76" s="11"/>
      <c r="M76" s="15"/>
      <c r="N76" s="65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</row>
    <row r="77" spans="1:46" s="32" customFormat="1" x14ac:dyDescent="0.3">
      <c r="A77" s="79" t="s">
        <v>37</v>
      </c>
      <c r="B77" s="80">
        <f>'GERAL 2021'!K20</f>
        <v>119.02</v>
      </c>
      <c r="C77" s="82">
        <v>6</v>
      </c>
      <c r="D77" s="80">
        <f>B77/C77</f>
        <v>19.836666666666666</v>
      </c>
      <c r="E77" s="81"/>
      <c r="F77" s="82"/>
      <c r="G77" s="18"/>
      <c r="H77" s="18"/>
      <c r="I77" s="20"/>
      <c r="J77" s="20"/>
      <c r="K77" s="20"/>
      <c r="L77" s="11"/>
      <c r="M77" s="11"/>
      <c r="N77" s="65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</row>
    <row r="78" spans="1:46" s="32" customFormat="1" x14ac:dyDescent="0.3">
      <c r="A78" s="12" t="s">
        <v>38</v>
      </c>
      <c r="B78" s="2">
        <f>'GERAL 2021'!I20</f>
        <v>1.0710401891252954</v>
      </c>
      <c r="C78" s="88">
        <v>7</v>
      </c>
      <c r="D78" s="2">
        <f>B78*C78</f>
        <v>7.4972813238770684</v>
      </c>
      <c r="E78" s="88"/>
      <c r="F78" s="88"/>
      <c r="G78" s="18"/>
      <c r="H78" s="18"/>
      <c r="I78" s="20"/>
      <c r="J78" s="20"/>
      <c r="K78" s="20"/>
      <c r="L78" s="14"/>
      <c r="M78" s="14"/>
      <c r="N78" s="65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</row>
    <row r="79" spans="1:46" s="32" customFormat="1" x14ac:dyDescent="0.3">
      <c r="A79" s="79" t="s">
        <v>45</v>
      </c>
      <c r="B79" s="80">
        <f>'GERAL 2021'!K21</f>
        <v>118.43</v>
      </c>
      <c r="C79" s="82">
        <v>6</v>
      </c>
      <c r="D79" s="80">
        <f>B79/C79</f>
        <v>19.738333333333333</v>
      </c>
      <c r="E79" s="81"/>
      <c r="F79" s="82"/>
      <c r="G79" s="18"/>
      <c r="H79" s="18"/>
      <c r="I79" s="20"/>
      <c r="J79" s="20"/>
      <c r="K79" s="20"/>
      <c r="L79" s="20"/>
      <c r="M79" s="15"/>
      <c r="N79" s="65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</row>
    <row r="80" spans="1:46" s="32" customFormat="1" x14ac:dyDescent="0.3">
      <c r="A80" s="12" t="s">
        <v>39</v>
      </c>
      <c r="B80" s="2">
        <f>'GERAL 2021'!I21</f>
        <v>1.0710401891252954</v>
      </c>
      <c r="C80" s="88">
        <v>5</v>
      </c>
      <c r="D80" s="2">
        <f>B80*C80</f>
        <v>5.3552009456264766</v>
      </c>
      <c r="E80" s="88"/>
      <c r="F80" s="88"/>
      <c r="G80" s="18"/>
      <c r="H80" s="18"/>
      <c r="I80" s="20"/>
      <c r="J80" s="20"/>
      <c r="K80" s="20"/>
      <c r="L80" s="20"/>
      <c r="M80" s="11"/>
      <c r="N80" s="65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</row>
    <row r="81" spans="1:46" s="32" customFormat="1" x14ac:dyDescent="0.3">
      <c r="A81" s="79" t="s">
        <v>49</v>
      </c>
      <c r="B81" s="80"/>
      <c r="C81" s="82"/>
      <c r="D81" s="80"/>
      <c r="E81" s="81"/>
      <c r="F81" s="82"/>
      <c r="G81" s="18"/>
      <c r="H81" s="18"/>
      <c r="I81" s="20"/>
      <c r="J81" s="20"/>
      <c r="K81" s="20"/>
      <c r="L81" s="20"/>
      <c r="M81" s="11"/>
      <c r="N81" s="65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</row>
    <row r="82" spans="1:46" s="32" customFormat="1" x14ac:dyDescent="0.3">
      <c r="A82" s="12" t="s">
        <v>50</v>
      </c>
      <c r="B82" s="2"/>
      <c r="C82" s="88"/>
      <c r="D82" s="2"/>
      <c r="E82" s="88"/>
      <c r="F82" s="88"/>
      <c r="G82" s="18"/>
      <c r="H82" s="18"/>
      <c r="I82" s="20"/>
      <c r="J82" s="20"/>
      <c r="K82" s="20"/>
      <c r="L82" s="18"/>
      <c r="M82" s="11"/>
      <c r="N82" s="65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</row>
    <row r="83" spans="1:46" s="32" customFormat="1" x14ac:dyDescent="0.3">
      <c r="A83" s="79" t="s">
        <v>43</v>
      </c>
      <c r="B83" s="80"/>
      <c r="C83" s="82"/>
      <c r="D83" s="80"/>
      <c r="E83" s="81"/>
      <c r="F83" s="82"/>
      <c r="G83" s="18"/>
      <c r="H83" s="18"/>
      <c r="I83" s="20"/>
      <c r="J83" s="20"/>
      <c r="K83" s="20"/>
      <c r="L83" s="18"/>
      <c r="M83" s="14"/>
      <c r="N83" s="65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</row>
    <row r="84" spans="1:46" s="32" customFormat="1" x14ac:dyDescent="0.3">
      <c r="A84" s="12" t="s">
        <v>44</v>
      </c>
      <c r="B84" s="2"/>
      <c r="C84" s="88"/>
      <c r="D84" s="2"/>
      <c r="E84" s="88"/>
      <c r="F84" s="88"/>
      <c r="G84" s="18"/>
      <c r="H84" s="18"/>
      <c r="I84" s="20"/>
      <c r="J84" s="20"/>
      <c r="K84" s="20"/>
      <c r="L84" s="18"/>
      <c r="M84" s="20"/>
      <c r="N84" s="65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</row>
    <row r="85" spans="1:46" s="32" customFormat="1" x14ac:dyDescent="0.3">
      <c r="A85" s="79" t="s">
        <v>51</v>
      </c>
      <c r="B85" s="80"/>
      <c r="C85" s="82"/>
      <c r="D85" s="80"/>
      <c r="E85" s="82"/>
      <c r="F85" s="80"/>
      <c r="I85" s="21"/>
      <c r="J85" s="21"/>
      <c r="K85" s="21"/>
      <c r="L85" s="18"/>
      <c r="M85" s="20"/>
      <c r="N85" s="65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</row>
    <row r="86" spans="1:46" s="22" customFormat="1" x14ac:dyDescent="0.3">
      <c r="A86" s="12" t="s">
        <v>52</v>
      </c>
      <c r="B86" s="2"/>
      <c r="C86" s="88"/>
      <c r="D86" s="2"/>
      <c r="E86" s="88"/>
      <c r="F86" s="67"/>
      <c r="G86" s="63"/>
      <c r="H86" s="63"/>
      <c r="I86" s="32"/>
      <c r="J86" s="32"/>
      <c r="K86" s="32"/>
      <c r="L86" s="18"/>
      <c r="M86" s="20"/>
      <c r="N86" s="65"/>
    </row>
    <row r="87" spans="1:46" s="22" customFormat="1" x14ac:dyDescent="0.3">
      <c r="A87" s="79" t="s">
        <v>53</v>
      </c>
      <c r="B87" s="80"/>
      <c r="C87" s="82"/>
      <c r="D87" s="80"/>
      <c r="E87" s="82"/>
      <c r="F87" s="82"/>
      <c r="G87" s="11"/>
      <c r="H87" s="63"/>
      <c r="I87" s="21"/>
      <c r="J87" s="21"/>
      <c r="K87" s="21"/>
      <c r="L87" s="18"/>
      <c r="M87" s="18"/>
      <c r="N87" s="65"/>
      <c r="AT87" s="32"/>
    </row>
    <row r="88" spans="1:46" s="22" customFormat="1" ht="14.4" thickBot="1" x14ac:dyDescent="0.35">
      <c r="A88" s="59" t="s">
        <v>54</v>
      </c>
      <c r="B88" s="60"/>
      <c r="C88" s="61"/>
      <c r="D88" s="60"/>
      <c r="E88" s="61"/>
      <c r="F88" s="67"/>
      <c r="G88" s="21"/>
      <c r="H88" s="21"/>
      <c r="I88" s="21"/>
      <c r="J88" s="21"/>
      <c r="K88" s="21"/>
      <c r="L88" s="18"/>
      <c r="M88" s="18"/>
      <c r="N88" s="65"/>
      <c r="AT88" s="32"/>
    </row>
    <row r="89" spans="1:46" s="22" customFormat="1" x14ac:dyDescent="0.3">
      <c r="A89" s="79" t="s">
        <v>78</v>
      </c>
      <c r="B89" s="80"/>
      <c r="C89" s="82"/>
      <c r="D89" s="80"/>
      <c r="E89" s="82"/>
      <c r="F89" s="82"/>
      <c r="G89" s="11"/>
      <c r="H89" s="63"/>
      <c r="I89" s="21"/>
      <c r="J89" s="21"/>
      <c r="K89" s="21"/>
      <c r="L89" s="32"/>
      <c r="M89" s="32"/>
      <c r="N89" s="65"/>
      <c r="AT89" s="32"/>
    </row>
    <row r="90" spans="1:46" s="22" customFormat="1" ht="14.4" thickBot="1" x14ac:dyDescent="0.35">
      <c r="A90" s="59" t="s">
        <v>79</v>
      </c>
      <c r="B90" s="60"/>
      <c r="C90" s="61"/>
      <c r="D90" s="60"/>
      <c r="E90" s="61"/>
      <c r="F90" s="67"/>
      <c r="G90" s="21"/>
      <c r="H90" s="21"/>
      <c r="I90" s="21"/>
      <c r="J90" s="21"/>
      <c r="K90" s="21"/>
      <c r="L90" s="32"/>
      <c r="M90" s="18"/>
      <c r="N90" s="65"/>
      <c r="AT90" s="32"/>
    </row>
    <row r="91" spans="1:46" s="22" customFormat="1" x14ac:dyDescent="0.3">
      <c r="A91" s="79" t="s">
        <v>80</v>
      </c>
      <c r="B91" s="80">
        <f>'GERAL 2021'!K27</f>
        <v>119.7</v>
      </c>
      <c r="C91" s="82">
        <v>6</v>
      </c>
      <c r="D91" s="80">
        <f>B91/C91</f>
        <v>19.95</v>
      </c>
      <c r="E91" s="82"/>
      <c r="F91" s="82"/>
      <c r="G91" s="11"/>
      <c r="H91" s="63"/>
      <c r="I91" s="21"/>
      <c r="J91" s="21"/>
      <c r="K91" s="21"/>
      <c r="L91" s="21"/>
      <c r="M91" s="21"/>
      <c r="N91" s="65"/>
      <c r="AT91" s="32"/>
    </row>
    <row r="92" spans="1:46" s="22" customFormat="1" ht="14.4" thickBot="1" x14ac:dyDescent="0.35">
      <c r="A92" s="59" t="s">
        <v>81</v>
      </c>
      <c r="B92" s="60">
        <f>'GERAL 2021'!I27</f>
        <v>1.0710401891252954</v>
      </c>
      <c r="C92" s="61">
        <v>6</v>
      </c>
      <c r="D92" s="60">
        <f>B92*C92</f>
        <v>6.4262411347517725</v>
      </c>
      <c r="E92" s="61"/>
      <c r="F92" s="67"/>
      <c r="G92" s="21"/>
      <c r="H92" s="21"/>
      <c r="I92" s="21"/>
      <c r="J92" s="21"/>
      <c r="K92" s="21"/>
      <c r="L92" s="32"/>
      <c r="M92" s="18"/>
      <c r="N92" s="65"/>
      <c r="AT92" s="32"/>
    </row>
    <row r="93" spans="1:46" s="22" customFormat="1" x14ac:dyDescent="0.3">
      <c r="A93" s="79" t="s">
        <v>82</v>
      </c>
      <c r="B93" s="80"/>
      <c r="C93" s="82"/>
      <c r="D93" s="80"/>
      <c r="E93" s="82"/>
      <c r="F93" s="82"/>
      <c r="G93" s="11"/>
      <c r="H93" s="63"/>
      <c r="I93" s="21"/>
      <c r="J93" s="21"/>
      <c r="K93" s="21"/>
      <c r="L93" s="21"/>
      <c r="M93" s="21"/>
      <c r="N93" s="65"/>
      <c r="AT93" s="32"/>
    </row>
    <row r="94" spans="1:46" s="22" customFormat="1" ht="14.4" thickBot="1" x14ac:dyDescent="0.35">
      <c r="A94" s="59" t="s">
        <v>83</v>
      </c>
      <c r="B94" s="60"/>
      <c r="C94" s="61"/>
      <c r="D94" s="60"/>
      <c r="E94" s="61"/>
      <c r="F94" s="67"/>
      <c r="G94" s="21"/>
      <c r="H94" s="21"/>
      <c r="I94" s="21"/>
      <c r="J94" s="21"/>
      <c r="K94" s="21"/>
      <c r="L94" s="32"/>
      <c r="M94" s="18"/>
      <c r="N94" s="65"/>
      <c r="AT94" s="32"/>
    </row>
    <row r="95" spans="1:46" s="22" customFormat="1" x14ac:dyDescent="0.3">
      <c r="A95" s="79" t="s">
        <v>84</v>
      </c>
      <c r="B95" s="80">
        <f>'GERAL 2021'!K29</f>
        <v>119.02</v>
      </c>
      <c r="C95" s="82">
        <v>6</v>
      </c>
      <c r="D95" s="80">
        <f>B95/C95</f>
        <v>19.836666666666666</v>
      </c>
      <c r="E95" s="82"/>
      <c r="F95" s="82"/>
      <c r="G95" s="11"/>
      <c r="H95" s="63"/>
      <c r="I95" s="21"/>
      <c r="J95" s="21"/>
      <c r="K95" s="21"/>
      <c r="L95" s="21"/>
      <c r="M95" s="21"/>
      <c r="N95" s="65"/>
      <c r="AT95" s="32"/>
    </row>
    <row r="96" spans="1:46" s="22" customFormat="1" ht="14.4" thickBot="1" x14ac:dyDescent="0.35">
      <c r="A96" s="59" t="s">
        <v>85</v>
      </c>
      <c r="B96" s="60">
        <f>'GERAL 2021'!I29</f>
        <v>1.0710401891252954</v>
      </c>
      <c r="C96" s="61">
        <v>8</v>
      </c>
      <c r="D96" s="60">
        <f>B96*C96</f>
        <v>8.5683215130023633</v>
      </c>
      <c r="E96" s="61"/>
      <c r="F96" s="67"/>
      <c r="G96" s="66"/>
      <c r="H96" s="66"/>
      <c r="I96" s="66"/>
      <c r="J96" s="66"/>
      <c r="K96" s="66"/>
      <c r="L96" s="66"/>
      <c r="M96" s="66"/>
      <c r="N96" s="66"/>
      <c r="AT96" s="32"/>
    </row>
    <row r="97" spans="1:46" s="22" customFormat="1" x14ac:dyDescent="0.3">
      <c r="A97" s="32"/>
      <c r="B97" s="32"/>
      <c r="C97" s="32"/>
      <c r="D97" s="32"/>
      <c r="E97" s="32"/>
      <c r="F97" s="32"/>
      <c r="G97" s="32"/>
      <c r="H97" s="32"/>
      <c r="I97" s="21"/>
      <c r="J97" s="21"/>
      <c r="K97" s="21"/>
      <c r="L97" s="32"/>
      <c r="M97" s="32"/>
      <c r="N97" s="32"/>
      <c r="AT97" s="32"/>
    </row>
    <row r="98" spans="1:46" s="22" customFormat="1" x14ac:dyDescent="0.3">
      <c r="A98" s="32"/>
      <c r="B98" s="32"/>
      <c r="C98" s="32"/>
      <c r="D98" s="32"/>
      <c r="E98" s="32"/>
      <c r="F98" s="32"/>
      <c r="G98" s="32"/>
      <c r="H98" s="32"/>
      <c r="I98" s="21"/>
      <c r="J98" s="21"/>
      <c r="K98" s="21"/>
      <c r="L98" s="32"/>
      <c r="M98" s="32"/>
      <c r="N98" s="32"/>
      <c r="AT98" s="32"/>
    </row>
    <row r="99" spans="1:46" s="22" customFormat="1" x14ac:dyDescent="0.3">
      <c r="A99" s="32"/>
      <c r="B99" s="32"/>
      <c r="C99" s="32"/>
      <c r="D99" s="32"/>
      <c r="E99" s="32"/>
      <c r="F99" s="32"/>
      <c r="G99" s="32"/>
      <c r="H99" s="32"/>
      <c r="I99" s="21"/>
      <c r="J99" s="21"/>
      <c r="K99" s="21"/>
      <c r="L99" s="32"/>
      <c r="M99" s="32"/>
      <c r="N99" s="32"/>
      <c r="AT99" s="32"/>
    </row>
    <row r="100" spans="1:46" s="22" customFormat="1" x14ac:dyDescent="0.3">
      <c r="A100" s="32"/>
      <c r="B100" s="32"/>
      <c r="C100" s="32"/>
      <c r="D100" s="32"/>
      <c r="E100" s="32"/>
      <c r="F100" s="32"/>
      <c r="G100" s="32"/>
      <c r="H100" s="32"/>
      <c r="I100" s="21"/>
      <c r="J100" s="21"/>
      <c r="K100" s="21"/>
      <c r="L100" s="32"/>
      <c r="M100" s="32"/>
      <c r="N100" s="32"/>
      <c r="AT100" s="32"/>
    </row>
    <row r="101" spans="1:46" s="22" customFormat="1" x14ac:dyDescent="0.3">
      <c r="A101" s="32"/>
      <c r="B101" s="32"/>
      <c r="C101" s="32"/>
      <c r="D101" s="32"/>
      <c r="E101" s="32"/>
      <c r="F101" s="32"/>
      <c r="G101" s="32"/>
      <c r="H101" s="32"/>
      <c r="I101" s="21"/>
      <c r="J101" s="21"/>
      <c r="K101" s="21"/>
      <c r="L101" s="32"/>
      <c r="M101" s="32"/>
      <c r="N101" s="32"/>
      <c r="AT101" s="32"/>
    </row>
    <row r="102" spans="1:46" s="22" customFormat="1" x14ac:dyDescent="0.3">
      <c r="A102" s="32"/>
      <c r="B102" s="32"/>
      <c r="C102" s="32"/>
      <c r="D102" s="32"/>
      <c r="E102" s="32"/>
      <c r="F102" s="32"/>
      <c r="G102" s="32"/>
      <c r="H102" s="32"/>
      <c r="I102" s="21"/>
      <c r="J102" s="21"/>
      <c r="K102" s="21"/>
      <c r="L102" s="32"/>
      <c r="M102" s="32"/>
      <c r="N102" s="32"/>
      <c r="AT102" s="32"/>
    </row>
    <row r="103" spans="1:46" s="22" customFormat="1" x14ac:dyDescent="0.3">
      <c r="A103" s="32"/>
      <c r="B103" s="32"/>
      <c r="C103" s="32"/>
      <c r="D103" s="32"/>
      <c r="E103" s="32"/>
      <c r="F103" s="32"/>
      <c r="G103" s="32"/>
      <c r="H103" s="32"/>
      <c r="I103" s="21"/>
      <c r="J103" s="21"/>
      <c r="K103" s="21"/>
      <c r="L103" s="32"/>
      <c r="M103" s="32"/>
      <c r="N103" s="32"/>
      <c r="AT103" s="32"/>
    </row>
    <row r="104" spans="1:46" s="22" customFormat="1" x14ac:dyDescent="0.3">
      <c r="A104" s="32"/>
      <c r="B104" s="32"/>
      <c r="C104" s="32"/>
      <c r="D104" s="32"/>
      <c r="E104" s="32"/>
      <c r="F104" s="32"/>
      <c r="G104" s="32"/>
      <c r="H104" s="32"/>
      <c r="I104" s="21"/>
      <c r="J104" s="21"/>
      <c r="K104" s="21"/>
      <c r="L104" s="32"/>
      <c r="M104" s="32"/>
      <c r="N104" s="32"/>
      <c r="AT104" s="32"/>
    </row>
    <row r="105" spans="1:46" s="22" customFormat="1" x14ac:dyDescent="0.3">
      <c r="A105" s="32"/>
      <c r="B105" s="32"/>
      <c r="C105" s="32"/>
      <c r="D105" s="32"/>
      <c r="E105" s="32"/>
      <c r="F105" s="32"/>
      <c r="G105" s="32"/>
      <c r="H105" s="32"/>
      <c r="I105" s="21"/>
      <c r="J105" s="21"/>
      <c r="K105" s="21"/>
      <c r="L105" s="32"/>
      <c r="M105" s="32"/>
      <c r="N105" s="32"/>
      <c r="AT105" s="32"/>
    </row>
    <row r="106" spans="1:46" s="22" customFormat="1" x14ac:dyDescent="0.3">
      <c r="A106" s="32"/>
      <c r="B106" s="32"/>
      <c r="C106" s="32"/>
      <c r="D106" s="32"/>
      <c r="E106" s="32"/>
      <c r="F106" s="32"/>
      <c r="G106" s="32"/>
      <c r="H106" s="32"/>
      <c r="I106" s="21"/>
      <c r="J106" s="21"/>
      <c r="K106" s="21"/>
      <c r="L106" s="32"/>
      <c r="M106" s="32"/>
      <c r="N106" s="32"/>
      <c r="AT106" s="32"/>
    </row>
    <row r="107" spans="1:46" s="22" customFormat="1" x14ac:dyDescent="0.3">
      <c r="A107" s="32"/>
      <c r="B107" s="32"/>
      <c r="C107" s="32"/>
      <c r="D107" s="32"/>
      <c r="E107" s="32"/>
      <c r="F107" s="32"/>
      <c r="G107" s="32"/>
      <c r="H107" s="32"/>
      <c r="I107" s="21"/>
      <c r="J107" s="21"/>
      <c r="K107" s="21"/>
      <c r="L107" s="32"/>
      <c r="M107" s="32"/>
      <c r="N107" s="32"/>
      <c r="AT107" s="32"/>
    </row>
    <row r="108" spans="1:46" s="22" customFormat="1" x14ac:dyDescent="0.3">
      <c r="A108" s="32"/>
      <c r="B108" s="32"/>
      <c r="C108" s="32"/>
      <c r="D108" s="32"/>
      <c r="E108" s="32"/>
      <c r="F108" s="32"/>
      <c r="G108" s="32"/>
      <c r="H108" s="32"/>
      <c r="I108" s="21"/>
      <c r="J108" s="21"/>
      <c r="K108" s="21"/>
      <c r="L108" s="32"/>
      <c r="M108" s="32"/>
      <c r="N108" s="32"/>
      <c r="AT108" s="32"/>
    </row>
    <row r="109" spans="1:46" s="22" customFormat="1" x14ac:dyDescent="0.3">
      <c r="A109" s="32"/>
      <c r="B109" s="32"/>
      <c r="C109" s="32"/>
      <c r="D109" s="32"/>
      <c r="E109" s="32"/>
      <c r="F109" s="32"/>
      <c r="G109" s="32"/>
      <c r="H109" s="32"/>
      <c r="I109" s="21"/>
      <c r="J109" s="21"/>
      <c r="K109" s="21"/>
      <c r="L109" s="32"/>
      <c r="M109" s="32"/>
      <c r="N109" s="32"/>
      <c r="AT109" s="32"/>
    </row>
    <row r="110" spans="1:46" s="22" customFormat="1" x14ac:dyDescent="0.3">
      <c r="A110" s="32"/>
      <c r="B110" s="32"/>
      <c r="C110" s="32"/>
      <c r="D110" s="32"/>
      <c r="E110" s="32"/>
      <c r="F110" s="32"/>
      <c r="G110" s="32"/>
      <c r="H110" s="32"/>
      <c r="I110" s="21"/>
      <c r="J110" s="21"/>
      <c r="K110" s="21"/>
      <c r="L110" s="32"/>
      <c r="M110" s="32"/>
      <c r="N110" s="32"/>
      <c r="AT110" s="32"/>
    </row>
    <row r="111" spans="1:46" s="22" customFormat="1" x14ac:dyDescent="0.3">
      <c r="A111" s="32"/>
      <c r="B111" s="32"/>
      <c r="C111" s="32"/>
      <c r="D111" s="32"/>
      <c r="E111" s="32"/>
      <c r="F111" s="32"/>
      <c r="G111" s="32"/>
      <c r="H111" s="32"/>
      <c r="I111" s="21"/>
      <c r="J111" s="21"/>
      <c r="K111" s="21"/>
      <c r="L111" s="32"/>
      <c r="M111" s="32"/>
      <c r="N111" s="32"/>
      <c r="AT111" s="32"/>
    </row>
    <row r="112" spans="1:46" s="22" customFormat="1" x14ac:dyDescent="0.3">
      <c r="A112" s="32"/>
      <c r="B112" s="32"/>
      <c r="C112" s="32"/>
      <c r="D112" s="32"/>
      <c r="E112" s="32"/>
      <c r="F112" s="32"/>
      <c r="G112" s="32"/>
      <c r="H112" s="32"/>
      <c r="I112" s="21"/>
      <c r="J112" s="21"/>
      <c r="K112" s="21"/>
      <c r="L112" s="32"/>
      <c r="M112" s="32"/>
      <c r="N112" s="32"/>
      <c r="AT112" s="32"/>
    </row>
    <row r="113" spans="1:46" s="22" customFormat="1" x14ac:dyDescent="0.3">
      <c r="A113" s="32"/>
      <c r="B113" s="32"/>
      <c r="C113" s="32"/>
      <c r="D113" s="32"/>
      <c r="E113" s="32"/>
      <c r="F113" s="32"/>
      <c r="G113" s="32"/>
      <c r="H113" s="32"/>
      <c r="I113" s="21"/>
      <c r="J113" s="21"/>
      <c r="K113" s="21"/>
      <c r="L113" s="32"/>
      <c r="M113" s="32"/>
      <c r="N113" s="32"/>
      <c r="AT113" s="32"/>
    </row>
    <row r="114" spans="1:46" s="22" customFormat="1" x14ac:dyDescent="0.3">
      <c r="A114" s="32"/>
      <c r="B114" s="32"/>
      <c r="C114" s="32"/>
      <c r="D114" s="32"/>
      <c r="E114" s="32"/>
      <c r="F114" s="32"/>
      <c r="G114" s="32"/>
      <c r="H114" s="32"/>
      <c r="I114" s="21"/>
      <c r="J114" s="21"/>
      <c r="K114" s="21"/>
      <c r="L114" s="32"/>
      <c r="M114" s="32"/>
      <c r="N114" s="32"/>
      <c r="AT114" s="32"/>
    </row>
    <row r="115" spans="1:46" s="22" customFormat="1" x14ac:dyDescent="0.3">
      <c r="A115" s="32"/>
      <c r="B115" s="32"/>
      <c r="C115" s="32"/>
      <c r="D115" s="32"/>
      <c r="E115" s="32"/>
      <c r="F115" s="32"/>
      <c r="G115" s="32"/>
      <c r="H115" s="32"/>
      <c r="I115" s="21"/>
      <c r="J115" s="21"/>
      <c r="K115" s="21"/>
      <c r="L115" s="32"/>
      <c r="M115" s="32"/>
      <c r="N115" s="32"/>
      <c r="AT115" s="32"/>
    </row>
    <row r="116" spans="1:46" s="22" customFormat="1" x14ac:dyDescent="0.3">
      <c r="A116" s="32"/>
      <c r="B116" s="32"/>
      <c r="C116" s="32"/>
      <c r="D116" s="32"/>
      <c r="E116" s="32"/>
      <c r="F116" s="32"/>
      <c r="G116" s="32"/>
      <c r="H116" s="32"/>
      <c r="I116" s="24"/>
      <c r="J116" s="24"/>
      <c r="K116" s="24"/>
      <c r="L116" s="32"/>
      <c r="M116" s="32"/>
      <c r="N116" s="32"/>
      <c r="AT116" s="32"/>
    </row>
    <row r="117" spans="1:46" s="22" customFormat="1" x14ac:dyDescent="0.3">
      <c r="A117" s="32"/>
      <c r="B117" s="32"/>
      <c r="C117" s="32"/>
      <c r="D117" s="32"/>
      <c r="E117" s="32"/>
      <c r="F117" s="32"/>
      <c r="G117" s="32"/>
      <c r="H117" s="32"/>
      <c r="I117" s="24"/>
      <c r="J117" s="24"/>
      <c r="K117" s="24"/>
      <c r="L117" s="32"/>
      <c r="M117" s="32"/>
      <c r="N117" s="32"/>
      <c r="AT117" s="32"/>
    </row>
    <row r="118" spans="1:46" s="22" customFormat="1" x14ac:dyDescent="0.3">
      <c r="A118" s="32"/>
      <c r="B118" s="32"/>
      <c r="C118" s="32"/>
      <c r="D118" s="32"/>
      <c r="E118" s="32"/>
      <c r="F118" s="32"/>
      <c r="G118" s="32"/>
      <c r="H118" s="32"/>
      <c r="I118" s="24"/>
      <c r="J118" s="24"/>
      <c r="K118" s="24"/>
      <c r="L118" s="25"/>
      <c r="M118" s="32"/>
      <c r="N118" s="32"/>
      <c r="AT118" s="32"/>
    </row>
    <row r="119" spans="1:46" s="22" customFormat="1" x14ac:dyDescent="0.3">
      <c r="A119" s="32"/>
      <c r="B119" s="32"/>
      <c r="C119" s="32"/>
      <c r="D119" s="32"/>
      <c r="E119" s="32"/>
      <c r="F119" s="32"/>
      <c r="G119" s="32"/>
      <c r="H119" s="32"/>
      <c r="I119" s="24"/>
      <c r="J119" s="24"/>
      <c r="K119" s="24"/>
      <c r="L119" s="25"/>
      <c r="M119" s="32"/>
      <c r="N119" s="32"/>
      <c r="AT119" s="32"/>
    </row>
    <row r="120" spans="1:46" s="22" customFormat="1" x14ac:dyDescent="0.3">
      <c r="A120" s="32"/>
      <c r="B120" s="32"/>
      <c r="C120" s="32"/>
      <c r="D120" s="32"/>
      <c r="E120" s="32"/>
      <c r="F120" s="32"/>
      <c r="G120" s="32"/>
      <c r="H120" s="32"/>
      <c r="I120" s="24"/>
      <c r="J120" s="24"/>
      <c r="K120" s="24"/>
      <c r="L120" s="25"/>
      <c r="M120" s="32"/>
      <c r="AT120" s="32"/>
    </row>
    <row r="121" spans="1:46" s="22" customFormat="1" x14ac:dyDescent="0.3">
      <c r="A121" s="32"/>
      <c r="B121" s="32"/>
      <c r="C121" s="32"/>
      <c r="D121" s="32"/>
      <c r="E121" s="32"/>
      <c r="F121" s="32"/>
      <c r="G121" s="32"/>
      <c r="H121" s="32"/>
      <c r="I121" s="24"/>
      <c r="J121" s="24"/>
      <c r="K121" s="24"/>
      <c r="L121" s="25"/>
      <c r="M121" s="32"/>
      <c r="AT121" s="32"/>
    </row>
    <row r="122" spans="1:46" s="22" customFormat="1" x14ac:dyDescent="0.3">
      <c r="A122" s="32"/>
      <c r="B122" s="32"/>
      <c r="C122" s="32"/>
      <c r="D122" s="32"/>
      <c r="E122" s="32"/>
      <c r="F122" s="32"/>
      <c r="G122" s="32"/>
      <c r="H122" s="32"/>
      <c r="I122" s="24"/>
      <c r="J122" s="24"/>
      <c r="K122" s="24"/>
      <c r="L122" s="25"/>
      <c r="M122" s="32"/>
      <c r="AT122" s="32"/>
    </row>
    <row r="123" spans="1:46" s="22" customFormat="1" x14ac:dyDescent="0.3">
      <c r="A123" s="32"/>
      <c r="B123" s="32"/>
      <c r="C123" s="32"/>
      <c r="D123" s="32"/>
      <c r="E123" s="32"/>
      <c r="F123" s="32"/>
      <c r="G123" s="32"/>
      <c r="H123" s="32"/>
      <c r="I123" s="24"/>
      <c r="J123" s="24"/>
      <c r="K123" s="24"/>
      <c r="L123" s="25"/>
      <c r="M123" s="25"/>
      <c r="AT123" s="32"/>
    </row>
    <row r="124" spans="1:46" s="22" customFormat="1" x14ac:dyDescent="0.3">
      <c r="A124" s="32"/>
      <c r="B124" s="32"/>
      <c r="C124" s="32"/>
      <c r="D124" s="32"/>
      <c r="E124" s="32"/>
      <c r="F124" s="32"/>
      <c r="G124" s="32"/>
      <c r="H124" s="32"/>
      <c r="I124" s="24"/>
      <c r="J124" s="24"/>
      <c r="K124" s="24"/>
      <c r="L124" s="25"/>
      <c r="M124" s="25"/>
      <c r="AT124" s="32"/>
    </row>
    <row r="125" spans="1:46" s="22" customFormat="1" x14ac:dyDescent="0.3">
      <c r="A125" s="32"/>
      <c r="B125" s="32"/>
      <c r="C125" s="32"/>
      <c r="D125" s="32"/>
      <c r="E125" s="32"/>
      <c r="F125" s="32"/>
      <c r="G125" s="32"/>
      <c r="H125" s="32"/>
      <c r="I125" s="24"/>
      <c r="J125" s="24"/>
      <c r="K125" s="24"/>
      <c r="L125" s="25"/>
      <c r="M125" s="25"/>
      <c r="AT125" s="32"/>
    </row>
    <row r="126" spans="1:46" s="22" customFormat="1" x14ac:dyDescent="0.3">
      <c r="I126" s="24"/>
      <c r="J126" s="24"/>
      <c r="K126" s="24"/>
      <c r="L126" s="25"/>
      <c r="M126" s="25"/>
      <c r="AT126" s="32"/>
    </row>
    <row r="127" spans="1:46" s="22" customFormat="1" x14ac:dyDescent="0.3">
      <c r="I127" s="24"/>
      <c r="J127" s="24"/>
      <c r="K127" s="24"/>
      <c r="L127" s="25"/>
      <c r="M127" s="25"/>
      <c r="AT127" s="32"/>
    </row>
    <row r="128" spans="1:46" s="22" customFormat="1" x14ac:dyDescent="0.3">
      <c r="I128" s="24"/>
      <c r="J128" s="24"/>
      <c r="K128" s="24"/>
      <c r="L128" s="25"/>
      <c r="M128" s="25"/>
      <c r="AT128" s="32"/>
    </row>
    <row r="129" spans="9:46" s="22" customFormat="1" x14ac:dyDescent="0.3">
      <c r="I129" s="24"/>
      <c r="J129" s="24"/>
      <c r="K129" s="24"/>
      <c r="L129" s="25"/>
      <c r="M129" s="25"/>
      <c r="AT129" s="32"/>
    </row>
    <row r="130" spans="9:46" s="22" customFormat="1" x14ac:dyDescent="0.3">
      <c r="I130" s="24"/>
      <c r="J130" s="24"/>
      <c r="K130" s="24"/>
      <c r="L130" s="25"/>
      <c r="M130" s="25"/>
      <c r="AT130" s="32"/>
    </row>
    <row r="131" spans="9:46" s="22" customFormat="1" x14ac:dyDescent="0.3">
      <c r="I131" s="24"/>
      <c r="J131" s="24"/>
      <c r="K131" s="24"/>
      <c r="L131" s="25"/>
      <c r="M131" s="25"/>
      <c r="AT131" s="32"/>
    </row>
    <row r="132" spans="9:46" s="22" customFormat="1" x14ac:dyDescent="0.3">
      <c r="I132" s="24"/>
      <c r="J132" s="24"/>
      <c r="K132" s="24"/>
      <c r="L132" s="25"/>
      <c r="M132" s="25"/>
      <c r="AT132" s="32"/>
    </row>
    <row r="133" spans="9:46" s="22" customFormat="1" x14ac:dyDescent="0.3">
      <c r="I133" s="24"/>
      <c r="J133" s="24"/>
      <c r="K133" s="24"/>
      <c r="L133" s="25"/>
      <c r="M133" s="25"/>
      <c r="AT133" s="32"/>
    </row>
    <row r="134" spans="9:46" s="22" customFormat="1" x14ac:dyDescent="0.3">
      <c r="I134" s="24"/>
      <c r="J134" s="24"/>
      <c r="K134" s="24"/>
      <c r="L134" s="25"/>
      <c r="M134" s="25"/>
      <c r="AT134" s="32"/>
    </row>
    <row r="135" spans="9:46" s="22" customFormat="1" x14ac:dyDescent="0.3">
      <c r="I135" s="24"/>
      <c r="J135" s="24"/>
      <c r="K135" s="24"/>
      <c r="L135" s="25"/>
      <c r="M135" s="25"/>
      <c r="AT135" s="32"/>
    </row>
    <row r="136" spans="9:46" s="22" customFormat="1" x14ac:dyDescent="0.3">
      <c r="I136" s="24"/>
      <c r="J136" s="24"/>
      <c r="K136" s="24"/>
      <c r="L136" s="25"/>
      <c r="M136" s="25"/>
      <c r="AT136" s="32"/>
    </row>
    <row r="137" spans="9:46" s="22" customFormat="1" x14ac:dyDescent="0.3">
      <c r="I137" s="24"/>
      <c r="J137" s="24"/>
      <c r="K137" s="24"/>
      <c r="L137" s="25"/>
      <c r="M137" s="25"/>
      <c r="AT137" s="32"/>
    </row>
    <row r="138" spans="9:46" s="22" customFormat="1" x14ac:dyDescent="0.3">
      <c r="I138" s="24"/>
      <c r="J138" s="24"/>
      <c r="K138" s="24"/>
      <c r="L138" s="25"/>
      <c r="M138" s="25"/>
      <c r="AT138" s="32"/>
    </row>
    <row r="139" spans="9:46" s="22" customFormat="1" x14ac:dyDescent="0.3">
      <c r="I139" s="24"/>
      <c r="J139" s="24"/>
      <c r="K139" s="24"/>
      <c r="L139" s="25"/>
      <c r="M139" s="25"/>
      <c r="AT139" s="32"/>
    </row>
    <row r="140" spans="9:46" s="22" customFormat="1" x14ac:dyDescent="0.3">
      <c r="I140" s="24"/>
      <c r="J140" s="24"/>
      <c r="K140" s="24"/>
      <c r="L140" s="25"/>
      <c r="M140" s="25"/>
      <c r="AT140" s="32"/>
    </row>
    <row r="141" spans="9:46" s="22" customFormat="1" x14ac:dyDescent="0.3">
      <c r="I141" s="24"/>
      <c r="J141" s="24"/>
      <c r="K141" s="24"/>
      <c r="L141" s="25"/>
      <c r="M141" s="25"/>
      <c r="AT141" s="32"/>
    </row>
    <row r="142" spans="9:46" s="22" customFormat="1" x14ac:dyDescent="0.3">
      <c r="I142" s="24"/>
      <c r="J142" s="24"/>
      <c r="K142" s="24"/>
      <c r="L142" s="25"/>
      <c r="M142" s="25"/>
      <c r="AT142" s="32"/>
    </row>
    <row r="143" spans="9:46" s="22" customFormat="1" x14ac:dyDescent="0.3">
      <c r="I143" s="24"/>
      <c r="J143" s="24"/>
      <c r="K143" s="24"/>
      <c r="L143" s="25"/>
      <c r="M143" s="25"/>
      <c r="AT143" s="32"/>
    </row>
    <row r="144" spans="9:46" s="22" customFormat="1" x14ac:dyDescent="0.3">
      <c r="I144" s="24"/>
      <c r="J144" s="24"/>
      <c r="K144" s="24"/>
      <c r="L144" s="25"/>
      <c r="M144" s="25"/>
      <c r="AT144" s="32"/>
    </row>
    <row r="145" spans="9:46" s="22" customFormat="1" x14ac:dyDescent="0.3">
      <c r="I145" s="24"/>
      <c r="J145" s="24"/>
      <c r="K145" s="24"/>
      <c r="L145" s="25"/>
      <c r="M145" s="25"/>
      <c r="AT145" s="32"/>
    </row>
    <row r="146" spans="9:46" s="22" customFormat="1" x14ac:dyDescent="0.3">
      <c r="I146" s="24"/>
      <c r="J146" s="24"/>
      <c r="K146" s="24"/>
      <c r="L146" s="25"/>
      <c r="M146" s="25"/>
      <c r="AT146" s="32"/>
    </row>
    <row r="147" spans="9:46" s="22" customFormat="1" x14ac:dyDescent="0.3">
      <c r="I147" s="24"/>
      <c r="J147" s="24"/>
      <c r="K147" s="24"/>
      <c r="L147" s="25"/>
      <c r="M147" s="25"/>
      <c r="AT147" s="32"/>
    </row>
    <row r="148" spans="9:46" s="22" customFormat="1" x14ac:dyDescent="0.3">
      <c r="I148" s="24"/>
      <c r="J148" s="24"/>
      <c r="K148" s="24"/>
      <c r="L148" s="25"/>
      <c r="M148" s="25"/>
      <c r="AT148" s="32"/>
    </row>
    <row r="149" spans="9:46" s="22" customFormat="1" x14ac:dyDescent="0.3">
      <c r="I149" s="24"/>
      <c r="J149" s="24"/>
      <c r="K149" s="24"/>
      <c r="L149" s="25"/>
      <c r="M149" s="25"/>
      <c r="AT149" s="32"/>
    </row>
    <row r="150" spans="9:46" s="22" customFormat="1" x14ac:dyDescent="0.3">
      <c r="I150" s="24"/>
      <c r="J150" s="24"/>
      <c r="K150" s="24"/>
      <c r="L150" s="25"/>
      <c r="M150" s="25"/>
      <c r="AT150" s="32"/>
    </row>
    <row r="151" spans="9:46" s="22" customFormat="1" x14ac:dyDescent="0.3">
      <c r="I151" s="24"/>
      <c r="J151" s="24"/>
      <c r="K151" s="24"/>
      <c r="L151" s="25"/>
      <c r="M151" s="25"/>
      <c r="AT151" s="32"/>
    </row>
    <row r="152" spans="9:46" s="22" customFormat="1" x14ac:dyDescent="0.3">
      <c r="I152" s="24"/>
      <c r="J152" s="24"/>
      <c r="K152" s="24"/>
      <c r="L152" s="25"/>
      <c r="M152" s="25"/>
      <c r="AT152" s="32"/>
    </row>
    <row r="153" spans="9:46" s="22" customFormat="1" x14ac:dyDescent="0.3">
      <c r="I153" s="24"/>
      <c r="J153" s="24"/>
      <c r="K153" s="24"/>
      <c r="L153" s="25"/>
      <c r="M153" s="25"/>
      <c r="AT153" s="32"/>
    </row>
    <row r="154" spans="9:46" s="22" customFormat="1" x14ac:dyDescent="0.3">
      <c r="I154" s="24"/>
      <c r="J154" s="24"/>
      <c r="K154" s="24"/>
      <c r="L154" s="25"/>
      <c r="M154" s="25"/>
      <c r="AT154" s="32"/>
    </row>
    <row r="155" spans="9:46" s="22" customFormat="1" x14ac:dyDescent="0.3">
      <c r="I155" s="24"/>
      <c r="J155" s="24"/>
      <c r="K155" s="24"/>
      <c r="L155" s="25"/>
      <c r="M155" s="25"/>
      <c r="AT155" s="32"/>
    </row>
    <row r="156" spans="9:46" s="22" customFormat="1" x14ac:dyDescent="0.3">
      <c r="I156" s="24"/>
      <c r="J156" s="24"/>
      <c r="K156" s="24"/>
      <c r="L156" s="25"/>
      <c r="M156" s="25"/>
      <c r="AT156" s="32"/>
    </row>
    <row r="157" spans="9:46" s="22" customFormat="1" x14ac:dyDescent="0.3">
      <c r="I157" s="24"/>
      <c r="J157" s="24"/>
      <c r="K157" s="24"/>
      <c r="L157" s="25"/>
      <c r="M157" s="25"/>
      <c r="AT157" s="32"/>
    </row>
    <row r="158" spans="9:46" s="22" customFormat="1" x14ac:dyDescent="0.3">
      <c r="I158" s="24"/>
      <c r="J158" s="24"/>
      <c r="K158" s="24"/>
      <c r="L158" s="25"/>
      <c r="M158" s="25"/>
      <c r="AT158" s="32"/>
    </row>
    <row r="159" spans="9:46" s="22" customFormat="1" x14ac:dyDescent="0.3">
      <c r="I159" s="24"/>
      <c r="J159" s="24"/>
      <c r="K159" s="24"/>
      <c r="L159" s="25"/>
      <c r="M159" s="25"/>
      <c r="AT159" s="32"/>
    </row>
    <row r="160" spans="9:46" s="22" customFormat="1" x14ac:dyDescent="0.3">
      <c r="I160" s="24"/>
      <c r="J160" s="24"/>
      <c r="K160" s="24"/>
      <c r="L160" s="25"/>
      <c r="M160" s="25"/>
      <c r="AT160" s="32"/>
    </row>
    <row r="161" spans="9:46" s="22" customFormat="1" x14ac:dyDescent="0.3">
      <c r="I161" s="24"/>
      <c r="J161" s="24"/>
      <c r="K161" s="24"/>
      <c r="L161" s="25"/>
      <c r="M161" s="25"/>
      <c r="AT161" s="32"/>
    </row>
    <row r="162" spans="9:46" s="22" customFormat="1" x14ac:dyDescent="0.3">
      <c r="I162" s="24"/>
      <c r="J162" s="24"/>
      <c r="K162" s="24"/>
      <c r="L162" s="25"/>
      <c r="M162" s="25"/>
      <c r="AT162" s="32"/>
    </row>
    <row r="163" spans="9:46" s="22" customFormat="1" x14ac:dyDescent="0.3">
      <c r="I163" s="24"/>
      <c r="J163" s="24"/>
      <c r="K163" s="24"/>
      <c r="L163" s="25"/>
      <c r="M163" s="25"/>
      <c r="AT163" s="32"/>
    </row>
    <row r="164" spans="9:46" s="22" customFormat="1" x14ac:dyDescent="0.3">
      <c r="I164" s="24"/>
      <c r="J164" s="24"/>
      <c r="K164" s="24"/>
      <c r="L164" s="25"/>
      <c r="M164" s="25"/>
      <c r="AT164" s="32"/>
    </row>
    <row r="165" spans="9:46" s="22" customFormat="1" x14ac:dyDescent="0.3">
      <c r="I165" s="24"/>
      <c r="J165" s="24"/>
      <c r="K165" s="24"/>
      <c r="L165" s="25"/>
      <c r="M165" s="25"/>
      <c r="AT165" s="32"/>
    </row>
    <row r="166" spans="9:46" s="22" customFormat="1" x14ac:dyDescent="0.3">
      <c r="I166" s="24"/>
      <c r="J166" s="24"/>
      <c r="K166" s="24"/>
      <c r="L166" s="25"/>
      <c r="M166" s="25"/>
      <c r="AT166" s="32"/>
    </row>
    <row r="167" spans="9:46" s="22" customFormat="1" x14ac:dyDescent="0.3">
      <c r="I167" s="24"/>
      <c r="J167" s="24"/>
      <c r="K167" s="24"/>
      <c r="L167" s="25"/>
      <c r="M167" s="25"/>
      <c r="AT167" s="32"/>
    </row>
    <row r="168" spans="9:46" s="22" customFormat="1" x14ac:dyDescent="0.3">
      <c r="I168" s="24"/>
      <c r="J168" s="24"/>
      <c r="K168" s="24"/>
      <c r="L168" s="25"/>
      <c r="M168" s="25"/>
      <c r="AT168" s="32"/>
    </row>
    <row r="169" spans="9:46" s="22" customFormat="1" x14ac:dyDescent="0.3">
      <c r="I169" s="24"/>
      <c r="J169" s="24"/>
      <c r="K169" s="24"/>
      <c r="L169" s="25"/>
      <c r="M169" s="25"/>
      <c r="AT169" s="32"/>
    </row>
    <row r="170" spans="9:46" s="22" customFormat="1" x14ac:dyDescent="0.3">
      <c r="I170" s="24"/>
      <c r="J170" s="24"/>
      <c r="K170" s="24"/>
      <c r="L170" s="25"/>
      <c r="M170" s="25"/>
      <c r="AT170" s="32"/>
    </row>
    <row r="171" spans="9:46" s="22" customFormat="1" x14ac:dyDescent="0.3">
      <c r="I171" s="24"/>
      <c r="J171" s="24"/>
      <c r="K171" s="24"/>
      <c r="L171" s="25"/>
      <c r="M171" s="25"/>
      <c r="AT171" s="32"/>
    </row>
    <row r="172" spans="9:46" s="22" customFormat="1" x14ac:dyDescent="0.3">
      <c r="I172" s="24"/>
      <c r="J172" s="24"/>
      <c r="K172" s="24"/>
      <c r="L172" s="25"/>
      <c r="M172" s="25"/>
      <c r="AT172" s="32"/>
    </row>
    <row r="173" spans="9:46" s="22" customFormat="1" x14ac:dyDescent="0.3">
      <c r="I173" s="24"/>
      <c r="J173" s="24"/>
      <c r="K173" s="24"/>
      <c r="L173" s="25"/>
      <c r="M173" s="25"/>
      <c r="AT173" s="32"/>
    </row>
    <row r="174" spans="9:46" s="22" customFormat="1" x14ac:dyDescent="0.3">
      <c r="I174" s="24"/>
      <c r="J174" s="24"/>
      <c r="K174" s="24"/>
      <c r="L174" s="25"/>
      <c r="M174" s="25"/>
      <c r="AT174" s="32"/>
    </row>
    <row r="175" spans="9:46" s="22" customFormat="1" x14ac:dyDescent="0.3">
      <c r="I175" s="24"/>
      <c r="J175" s="24"/>
      <c r="K175" s="24"/>
      <c r="L175" s="25"/>
      <c r="M175" s="25"/>
      <c r="AT175" s="32"/>
    </row>
    <row r="176" spans="9:46" s="22" customFormat="1" x14ac:dyDescent="0.3">
      <c r="I176" s="24"/>
      <c r="J176" s="24"/>
      <c r="K176" s="24"/>
      <c r="L176" s="25"/>
      <c r="M176" s="25"/>
      <c r="AT176" s="32"/>
    </row>
    <row r="177" spans="1:47" s="22" customFormat="1" x14ac:dyDescent="0.3">
      <c r="I177" s="24"/>
      <c r="J177" s="24"/>
      <c r="K177" s="24"/>
      <c r="L177" s="25"/>
      <c r="M177" s="25"/>
      <c r="AT177" s="32"/>
    </row>
    <row r="178" spans="1:47" s="22" customFormat="1" x14ac:dyDescent="0.3">
      <c r="I178" s="24"/>
      <c r="J178" s="24"/>
      <c r="K178" s="24"/>
      <c r="L178" s="25"/>
      <c r="M178" s="25"/>
      <c r="AT178" s="32"/>
    </row>
    <row r="179" spans="1:47" s="22" customFormat="1" x14ac:dyDescent="0.3">
      <c r="I179" s="24"/>
      <c r="J179" s="24"/>
      <c r="K179" s="24"/>
      <c r="L179" s="25"/>
      <c r="M179" s="25"/>
      <c r="AT179" s="32"/>
    </row>
    <row r="180" spans="1:47" s="22" customFormat="1" x14ac:dyDescent="0.3">
      <c r="I180" s="24"/>
      <c r="J180" s="24"/>
      <c r="K180" s="24"/>
      <c r="L180" s="25"/>
      <c r="M180" s="25"/>
      <c r="AT180" s="32"/>
    </row>
    <row r="181" spans="1:47" s="22" customFormat="1" x14ac:dyDescent="0.3">
      <c r="I181" s="24"/>
      <c r="J181" s="24"/>
      <c r="K181" s="24"/>
      <c r="L181" s="25"/>
      <c r="M181" s="25"/>
      <c r="AT181" s="32"/>
    </row>
    <row r="182" spans="1:47" s="30" customFormat="1" x14ac:dyDescent="0.3">
      <c r="A182" s="22"/>
      <c r="B182" s="22"/>
      <c r="C182" s="22"/>
      <c r="D182" s="22"/>
      <c r="E182" s="22"/>
      <c r="F182" s="22"/>
      <c r="G182" s="22"/>
      <c r="H182" s="22"/>
      <c r="I182" s="24"/>
      <c r="J182" s="24"/>
      <c r="K182" s="24"/>
      <c r="L182" s="25"/>
      <c r="M182" s="25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32"/>
      <c r="AU182" s="22"/>
    </row>
    <row r="183" spans="1:47" s="30" customFormat="1" x14ac:dyDescent="0.3">
      <c r="A183" s="22"/>
      <c r="B183" s="22"/>
      <c r="C183" s="22"/>
      <c r="D183" s="22"/>
      <c r="E183" s="22"/>
      <c r="F183" s="22"/>
      <c r="G183" s="22"/>
      <c r="H183" s="22"/>
      <c r="I183" s="24"/>
      <c r="J183" s="24"/>
      <c r="K183" s="24"/>
      <c r="L183" s="25"/>
      <c r="M183" s="25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32"/>
      <c r="AU183" s="22"/>
    </row>
    <row r="184" spans="1:47" s="30" customFormat="1" x14ac:dyDescent="0.3">
      <c r="A184" s="22"/>
      <c r="B184" s="22"/>
      <c r="C184" s="22"/>
      <c r="D184" s="22"/>
      <c r="E184" s="22"/>
      <c r="F184" s="22"/>
      <c r="G184" s="22"/>
      <c r="H184" s="22"/>
      <c r="I184" s="24"/>
      <c r="J184" s="24"/>
      <c r="K184" s="24"/>
      <c r="L184" s="25"/>
      <c r="M184" s="25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32"/>
      <c r="AU184" s="22"/>
    </row>
    <row r="185" spans="1:47" s="30" customFormat="1" x14ac:dyDescent="0.3">
      <c r="A185" s="22"/>
      <c r="B185" s="22"/>
      <c r="C185" s="22"/>
      <c r="D185" s="22"/>
      <c r="E185" s="22"/>
      <c r="F185" s="22"/>
      <c r="G185" s="22"/>
      <c r="H185" s="22"/>
      <c r="I185" s="24"/>
      <c r="J185" s="24"/>
      <c r="K185" s="24"/>
      <c r="L185" s="25"/>
      <c r="M185" s="25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32"/>
      <c r="AU185" s="22"/>
    </row>
    <row r="186" spans="1:47" s="30" customFormat="1" x14ac:dyDescent="0.3">
      <c r="A186" s="22"/>
      <c r="B186" s="22"/>
      <c r="C186" s="22"/>
      <c r="D186" s="22"/>
      <c r="E186" s="22"/>
      <c r="F186" s="22"/>
      <c r="G186" s="22"/>
      <c r="H186" s="22"/>
      <c r="I186" s="24"/>
      <c r="J186" s="24"/>
      <c r="K186" s="24"/>
      <c r="L186" s="25"/>
      <c r="M186" s="25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32"/>
      <c r="AU186" s="22"/>
    </row>
    <row r="187" spans="1:47" s="30" customFormat="1" x14ac:dyDescent="0.3">
      <c r="A187" s="22"/>
      <c r="B187" s="22"/>
      <c r="C187" s="22"/>
      <c r="D187" s="22"/>
      <c r="E187" s="22"/>
      <c r="F187" s="22"/>
      <c r="G187" s="22"/>
      <c r="H187" s="22"/>
      <c r="I187" s="24"/>
      <c r="J187" s="24"/>
      <c r="K187" s="24"/>
      <c r="L187" s="25"/>
      <c r="M187" s="25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32"/>
      <c r="AU187" s="22"/>
    </row>
    <row r="188" spans="1:47" s="30" customFormat="1" x14ac:dyDescent="0.3">
      <c r="A188" s="22"/>
      <c r="B188" s="22"/>
      <c r="C188" s="22"/>
      <c r="D188" s="22"/>
      <c r="E188" s="22"/>
      <c r="F188" s="22"/>
      <c r="G188" s="22"/>
      <c r="H188" s="22"/>
      <c r="I188" s="24"/>
      <c r="J188" s="24"/>
      <c r="K188" s="24"/>
      <c r="L188" s="25"/>
      <c r="M188" s="25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32"/>
      <c r="AU188" s="22"/>
    </row>
    <row r="189" spans="1:47" s="30" customFormat="1" x14ac:dyDescent="0.3">
      <c r="A189" s="22"/>
      <c r="B189" s="22"/>
      <c r="C189" s="22"/>
      <c r="D189" s="22"/>
      <c r="E189" s="22"/>
      <c r="F189" s="22"/>
      <c r="G189" s="22"/>
      <c r="H189" s="22"/>
      <c r="I189" s="24"/>
      <c r="J189" s="24"/>
      <c r="K189" s="24"/>
      <c r="L189" s="25"/>
      <c r="M189" s="25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32"/>
      <c r="AU189" s="22"/>
    </row>
    <row r="190" spans="1:47" s="30" customFormat="1" x14ac:dyDescent="0.3">
      <c r="A190" s="22"/>
      <c r="B190" s="22"/>
      <c r="C190" s="22"/>
      <c r="D190" s="22"/>
      <c r="E190" s="22"/>
      <c r="F190" s="22"/>
      <c r="G190" s="22"/>
      <c r="H190" s="22"/>
      <c r="I190" s="24"/>
      <c r="J190" s="24"/>
      <c r="K190" s="24"/>
      <c r="L190" s="25"/>
      <c r="M190" s="25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32"/>
      <c r="AU190" s="22"/>
    </row>
    <row r="191" spans="1:47" s="30" customFormat="1" x14ac:dyDescent="0.3">
      <c r="A191" s="22"/>
      <c r="B191" s="22"/>
      <c r="C191" s="22"/>
      <c r="D191" s="22"/>
      <c r="E191" s="22"/>
      <c r="F191" s="22"/>
      <c r="G191" s="22"/>
      <c r="H191" s="22"/>
      <c r="I191" s="24"/>
      <c r="J191" s="24"/>
      <c r="K191" s="24"/>
      <c r="L191" s="25"/>
      <c r="M191" s="25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32"/>
      <c r="AU191" s="22"/>
    </row>
    <row r="192" spans="1:47" s="30" customFormat="1" x14ac:dyDescent="0.3">
      <c r="A192" s="22"/>
      <c r="B192" s="22"/>
      <c r="C192" s="22"/>
      <c r="D192" s="22"/>
      <c r="E192" s="22"/>
      <c r="F192" s="22"/>
      <c r="G192" s="22"/>
      <c r="H192" s="22"/>
      <c r="I192" s="24"/>
      <c r="J192" s="24"/>
      <c r="K192" s="24"/>
      <c r="L192" s="25"/>
      <c r="M192" s="25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32"/>
      <c r="AU192" s="22"/>
    </row>
    <row r="193" spans="1:47" s="30" customFormat="1" x14ac:dyDescent="0.3">
      <c r="A193" s="22"/>
      <c r="B193" s="22"/>
      <c r="C193" s="22"/>
      <c r="D193" s="22"/>
      <c r="E193" s="22"/>
      <c r="F193" s="22"/>
      <c r="G193" s="22"/>
      <c r="H193" s="22"/>
      <c r="I193" s="27"/>
      <c r="J193" s="27"/>
      <c r="K193" s="27"/>
      <c r="L193" s="25"/>
      <c r="M193" s="25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32"/>
      <c r="AU193" s="22"/>
    </row>
    <row r="194" spans="1:47" s="30" customFormat="1" x14ac:dyDescent="0.3">
      <c r="A194" s="22"/>
      <c r="B194" s="22"/>
      <c r="C194" s="22"/>
      <c r="D194" s="22"/>
      <c r="E194" s="22"/>
      <c r="F194" s="22"/>
      <c r="G194" s="22"/>
      <c r="H194" s="22"/>
      <c r="I194" s="27"/>
      <c r="J194" s="27"/>
      <c r="K194" s="27"/>
      <c r="L194" s="25"/>
      <c r="M194" s="25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32"/>
      <c r="AU194" s="22"/>
    </row>
    <row r="195" spans="1:47" s="30" customFormat="1" x14ac:dyDescent="0.3">
      <c r="A195" s="22"/>
      <c r="B195" s="22"/>
      <c r="C195" s="22"/>
      <c r="D195" s="22"/>
      <c r="E195" s="22"/>
      <c r="F195" s="22"/>
      <c r="G195" s="22"/>
      <c r="H195" s="22"/>
      <c r="I195" s="27"/>
      <c r="J195" s="27"/>
      <c r="K195" s="27"/>
      <c r="L195" s="28"/>
      <c r="M195" s="25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32"/>
      <c r="AU195" s="22"/>
    </row>
    <row r="196" spans="1:47" s="30" customFormat="1" x14ac:dyDescent="0.3">
      <c r="A196" s="22"/>
      <c r="B196" s="22"/>
      <c r="C196" s="22"/>
      <c r="D196" s="22"/>
      <c r="E196" s="22"/>
      <c r="F196" s="22"/>
      <c r="G196" s="22"/>
      <c r="H196" s="22"/>
      <c r="I196" s="27"/>
      <c r="J196" s="27"/>
      <c r="K196" s="27"/>
      <c r="L196" s="28"/>
      <c r="M196" s="25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32"/>
      <c r="AU196" s="22"/>
    </row>
    <row r="197" spans="1:47" s="30" customFormat="1" x14ac:dyDescent="0.3">
      <c r="A197" s="22"/>
      <c r="B197" s="22"/>
      <c r="C197" s="22"/>
      <c r="D197" s="22"/>
      <c r="E197" s="22"/>
      <c r="F197" s="22"/>
      <c r="G197" s="22"/>
      <c r="H197" s="22"/>
      <c r="I197" s="27"/>
      <c r="J197" s="27"/>
      <c r="K197" s="27"/>
      <c r="L197" s="28"/>
      <c r="M197" s="25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32"/>
      <c r="AU197" s="22"/>
    </row>
    <row r="198" spans="1:47" s="30" customFormat="1" x14ac:dyDescent="0.3">
      <c r="A198" s="22"/>
      <c r="B198" s="22"/>
      <c r="C198" s="22"/>
      <c r="D198" s="22"/>
      <c r="E198" s="22"/>
      <c r="F198" s="22"/>
      <c r="G198" s="22"/>
      <c r="H198" s="22"/>
      <c r="I198" s="27"/>
      <c r="J198" s="27"/>
      <c r="K198" s="27"/>
      <c r="L198" s="28"/>
      <c r="M198" s="25"/>
      <c r="N198" s="26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32"/>
      <c r="AU198" s="22"/>
    </row>
    <row r="199" spans="1:47" x14ac:dyDescent="0.3">
      <c r="A199" s="22"/>
      <c r="B199" s="22"/>
      <c r="C199" s="22"/>
      <c r="D199" s="22"/>
      <c r="E199" s="22"/>
      <c r="F199" s="22"/>
      <c r="G199" s="22"/>
      <c r="H199" s="22"/>
      <c r="I199" s="27"/>
      <c r="J199" s="27"/>
      <c r="K199" s="27"/>
      <c r="L199" s="28"/>
      <c r="M199" s="25"/>
      <c r="N199" s="26"/>
      <c r="AT199" s="29"/>
      <c r="AU199" s="29"/>
    </row>
    <row r="200" spans="1:47" x14ac:dyDescent="0.3">
      <c r="A200" s="22"/>
      <c r="B200" s="22"/>
      <c r="C200" s="22"/>
      <c r="D200" s="22"/>
      <c r="E200" s="22"/>
      <c r="F200" s="22"/>
      <c r="G200" s="22"/>
      <c r="H200" s="22"/>
      <c r="I200" s="27"/>
      <c r="J200" s="27"/>
      <c r="K200" s="27"/>
      <c r="L200" s="28"/>
      <c r="M200" s="28"/>
      <c r="N200" s="26"/>
      <c r="AT200" s="29"/>
      <c r="AU200" s="29"/>
    </row>
    <row r="201" spans="1:47" x14ac:dyDescent="0.3">
      <c r="A201" s="22"/>
      <c r="B201" s="22"/>
      <c r="C201" s="22"/>
      <c r="D201" s="22"/>
      <c r="E201" s="22"/>
      <c r="F201" s="22"/>
      <c r="G201" s="22"/>
      <c r="H201" s="22"/>
      <c r="I201" s="27"/>
      <c r="J201" s="27"/>
      <c r="K201" s="27"/>
      <c r="L201" s="28"/>
      <c r="M201" s="28"/>
      <c r="N201" s="26"/>
      <c r="AT201" s="29"/>
      <c r="AU201" s="29"/>
    </row>
    <row r="202" spans="1:47" x14ac:dyDescent="0.3">
      <c r="A202" s="22"/>
      <c r="B202" s="22"/>
      <c r="C202" s="22"/>
      <c r="D202" s="22"/>
      <c r="E202" s="22"/>
      <c r="F202" s="22"/>
      <c r="G202" s="22"/>
      <c r="H202" s="22"/>
      <c r="I202" s="27"/>
      <c r="J202" s="27"/>
      <c r="K202" s="27"/>
      <c r="L202" s="28"/>
      <c r="M202" s="28"/>
      <c r="N202" s="26"/>
      <c r="AT202" s="29"/>
      <c r="AU202" s="29"/>
    </row>
    <row r="203" spans="1:47" x14ac:dyDescent="0.3">
      <c r="A203" s="26"/>
      <c r="B203" s="26"/>
      <c r="C203" s="26"/>
      <c r="D203" s="26"/>
      <c r="E203" s="26"/>
      <c r="F203" s="26"/>
      <c r="G203" s="26"/>
      <c r="H203" s="26"/>
      <c r="I203" s="27"/>
      <c r="J203" s="27"/>
      <c r="K203" s="27"/>
      <c r="L203" s="28"/>
      <c r="M203" s="28"/>
      <c r="N203" s="26"/>
      <c r="AT203" s="29"/>
      <c r="AU203" s="29"/>
    </row>
    <row r="204" spans="1:47" x14ac:dyDescent="0.3">
      <c r="A204" s="26"/>
      <c r="B204" s="26"/>
      <c r="C204" s="26"/>
      <c r="D204" s="26"/>
      <c r="E204" s="26"/>
      <c r="F204" s="26"/>
      <c r="G204" s="26"/>
      <c r="H204" s="26"/>
      <c r="I204" s="27"/>
      <c r="J204" s="27"/>
      <c r="K204" s="27"/>
      <c r="L204" s="28"/>
      <c r="M204" s="28"/>
      <c r="N204" s="26"/>
      <c r="AT204" s="29"/>
      <c r="AU204" s="29"/>
    </row>
    <row r="205" spans="1:47" x14ac:dyDescent="0.3">
      <c r="A205" s="26"/>
      <c r="B205" s="26"/>
      <c r="C205" s="26"/>
      <c r="D205" s="26"/>
      <c r="E205" s="26"/>
      <c r="F205" s="26"/>
      <c r="G205" s="26"/>
      <c r="H205" s="26"/>
      <c r="I205" s="27"/>
      <c r="J205" s="27"/>
      <c r="K205" s="27"/>
      <c r="L205" s="28"/>
      <c r="M205" s="28"/>
      <c r="N205" s="26"/>
      <c r="AT205" s="29"/>
      <c r="AU205" s="29"/>
    </row>
    <row r="206" spans="1:47" x14ac:dyDescent="0.3">
      <c r="A206" s="26"/>
      <c r="B206" s="26"/>
      <c r="C206" s="26"/>
      <c r="D206" s="26"/>
      <c r="E206" s="26"/>
      <c r="F206" s="26"/>
      <c r="G206" s="26"/>
      <c r="H206" s="26"/>
      <c r="I206" s="27"/>
      <c r="J206" s="27"/>
      <c r="K206" s="27"/>
      <c r="L206" s="28"/>
      <c r="M206" s="28"/>
      <c r="N206" s="26"/>
      <c r="AT206" s="29"/>
      <c r="AU206" s="29"/>
    </row>
    <row r="207" spans="1:47" x14ac:dyDescent="0.3">
      <c r="A207" s="26"/>
      <c r="B207" s="26"/>
      <c r="C207" s="26"/>
      <c r="D207" s="26"/>
      <c r="E207" s="26"/>
      <c r="F207" s="26"/>
      <c r="G207" s="26"/>
      <c r="H207" s="26"/>
      <c r="I207" s="27"/>
      <c r="J207" s="27"/>
      <c r="K207" s="27"/>
      <c r="L207" s="28"/>
      <c r="M207" s="28"/>
      <c r="N207" s="26"/>
      <c r="AT207" s="29"/>
      <c r="AU207" s="29"/>
    </row>
    <row r="208" spans="1:47" x14ac:dyDescent="0.3">
      <c r="A208" s="26"/>
      <c r="B208" s="26"/>
      <c r="C208" s="26"/>
      <c r="D208" s="26"/>
      <c r="E208" s="26"/>
      <c r="F208" s="26"/>
      <c r="G208" s="26"/>
      <c r="H208" s="26"/>
      <c r="I208" s="27"/>
      <c r="J208" s="27"/>
      <c r="K208" s="27"/>
      <c r="L208" s="28"/>
      <c r="M208" s="28"/>
      <c r="N208" s="26"/>
      <c r="AT208" s="29"/>
      <c r="AU208" s="29"/>
    </row>
    <row r="209" spans="1:47" x14ac:dyDescent="0.3">
      <c r="A209" s="26"/>
      <c r="B209" s="26"/>
      <c r="C209" s="26"/>
      <c r="D209" s="26"/>
      <c r="E209" s="26"/>
      <c r="F209" s="26"/>
      <c r="G209" s="26"/>
      <c r="H209" s="26"/>
      <c r="I209" s="27"/>
      <c r="J209" s="27"/>
      <c r="K209" s="27"/>
      <c r="L209" s="28"/>
      <c r="M209" s="28"/>
      <c r="N209" s="26"/>
      <c r="AT209" s="29"/>
      <c r="AU209" s="29"/>
    </row>
    <row r="210" spans="1:47" x14ac:dyDescent="0.3">
      <c r="A210" s="26"/>
      <c r="B210" s="26"/>
      <c r="C210" s="26"/>
      <c r="D210" s="26"/>
      <c r="E210" s="26"/>
      <c r="F210" s="26"/>
      <c r="G210" s="26"/>
      <c r="H210" s="26"/>
      <c r="L210" s="28"/>
      <c r="M210" s="28"/>
      <c r="AT210" s="29"/>
      <c r="AU210" s="29"/>
    </row>
    <row r="211" spans="1:47" x14ac:dyDescent="0.3">
      <c r="A211" s="26"/>
      <c r="B211" s="26"/>
      <c r="C211" s="26"/>
      <c r="D211" s="26"/>
      <c r="E211" s="26"/>
      <c r="F211" s="26"/>
      <c r="G211" s="26"/>
      <c r="H211" s="26"/>
      <c r="L211" s="28"/>
      <c r="M211" s="28"/>
    </row>
    <row r="212" spans="1:47" x14ac:dyDescent="0.3">
      <c r="A212" s="26"/>
      <c r="B212" s="26"/>
      <c r="C212" s="26"/>
      <c r="D212" s="26"/>
      <c r="E212" s="26"/>
      <c r="F212" s="26"/>
      <c r="G212" s="26"/>
      <c r="H212" s="26"/>
      <c r="M212" s="28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29"/>
      <c r="AU212" s="29"/>
    </row>
    <row r="213" spans="1:47" x14ac:dyDescent="0.3">
      <c r="A213" s="26"/>
      <c r="B213" s="26"/>
      <c r="C213" s="26"/>
      <c r="D213" s="26"/>
      <c r="E213" s="26"/>
      <c r="F213" s="26"/>
      <c r="G213" s="26"/>
      <c r="H213" s="26"/>
      <c r="M213" s="28"/>
    </row>
    <row r="214" spans="1:47" x14ac:dyDescent="0.3">
      <c r="A214" s="26"/>
      <c r="B214" s="26"/>
      <c r="C214" s="26"/>
      <c r="D214" s="26"/>
      <c r="E214" s="26"/>
      <c r="F214" s="26"/>
      <c r="G214" s="26"/>
      <c r="H214" s="26"/>
      <c r="M214" s="28"/>
    </row>
    <row r="215" spans="1:47" x14ac:dyDescent="0.3">
      <c r="A215" s="26"/>
      <c r="B215" s="26"/>
      <c r="C215" s="26"/>
      <c r="D215" s="26"/>
      <c r="E215" s="26"/>
      <c r="F215" s="26"/>
      <c r="G215" s="26"/>
      <c r="H215" s="26"/>
      <c r="M215" s="28"/>
    </row>
    <row r="216" spans="1:47" x14ac:dyDescent="0.3">
      <c r="A216" s="26"/>
      <c r="B216" s="26"/>
      <c r="C216" s="26"/>
      <c r="D216" s="26"/>
      <c r="E216" s="26"/>
      <c r="F216" s="26"/>
      <c r="G216" s="26"/>
      <c r="H216" s="26"/>
      <c r="L216" s="29"/>
      <c r="M216" s="28"/>
    </row>
    <row r="217" spans="1:47" x14ac:dyDescent="0.3">
      <c r="A217" s="26"/>
      <c r="B217" s="26"/>
      <c r="C217" s="26"/>
      <c r="D217" s="26"/>
      <c r="E217" s="26"/>
      <c r="F217" s="26"/>
      <c r="G217" s="26"/>
      <c r="H217" s="26"/>
    </row>
    <row r="218" spans="1:47" x14ac:dyDescent="0.3">
      <c r="A218" s="26"/>
      <c r="B218" s="26"/>
      <c r="C218" s="26"/>
      <c r="D218" s="26"/>
      <c r="E218" s="26"/>
      <c r="F218" s="26"/>
      <c r="G218" s="26"/>
      <c r="H218" s="26"/>
    </row>
    <row r="219" spans="1:47" x14ac:dyDescent="0.3">
      <c r="A219" s="26"/>
      <c r="B219" s="26"/>
      <c r="C219" s="26"/>
      <c r="D219" s="26"/>
      <c r="E219" s="26"/>
      <c r="F219" s="26"/>
      <c r="G219" s="26"/>
      <c r="H219" s="26"/>
    </row>
    <row r="223" spans="1:47" x14ac:dyDescent="0.3">
      <c r="I223" s="29"/>
      <c r="J223" s="29"/>
      <c r="K223" s="29"/>
    </row>
    <row r="1048554" spans="14:14" x14ac:dyDescent="0.3">
      <c r="N1048554" s="65"/>
    </row>
  </sheetData>
  <mergeCells count="37">
    <mergeCell ref="A40:H40"/>
    <mergeCell ref="A37:N37"/>
    <mergeCell ref="D38:H38"/>
    <mergeCell ref="D39:H39"/>
    <mergeCell ref="L54:M54"/>
    <mergeCell ref="L55:M55"/>
    <mergeCell ref="L56:M56"/>
    <mergeCell ref="L57:M57"/>
    <mergeCell ref="A41:N41"/>
    <mergeCell ref="L53:M53"/>
    <mergeCell ref="A42:F42"/>
    <mergeCell ref="L42:N42"/>
    <mergeCell ref="L43:M43"/>
    <mergeCell ref="L44:M44"/>
    <mergeCell ref="L45:N46"/>
    <mergeCell ref="L47:N47"/>
    <mergeCell ref="L48:M48"/>
    <mergeCell ref="L49:M49"/>
    <mergeCell ref="L50:M50"/>
    <mergeCell ref="L51:M51"/>
    <mergeCell ref="L52:M52"/>
    <mergeCell ref="L67:N67"/>
    <mergeCell ref="L68:M68"/>
    <mergeCell ref="L60:M60"/>
    <mergeCell ref="L58:M58"/>
    <mergeCell ref="L61:M61"/>
    <mergeCell ref="L62:M62"/>
    <mergeCell ref="L63:M63"/>
    <mergeCell ref="L64:M64"/>
    <mergeCell ref="L65:N65"/>
    <mergeCell ref="L59:M59"/>
    <mergeCell ref="L66:N66"/>
    <mergeCell ref="A1:N1"/>
    <mergeCell ref="A2:N2"/>
    <mergeCell ref="A6:B6"/>
    <mergeCell ref="A7:N7"/>
    <mergeCell ref="A36:B36"/>
  </mergeCells>
  <pageMargins left="0" right="0" top="0" bottom="0" header="0.31496062992125984" footer="0.31496062992125984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33AD0-B6C4-4A1A-A0B9-3E6522002CC2}">
  <sheetPr>
    <pageSetUpPr fitToPage="1"/>
  </sheetPr>
  <dimension ref="A1:BF1048553"/>
  <sheetViews>
    <sheetView topLeftCell="A19" zoomScale="60" zoomScaleNormal="60" workbookViewId="0">
      <selection activeCell="A28" sqref="A28:XFD28"/>
    </sheetView>
  </sheetViews>
  <sheetFormatPr defaultColWidth="9.109375" defaultRowHeight="13.8" x14ac:dyDescent="0.3"/>
  <cols>
    <col min="1" max="1" width="25.88671875" style="29" customWidth="1"/>
    <col min="2" max="2" width="12" style="29" bestFit="1" customWidth="1"/>
    <col min="3" max="3" width="18" style="29" bestFit="1" customWidth="1"/>
    <col min="4" max="4" width="19" style="29" customWidth="1"/>
    <col min="5" max="5" width="18.44140625" style="29" customWidth="1"/>
    <col min="6" max="6" width="17.6640625" style="29" bestFit="1" customWidth="1"/>
    <col min="7" max="7" width="17" style="29" customWidth="1"/>
    <col min="8" max="8" width="19.5546875" style="29" customWidth="1"/>
    <col min="9" max="9" width="19.109375" style="31" bestFit="1" customWidth="1"/>
    <col min="10" max="10" width="17.109375" style="31" bestFit="1" customWidth="1"/>
    <col min="11" max="11" width="18" style="31" bestFit="1" customWidth="1"/>
    <col min="12" max="12" width="103.44140625" style="31" bestFit="1" customWidth="1"/>
    <col min="13" max="13" width="9.5546875" style="31" customWidth="1"/>
    <col min="14" max="14" width="17.5546875" style="29" bestFit="1" customWidth="1"/>
    <col min="15" max="15" width="10.5546875" style="22" bestFit="1" customWidth="1"/>
    <col min="16" max="45" width="9.109375" style="22"/>
    <col min="46" max="47" width="9.109375" style="32"/>
    <col min="48" max="16384" width="9.109375" style="29"/>
  </cols>
  <sheetData>
    <row r="1" spans="1:47" s="10" customFormat="1" ht="29.25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47" s="52" customFormat="1" ht="29.25" customHeight="1" x14ac:dyDescent="0.3">
      <c r="A2" s="521" t="s">
        <v>180</v>
      </c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1"/>
      <c r="AH2" s="11"/>
      <c r="AI2" s="11"/>
      <c r="AJ2" s="11"/>
      <c r="AK2" s="11"/>
      <c r="AL2" s="11"/>
      <c r="AM2" s="11"/>
    </row>
    <row r="3" spans="1:47" s="11" customFormat="1" ht="27.6" x14ac:dyDescent="0.3">
      <c r="A3" s="83" t="s">
        <v>3</v>
      </c>
      <c r="B3" s="83" t="s">
        <v>0</v>
      </c>
      <c r="C3" s="84" t="s">
        <v>1</v>
      </c>
      <c r="D3" s="84" t="s">
        <v>68</v>
      </c>
      <c r="E3" s="84" t="s">
        <v>69</v>
      </c>
      <c r="F3" s="85" t="s">
        <v>2</v>
      </c>
      <c r="G3" s="84" t="s">
        <v>6</v>
      </c>
      <c r="H3" s="84" t="s">
        <v>7</v>
      </c>
      <c r="I3" s="84" t="s">
        <v>4</v>
      </c>
      <c r="J3" s="84" t="s">
        <v>5</v>
      </c>
      <c r="K3" s="84" t="s">
        <v>70</v>
      </c>
      <c r="L3" s="83" t="s">
        <v>59</v>
      </c>
      <c r="M3" s="86" t="s">
        <v>8</v>
      </c>
      <c r="N3" s="86" t="s">
        <v>10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</row>
    <row r="4" spans="1:47" s="15" customFormat="1" ht="14.25" customHeight="1" x14ac:dyDescent="0.3">
      <c r="A4" s="88" t="s">
        <v>132</v>
      </c>
      <c r="B4" s="90">
        <v>1</v>
      </c>
      <c r="C4" s="2">
        <v>0</v>
      </c>
      <c r="D4" s="2">
        <f>C4*10%</f>
        <v>0</v>
      </c>
      <c r="E4" s="2">
        <f>C4-D4</f>
        <v>0</v>
      </c>
      <c r="F4" s="5">
        <v>0</v>
      </c>
      <c r="G4" s="2">
        <v>0</v>
      </c>
      <c r="H4" s="2">
        <v>0</v>
      </c>
      <c r="I4" s="109">
        <f>SUM(E4:H4)</f>
        <v>0</v>
      </c>
      <c r="J4" s="2">
        <f>7%*I4</f>
        <v>0</v>
      </c>
      <c r="K4" s="2">
        <f>I4-J4</f>
        <v>0</v>
      </c>
      <c r="L4" s="90" t="s">
        <v>179</v>
      </c>
      <c r="M4" s="3">
        <v>10</v>
      </c>
      <c r="N4" s="3">
        <v>11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</row>
    <row r="5" spans="1:47" s="50" customFormat="1" x14ac:dyDescent="0.3">
      <c r="A5" s="90"/>
      <c r="B5" s="4">
        <v>2</v>
      </c>
      <c r="C5" s="5"/>
      <c r="D5" s="5"/>
      <c r="E5" s="5"/>
      <c r="F5" s="5"/>
      <c r="G5" s="5"/>
      <c r="H5" s="5"/>
      <c r="I5" s="109"/>
      <c r="J5" s="2">
        <f t="shared" ref="J5:J12" si="0">7%*I5</f>
        <v>0</v>
      </c>
      <c r="K5" s="2"/>
      <c r="L5" s="90"/>
      <c r="M5" s="3"/>
      <c r="N5" s="3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16"/>
      <c r="AK5" s="17"/>
      <c r="AL5" s="17"/>
      <c r="AM5" s="17"/>
      <c r="AN5" s="17"/>
      <c r="AO5" s="96"/>
      <c r="AP5" s="96"/>
      <c r="AQ5" s="96"/>
      <c r="AR5" s="96"/>
      <c r="AS5" s="96"/>
      <c r="AT5" s="96"/>
      <c r="AU5" s="96"/>
    </row>
    <row r="6" spans="1:47" s="73" customFormat="1" x14ac:dyDescent="0.3">
      <c r="A6" s="90"/>
      <c r="B6" s="4">
        <v>3</v>
      </c>
      <c r="C6" s="5"/>
      <c r="D6" s="5"/>
      <c r="E6" s="5"/>
      <c r="F6" s="5"/>
      <c r="G6" s="5"/>
      <c r="H6" s="5"/>
      <c r="I6" s="109"/>
      <c r="J6" s="2">
        <f t="shared" si="0"/>
        <v>0</v>
      </c>
      <c r="K6" s="2"/>
      <c r="L6" s="90"/>
      <c r="M6" s="3"/>
      <c r="N6" s="3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6"/>
      <c r="AP6" s="6"/>
      <c r="AQ6" s="6"/>
      <c r="AR6" s="6"/>
      <c r="AS6" s="6"/>
      <c r="AT6" s="6"/>
      <c r="AU6" s="6"/>
    </row>
    <row r="7" spans="1:47" s="51" customFormat="1" x14ac:dyDescent="0.3">
      <c r="A7" s="90"/>
      <c r="B7" s="90">
        <v>4</v>
      </c>
      <c r="C7" s="1"/>
      <c r="D7" s="1"/>
      <c r="E7" s="1"/>
      <c r="F7" s="2"/>
      <c r="G7" s="1"/>
      <c r="H7" s="1"/>
      <c r="I7" s="111"/>
      <c r="J7" s="2">
        <f t="shared" si="0"/>
        <v>0</v>
      </c>
      <c r="K7" s="2"/>
      <c r="L7" s="90"/>
      <c r="M7" s="3"/>
      <c r="N7" s="67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15"/>
      <c r="AP7" s="15"/>
      <c r="AQ7" s="15"/>
      <c r="AR7" s="15"/>
      <c r="AS7" s="15"/>
      <c r="AT7" s="15"/>
      <c r="AU7" s="15"/>
    </row>
    <row r="8" spans="1:47" s="51" customFormat="1" ht="15.75" customHeight="1" x14ac:dyDescent="0.3">
      <c r="A8" s="90"/>
      <c r="B8" s="90">
        <v>5</v>
      </c>
      <c r="C8" s="2"/>
      <c r="D8" s="2"/>
      <c r="E8" s="2"/>
      <c r="F8" s="2"/>
      <c r="G8" s="2"/>
      <c r="H8" s="2"/>
      <c r="I8" s="109"/>
      <c r="J8" s="2">
        <f t="shared" si="0"/>
        <v>0</v>
      </c>
      <c r="K8" s="2"/>
      <c r="L8" s="90"/>
      <c r="M8" s="3"/>
      <c r="N8" s="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15"/>
      <c r="AP8" s="15"/>
      <c r="AQ8" s="15"/>
      <c r="AR8" s="15"/>
      <c r="AS8" s="15"/>
      <c r="AT8" s="15"/>
      <c r="AU8" s="15"/>
    </row>
    <row r="9" spans="1:47" s="52" customFormat="1" x14ac:dyDescent="0.3">
      <c r="A9" s="90"/>
      <c r="B9" s="90">
        <v>6</v>
      </c>
      <c r="C9" s="5"/>
      <c r="D9" s="5"/>
      <c r="E9" s="5"/>
      <c r="F9" s="2"/>
      <c r="G9" s="2"/>
      <c r="H9" s="2"/>
      <c r="I9" s="109"/>
      <c r="J9" s="2">
        <f t="shared" si="0"/>
        <v>0</v>
      </c>
      <c r="K9" s="2"/>
      <c r="L9" s="90"/>
      <c r="M9" s="3"/>
      <c r="N9" s="3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1"/>
      <c r="AP9" s="11"/>
      <c r="AQ9" s="11"/>
      <c r="AR9" s="11"/>
      <c r="AS9" s="11"/>
      <c r="AT9" s="11"/>
      <c r="AU9" s="11"/>
    </row>
    <row r="10" spans="1:47" s="51" customFormat="1" ht="14.25" customHeight="1" x14ac:dyDescent="0.3">
      <c r="A10" s="90"/>
      <c r="B10" s="90">
        <v>7</v>
      </c>
      <c r="C10" s="2"/>
      <c r="D10" s="2"/>
      <c r="E10" s="5"/>
      <c r="F10" s="2"/>
      <c r="G10" s="2"/>
      <c r="H10" s="2"/>
      <c r="I10" s="109"/>
      <c r="J10" s="2">
        <f t="shared" si="0"/>
        <v>0</v>
      </c>
      <c r="K10" s="2"/>
      <c r="L10" s="90"/>
      <c r="M10" s="3"/>
      <c r="N10" s="3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15"/>
      <c r="AP10" s="15"/>
      <c r="AQ10" s="15"/>
      <c r="AR10" s="15"/>
      <c r="AS10" s="15"/>
      <c r="AT10" s="15"/>
      <c r="AU10" s="15"/>
    </row>
    <row r="11" spans="1:47" s="51" customFormat="1" x14ac:dyDescent="0.3">
      <c r="A11" s="90"/>
      <c r="B11" s="90">
        <v>8</v>
      </c>
      <c r="C11" s="2"/>
      <c r="D11" s="2"/>
      <c r="E11" s="5"/>
      <c r="F11" s="2"/>
      <c r="G11" s="2"/>
      <c r="H11" s="2"/>
      <c r="I11" s="109"/>
      <c r="J11" s="2">
        <f t="shared" si="0"/>
        <v>0</v>
      </c>
      <c r="K11" s="2"/>
      <c r="L11" s="90"/>
      <c r="M11" s="3"/>
      <c r="N11" s="3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15"/>
      <c r="AP11" s="15"/>
      <c r="AQ11" s="15"/>
      <c r="AR11" s="15"/>
      <c r="AS11" s="15"/>
      <c r="AT11" s="15"/>
      <c r="AU11" s="15"/>
    </row>
    <row r="12" spans="1:47" s="51" customFormat="1" ht="15.75" customHeight="1" x14ac:dyDescent="0.3">
      <c r="A12" s="90"/>
      <c r="B12" s="90">
        <v>9</v>
      </c>
      <c r="C12" s="2"/>
      <c r="D12" s="2"/>
      <c r="E12" s="5"/>
      <c r="F12" s="2"/>
      <c r="G12" s="2"/>
      <c r="H12" s="2"/>
      <c r="I12" s="109"/>
      <c r="J12" s="2">
        <f t="shared" si="0"/>
        <v>0</v>
      </c>
      <c r="K12" s="2"/>
      <c r="L12" s="90"/>
      <c r="M12" s="125"/>
      <c r="N12" s="3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15"/>
      <c r="AP12" s="15"/>
      <c r="AQ12" s="15"/>
      <c r="AR12" s="15"/>
      <c r="AS12" s="15"/>
      <c r="AT12" s="15"/>
      <c r="AU12" s="15"/>
    </row>
    <row r="13" spans="1:47" s="32" customFormat="1" x14ac:dyDescent="0.3">
      <c r="A13" s="67" t="s">
        <v>92</v>
      </c>
      <c r="B13" s="67">
        <v>10</v>
      </c>
      <c r="C13" s="2">
        <v>600</v>
      </c>
      <c r="D13" s="2">
        <f>10%*C13</f>
        <v>60</v>
      </c>
      <c r="E13" s="5">
        <f>C13-D13</f>
        <v>540</v>
      </c>
      <c r="F13" s="2">
        <v>0</v>
      </c>
      <c r="G13" s="2">
        <v>0</v>
      </c>
      <c r="H13" s="2">
        <f>D60</f>
        <v>17.824999999999999</v>
      </c>
      <c r="I13" s="109">
        <f>SUM(E13:H13)</f>
        <v>557.82500000000005</v>
      </c>
      <c r="J13" s="2">
        <f>7%*I13</f>
        <v>39.047750000000008</v>
      </c>
      <c r="K13" s="2">
        <f>I13-J13</f>
        <v>518.77725000000009</v>
      </c>
      <c r="L13" s="47" t="s">
        <v>196</v>
      </c>
      <c r="M13" s="3">
        <v>10</v>
      </c>
      <c r="N13" s="67">
        <v>11</v>
      </c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69"/>
      <c r="AU13" s="69"/>
    </row>
    <row r="14" spans="1:47" s="32" customFormat="1" x14ac:dyDescent="0.3">
      <c r="A14" s="67"/>
      <c r="B14" s="67">
        <v>11</v>
      </c>
      <c r="C14" s="2"/>
      <c r="D14" s="2"/>
      <c r="E14" s="5"/>
      <c r="F14" s="2"/>
      <c r="G14" s="2"/>
      <c r="H14" s="2"/>
      <c r="I14" s="109"/>
      <c r="J14" s="2">
        <f t="shared" ref="J14:J30" si="1">7%*I14</f>
        <v>0</v>
      </c>
      <c r="K14" s="2"/>
      <c r="L14" s="47"/>
      <c r="M14" s="3"/>
      <c r="N14" s="67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69"/>
      <c r="AU14" s="69"/>
    </row>
    <row r="15" spans="1:47" s="51" customFormat="1" x14ac:dyDescent="0.3">
      <c r="A15" s="90"/>
      <c r="B15" s="90">
        <v>12</v>
      </c>
      <c r="C15" s="2"/>
      <c r="D15" s="2"/>
      <c r="E15" s="5"/>
      <c r="F15" s="5"/>
      <c r="G15" s="5"/>
      <c r="H15" s="5"/>
      <c r="I15" s="109"/>
      <c r="J15" s="2">
        <f t="shared" si="1"/>
        <v>0</v>
      </c>
      <c r="K15" s="2"/>
      <c r="L15" s="90"/>
      <c r="M15" s="3"/>
      <c r="N15" s="3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15"/>
      <c r="AP15" s="15"/>
      <c r="AQ15" s="15"/>
      <c r="AR15" s="15"/>
      <c r="AS15" s="15"/>
      <c r="AT15" s="15"/>
      <c r="AU15" s="15"/>
    </row>
    <row r="16" spans="1:47" s="32" customFormat="1" x14ac:dyDescent="0.3">
      <c r="A16" s="67"/>
      <c r="B16" s="67">
        <v>13</v>
      </c>
      <c r="C16" s="2"/>
      <c r="D16" s="2"/>
      <c r="E16" s="5"/>
      <c r="F16" s="2"/>
      <c r="G16" s="2"/>
      <c r="H16" s="2"/>
      <c r="I16" s="109"/>
      <c r="J16" s="2">
        <f t="shared" si="1"/>
        <v>0</v>
      </c>
      <c r="K16" s="2"/>
      <c r="L16" s="90"/>
      <c r="M16" s="3"/>
      <c r="N16" s="67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69"/>
      <c r="AU16" s="69"/>
    </row>
    <row r="17" spans="1:47" s="32" customFormat="1" x14ac:dyDescent="0.3">
      <c r="A17" s="67"/>
      <c r="B17" s="67">
        <v>14</v>
      </c>
      <c r="C17" s="2"/>
      <c r="D17" s="2"/>
      <c r="E17" s="5"/>
      <c r="F17" s="2"/>
      <c r="G17" s="2"/>
      <c r="H17" s="2"/>
      <c r="I17" s="109"/>
      <c r="J17" s="2">
        <f t="shared" si="1"/>
        <v>0</v>
      </c>
      <c r="K17" s="2"/>
      <c r="L17" s="90"/>
      <c r="M17" s="3"/>
      <c r="N17" s="67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69"/>
      <c r="AU17" s="69"/>
    </row>
    <row r="18" spans="1:47" s="32" customFormat="1" x14ac:dyDescent="0.3">
      <c r="A18" s="67" t="s">
        <v>141</v>
      </c>
      <c r="B18" s="67">
        <v>15</v>
      </c>
      <c r="C18" s="2">
        <v>730</v>
      </c>
      <c r="D18" s="2">
        <v>60</v>
      </c>
      <c r="E18" s="5">
        <f>(C18-D18)</f>
        <v>670</v>
      </c>
      <c r="F18" s="2">
        <f>50</f>
        <v>50</v>
      </c>
      <c r="G18" s="2">
        <v>0</v>
      </c>
      <c r="H18" s="2">
        <f>D70</f>
        <v>19.989999999999998</v>
      </c>
      <c r="I18" s="109">
        <f>SUM(E18:H18)</f>
        <v>739.99</v>
      </c>
      <c r="J18" s="2">
        <f t="shared" si="1"/>
        <v>51.799300000000002</v>
      </c>
      <c r="K18" s="2">
        <f>I18-J18</f>
        <v>688.19069999999999</v>
      </c>
      <c r="L18" s="90" t="s">
        <v>214</v>
      </c>
      <c r="M18" s="3">
        <v>10</v>
      </c>
      <c r="N18" s="67">
        <v>11</v>
      </c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69"/>
      <c r="AU18" s="69"/>
    </row>
    <row r="19" spans="1:47" s="52" customFormat="1" x14ac:dyDescent="0.3">
      <c r="A19" s="3" t="s">
        <v>100</v>
      </c>
      <c r="B19" s="3">
        <v>16</v>
      </c>
      <c r="C19" s="2">
        <f>'GERAL 2021'!G18</f>
        <v>640</v>
      </c>
      <c r="D19" s="2">
        <f>10%*C19</f>
        <v>64</v>
      </c>
      <c r="E19" s="5">
        <f>C19-D19</f>
        <v>576</v>
      </c>
      <c r="F19" s="2">
        <f>60</f>
        <v>60</v>
      </c>
      <c r="G19" s="2">
        <v>0</v>
      </c>
      <c r="H19" s="2">
        <f>D72</f>
        <v>19.811666666666667</v>
      </c>
      <c r="I19" s="109">
        <f>SUM(E19:H19)</f>
        <v>655.81166666666672</v>
      </c>
      <c r="J19" s="2">
        <f t="shared" si="1"/>
        <v>45.906816666666678</v>
      </c>
      <c r="K19" s="2">
        <f>I19-J19</f>
        <v>609.90485000000001</v>
      </c>
      <c r="L19" s="90" t="s">
        <v>162</v>
      </c>
      <c r="M19" s="3">
        <v>10</v>
      </c>
      <c r="N19" s="3">
        <v>11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1"/>
      <c r="AP19" s="11"/>
      <c r="AQ19" s="11"/>
      <c r="AR19" s="11"/>
      <c r="AS19" s="11"/>
      <c r="AT19" s="11"/>
      <c r="AU19" s="11"/>
    </row>
    <row r="20" spans="1:47" s="52" customFormat="1" x14ac:dyDescent="0.3">
      <c r="A20" s="88" t="s">
        <v>119</v>
      </c>
      <c r="B20" s="88">
        <v>17</v>
      </c>
      <c r="C20" s="2">
        <f>'GERAL 2021'!G19</f>
        <v>640</v>
      </c>
      <c r="D20" s="2">
        <f>10%*C20</f>
        <v>64</v>
      </c>
      <c r="E20" s="5">
        <f>(C20-D20)</f>
        <v>576</v>
      </c>
      <c r="F20" s="2">
        <v>0</v>
      </c>
      <c r="G20" s="2">
        <v>0</v>
      </c>
      <c r="H20" s="2">
        <f>D74</f>
        <v>19.811666666666667</v>
      </c>
      <c r="I20" s="109">
        <f>SUM(E20:H20)</f>
        <v>595.81166666666672</v>
      </c>
      <c r="J20" s="2">
        <f t="shared" si="1"/>
        <v>41.706816666666676</v>
      </c>
      <c r="K20" s="2">
        <f>I20-J20</f>
        <v>554.10485000000006</v>
      </c>
      <c r="L20" s="47" t="s">
        <v>140</v>
      </c>
      <c r="M20" s="3">
        <v>10</v>
      </c>
      <c r="N20" s="3">
        <v>11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1"/>
      <c r="AP20" s="11"/>
      <c r="AQ20" s="11"/>
      <c r="AR20" s="11"/>
      <c r="AS20" s="11"/>
      <c r="AT20" s="11"/>
      <c r="AU20" s="11"/>
    </row>
    <row r="21" spans="1:47" s="52" customFormat="1" ht="14.25" customHeight="1" x14ac:dyDescent="0.3">
      <c r="A21" s="88" t="s">
        <v>103</v>
      </c>
      <c r="B21" s="90">
        <v>18</v>
      </c>
      <c r="C21" s="2">
        <f>'GERAL 2021'!G20</f>
        <v>650</v>
      </c>
      <c r="D21" s="2">
        <f>10%*C21</f>
        <v>65</v>
      </c>
      <c r="E21" s="5">
        <f>C21-D21</f>
        <v>585</v>
      </c>
      <c r="F21" s="2">
        <f>30</f>
        <v>30</v>
      </c>
      <c r="G21" s="2">
        <v>0</v>
      </c>
      <c r="H21" s="2">
        <f>D76</f>
        <v>19.836666666666666</v>
      </c>
      <c r="I21" s="109">
        <f>SUM(E21:H21)</f>
        <v>634.8366666666667</v>
      </c>
      <c r="J21" s="2">
        <f t="shared" si="1"/>
        <v>44.438566666666674</v>
      </c>
      <c r="K21" s="2">
        <f>I21-J21</f>
        <v>590.3981</v>
      </c>
      <c r="L21" s="90" t="s">
        <v>162</v>
      </c>
      <c r="M21" s="3">
        <v>10</v>
      </c>
      <c r="N21" s="3">
        <v>11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1"/>
      <c r="AP21" s="11"/>
      <c r="AQ21" s="11"/>
      <c r="AR21" s="11"/>
      <c r="AS21" s="11"/>
      <c r="AT21" s="11"/>
      <c r="AU21" s="11"/>
    </row>
    <row r="22" spans="1:47" s="18" customFormat="1" x14ac:dyDescent="0.3">
      <c r="A22" s="90" t="s">
        <v>142</v>
      </c>
      <c r="B22" s="90">
        <v>19</v>
      </c>
      <c r="C22" s="2">
        <v>600</v>
      </c>
      <c r="D22" s="2">
        <f>10%*C22</f>
        <v>60</v>
      </c>
      <c r="E22" s="5">
        <f>(C22-D22)</f>
        <v>540</v>
      </c>
      <c r="F22" s="2">
        <f>50</f>
        <v>50</v>
      </c>
      <c r="G22" s="2">
        <v>0</v>
      </c>
      <c r="H22" s="2">
        <f>D78</f>
        <v>19.738333333333333</v>
      </c>
      <c r="I22" s="109">
        <f>SUM(E22:H22)</f>
        <v>609.73833333333334</v>
      </c>
      <c r="J22" s="2">
        <f t="shared" si="1"/>
        <v>42.681683333333339</v>
      </c>
      <c r="K22" s="2">
        <f>I22-J22</f>
        <v>567.05664999999999</v>
      </c>
      <c r="L22" s="90" t="s">
        <v>118</v>
      </c>
      <c r="M22" s="3">
        <v>10</v>
      </c>
      <c r="N22" s="3">
        <v>11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1"/>
      <c r="AP22" s="11"/>
      <c r="AQ22" s="11"/>
      <c r="AR22" s="11"/>
      <c r="AS22" s="11"/>
      <c r="AT22" s="11"/>
      <c r="AU22" s="11"/>
    </row>
    <row r="23" spans="1:47" s="52" customFormat="1" x14ac:dyDescent="0.3">
      <c r="A23" s="88"/>
      <c r="B23" s="90">
        <v>20</v>
      </c>
      <c r="C23" s="2"/>
      <c r="D23" s="2"/>
      <c r="E23" s="5"/>
      <c r="F23" s="2"/>
      <c r="G23" s="2"/>
      <c r="H23" s="2"/>
      <c r="I23" s="109"/>
      <c r="J23" s="2">
        <f t="shared" si="1"/>
        <v>0</v>
      </c>
      <c r="K23" s="2"/>
      <c r="L23" s="90"/>
      <c r="M23" s="125"/>
      <c r="N23" s="3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1"/>
      <c r="AP23" s="11"/>
      <c r="AQ23" s="11"/>
      <c r="AR23" s="11"/>
      <c r="AS23" s="11"/>
      <c r="AT23" s="11"/>
      <c r="AU23" s="11"/>
    </row>
    <row r="24" spans="1:47" s="52" customFormat="1" ht="15" customHeight="1" x14ac:dyDescent="0.3">
      <c r="A24" s="88"/>
      <c r="B24" s="90">
        <v>21</v>
      </c>
      <c r="C24" s="2"/>
      <c r="D24" s="2"/>
      <c r="E24" s="5"/>
      <c r="F24" s="2"/>
      <c r="G24" s="2"/>
      <c r="H24" s="2"/>
      <c r="I24" s="109"/>
      <c r="J24" s="2">
        <f t="shared" si="1"/>
        <v>0</v>
      </c>
      <c r="K24" s="2"/>
      <c r="L24" s="90"/>
      <c r="M24" s="125"/>
      <c r="N24" s="3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1"/>
      <c r="AP24" s="11"/>
      <c r="AQ24" s="11"/>
      <c r="AR24" s="11"/>
      <c r="AS24" s="11"/>
      <c r="AT24" s="11"/>
      <c r="AU24" s="11"/>
    </row>
    <row r="25" spans="1:47" s="52" customFormat="1" ht="15.75" customHeight="1" x14ac:dyDescent="0.3">
      <c r="A25" s="88"/>
      <c r="B25" s="90">
        <v>22</v>
      </c>
      <c r="C25" s="2"/>
      <c r="D25" s="2"/>
      <c r="E25" s="5"/>
      <c r="F25" s="2"/>
      <c r="G25" s="2"/>
      <c r="H25" s="2"/>
      <c r="I25" s="109"/>
      <c r="J25" s="2">
        <f t="shared" si="1"/>
        <v>0</v>
      </c>
      <c r="K25" s="2"/>
      <c r="L25" s="90"/>
      <c r="M25" s="125"/>
      <c r="N25" s="3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1"/>
      <c r="AP25" s="11"/>
      <c r="AQ25" s="11"/>
      <c r="AR25" s="11"/>
      <c r="AS25" s="11"/>
      <c r="AT25" s="11"/>
      <c r="AU25" s="11"/>
    </row>
    <row r="26" spans="1:47" s="52" customFormat="1" x14ac:dyDescent="0.3">
      <c r="A26" s="88"/>
      <c r="B26" s="90">
        <v>23</v>
      </c>
      <c r="C26" s="2"/>
      <c r="D26" s="2"/>
      <c r="E26" s="5"/>
      <c r="F26" s="2"/>
      <c r="G26" s="2"/>
      <c r="H26" s="2"/>
      <c r="I26" s="109"/>
      <c r="J26" s="2">
        <f t="shared" si="1"/>
        <v>0</v>
      </c>
      <c r="K26" s="2"/>
      <c r="L26" s="90"/>
      <c r="M26" s="3"/>
      <c r="N26" s="3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1"/>
      <c r="AP26" s="11"/>
      <c r="AQ26" s="11"/>
      <c r="AR26" s="11"/>
      <c r="AS26" s="11"/>
      <c r="AT26" s="11"/>
      <c r="AU26" s="11"/>
    </row>
    <row r="27" spans="1:47" s="52" customFormat="1" x14ac:dyDescent="0.3">
      <c r="A27" s="88"/>
      <c r="B27" s="90">
        <v>24</v>
      </c>
      <c r="C27" s="2"/>
      <c r="D27" s="2"/>
      <c r="E27" s="5"/>
      <c r="F27" s="2"/>
      <c r="G27" s="2"/>
      <c r="H27" s="2"/>
      <c r="I27" s="109"/>
      <c r="J27" s="2">
        <f t="shared" si="1"/>
        <v>0</v>
      </c>
      <c r="K27" s="2"/>
      <c r="L27" s="90"/>
      <c r="M27" s="3"/>
      <c r="N27" s="3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1"/>
      <c r="AP27" s="11"/>
      <c r="AQ27" s="11"/>
      <c r="AR27" s="11"/>
      <c r="AS27" s="11"/>
      <c r="AT27" s="11"/>
      <c r="AU27" s="11"/>
    </row>
    <row r="28" spans="1:47" s="52" customFormat="1" x14ac:dyDescent="0.3">
      <c r="A28" s="11" t="s">
        <v>87</v>
      </c>
      <c r="B28" s="90">
        <v>25</v>
      </c>
      <c r="C28" s="2">
        <f>704</f>
        <v>704</v>
      </c>
      <c r="D28" s="2">
        <f>10%*C28</f>
        <v>70.400000000000006</v>
      </c>
      <c r="E28" s="5">
        <f>C28-D28</f>
        <v>633.6</v>
      </c>
      <c r="F28" s="2">
        <f>30</f>
        <v>30</v>
      </c>
      <c r="G28" s="2">
        <v>0</v>
      </c>
      <c r="H28" s="2">
        <v>19.989999999999998</v>
      </c>
      <c r="I28" s="109">
        <f>SUM(E28:H28)</f>
        <v>683.59</v>
      </c>
      <c r="J28" s="2">
        <f t="shared" si="1"/>
        <v>47.851300000000009</v>
      </c>
      <c r="K28" s="2">
        <f>I28-J28</f>
        <v>635.73869999999999</v>
      </c>
      <c r="L28" s="71" t="s">
        <v>196</v>
      </c>
      <c r="M28" s="98">
        <v>10</v>
      </c>
      <c r="N28" s="3">
        <v>11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1"/>
      <c r="AP28" s="11"/>
      <c r="AQ28" s="11"/>
      <c r="AR28" s="11"/>
      <c r="AS28" s="11"/>
      <c r="AT28" s="11"/>
      <c r="AU28" s="11"/>
    </row>
    <row r="29" spans="1:47" s="52" customFormat="1" x14ac:dyDescent="0.3">
      <c r="A29" s="88"/>
      <c r="B29" s="90">
        <v>26</v>
      </c>
      <c r="C29" s="2"/>
      <c r="D29" s="2"/>
      <c r="E29" s="5"/>
      <c r="F29" s="2"/>
      <c r="G29" s="2"/>
      <c r="H29" s="2"/>
      <c r="I29" s="109"/>
      <c r="J29" s="2">
        <f t="shared" si="1"/>
        <v>0</v>
      </c>
      <c r="K29" s="2"/>
      <c r="L29" s="90"/>
      <c r="M29" s="3"/>
      <c r="N29" s="3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1"/>
      <c r="AP29" s="11"/>
      <c r="AQ29" s="11"/>
      <c r="AR29" s="11"/>
      <c r="AS29" s="11"/>
      <c r="AT29" s="11"/>
      <c r="AU29" s="11"/>
    </row>
    <row r="30" spans="1:47" s="52" customFormat="1" x14ac:dyDescent="0.3">
      <c r="A30" s="88" t="s">
        <v>86</v>
      </c>
      <c r="B30" s="90">
        <v>27</v>
      </c>
      <c r="C30" s="72">
        <f>650</f>
        <v>650</v>
      </c>
      <c r="D30" s="72">
        <f>10%*C30</f>
        <v>65</v>
      </c>
      <c r="E30" s="5">
        <f>C30-D30</f>
        <v>585</v>
      </c>
      <c r="F30" s="72">
        <f>60</f>
        <v>60</v>
      </c>
      <c r="G30" s="72">
        <v>0</v>
      </c>
      <c r="H30" s="72">
        <f>D94</f>
        <v>19.836666666666666</v>
      </c>
      <c r="I30" s="112">
        <f>SUM(E30:H30)</f>
        <v>664.8366666666667</v>
      </c>
      <c r="J30" s="2">
        <f t="shared" si="1"/>
        <v>46.538566666666675</v>
      </c>
      <c r="K30" s="72">
        <f>I30-J30</f>
        <v>618.29809999999998</v>
      </c>
      <c r="L30" s="71" t="s">
        <v>217</v>
      </c>
      <c r="M30" s="98">
        <v>10</v>
      </c>
      <c r="N30" s="3">
        <v>11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1"/>
      <c r="AP30" s="11"/>
      <c r="AQ30" s="11"/>
      <c r="AR30" s="11"/>
      <c r="AS30" s="11"/>
      <c r="AT30" s="11"/>
      <c r="AU30" s="11"/>
    </row>
    <row r="31" spans="1:47" s="52" customFormat="1" ht="14.4" thickBot="1" x14ac:dyDescent="0.35">
      <c r="A31" s="518" t="s">
        <v>4</v>
      </c>
      <c r="B31" s="518"/>
      <c r="C31" s="109">
        <f>SUM(C4:C30)</f>
        <v>5214</v>
      </c>
      <c r="D31" s="109">
        <f t="shared" ref="D31:K31" si="2">SUM(D4:D30)</f>
        <v>508.4</v>
      </c>
      <c r="E31" s="109">
        <f t="shared" si="2"/>
        <v>4705.6000000000004</v>
      </c>
      <c r="F31" s="109">
        <f t="shared" si="2"/>
        <v>280</v>
      </c>
      <c r="G31" s="109">
        <f t="shared" si="2"/>
        <v>0</v>
      </c>
      <c r="H31" s="109">
        <f t="shared" si="2"/>
        <v>156.84</v>
      </c>
      <c r="I31" s="109">
        <f t="shared" si="2"/>
        <v>5142.4400000000005</v>
      </c>
      <c r="J31" s="109">
        <f t="shared" si="2"/>
        <v>359.9708</v>
      </c>
      <c r="K31" s="109">
        <f t="shared" si="2"/>
        <v>4782.4692000000005</v>
      </c>
      <c r="L31" s="90"/>
      <c r="M31" s="120"/>
      <c r="N31" s="56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1"/>
      <c r="AP31" s="11"/>
      <c r="AQ31" s="11"/>
      <c r="AR31" s="11"/>
      <c r="AS31" s="11"/>
      <c r="AT31" s="11"/>
      <c r="AU31" s="11"/>
    </row>
    <row r="32" spans="1:47" s="11" customFormat="1" ht="28.5" customHeight="1" x14ac:dyDescent="0.3">
      <c r="A32" s="521" t="s">
        <v>194</v>
      </c>
      <c r="B32" s="521"/>
      <c r="C32" s="521"/>
      <c r="D32" s="521"/>
      <c r="E32" s="521"/>
      <c r="F32" s="521"/>
      <c r="G32" s="521"/>
      <c r="H32" s="521"/>
      <c r="I32" s="521"/>
      <c r="J32" s="521"/>
      <c r="K32" s="521"/>
      <c r="L32" s="521"/>
      <c r="M32" s="521"/>
      <c r="N32" s="521"/>
      <c r="O32" s="7"/>
      <c r="P32" s="7"/>
      <c r="Q32" s="7"/>
      <c r="R32" s="7"/>
      <c r="S32" s="7"/>
      <c r="T32" s="7"/>
      <c r="U32" s="7"/>
      <c r="V32" s="7"/>
      <c r="W32" s="10"/>
      <c r="X32" s="10"/>
      <c r="Y32" s="10"/>
      <c r="Z32" s="10"/>
      <c r="AA32" s="10"/>
      <c r="AB32" s="10"/>
    </row>
    <row r="33" spans="1:58" s="11" customFormat="1" ht="25.5" customHeight="1" x14ac:dyDescent="0.3">
      <c r="A33" s="126" t="s">
        <v>173</v>
      </c>
      <c r="B33" s="126" t="s">
        <v>0</v>
      </c>
      <c r="C33" s="126" t="s">
        <v>1</v>
      </c>
      <c r="D33" s="126" t="s">
        <v>2</v>
      </c>
      <c r="E33" s="126" t="s">
        <v>6</v>
      </c>
      <c r="F33" s="126" t="s">
        <v>191</v>
      </c>
      <c r="G33" s="126" t="s">
        <v>192</v>
      </c>
      <c r="H33" s="126" t="s">
        <v>193</v>
      </c>
      <c r="I33" s="129" t="s">
        <v>4</v>
      </c>
      <c r="J33" s="128" t="s">
        <v>5</v>
      </c>
      <c r="K33" s="128" t="s">
        <v>70</v>
      </c>
      <c r="L33" s="127" t="s">
        <v>59</v>
      </c>
      <c r="M33" s="130" t="s">
        <v>8</v>
      </c>
      <c r="N33" s="130" t="s">
        <v>10</v>
      </c>
      <c r="O33" s="7"/>
      <c r="P33" s="7"/>
      <c r="Q33" s="7"/>
      <c r="R33" s="7"/>
      <c r="S33" s="7"/>
      <c r="T33" s="7"/>
      <c r="U33" s="7"/>
      <c r="V33" s="7"/>
      <c r="W33" s="10"/>
      <c r="X33" s="10"/>
      <c r="Y33" s="10"/>
      <c r="Z33" s="10"/>
      <c r="AA33" s="10"/>
      <c r="AB33" s="10"/>
    </row>
    <row r="34" spans="1:58" s="32" customFormat="1" ht="16.5" customHeight="1" x14ac:dyDescent="0.3">
      <c r="A34" s="67" t="s">
        <v>132</v>
      </c>
      <c r="B34" s="67">
        <v>1</v>
      </c>
      <c r="C34" s="47">
        <v>600</v>
      </c>
      <c r="D34" s="41">
        <v>50</v>
      </c>
      <c r="E34" s="41">
        <v>0</v>
      </c>
      <c r="F34" s="41">
        <v>19.739999999999998</v>
      </c>
      <c r="G34" s="41">
        <f>10%*(C34+D34+F34)</f>
        <v>66.974000000000004</v>
      </c>
      <c r="H34" s="41">
        <v>4.46</v>
      </c>
      <c r="I34" s="47">
        <f>SUM(C34:H34)</f>
        <v>741.17400000000009</v>
      </c>
      <c r="J34" s="132">
        <f>7%*I34</f>
        <v>51.882180000000012</v>
      </c>
      <c r="K34" s="132">
        <f>I34-J34</f>
        <v>689.29182000000003</v>
      </c>
      <c r="L34" s="47" t="s">
        <v>197</v>
      </c>
      <c r="M34" s="131">
        <v>10</v>
      </c>
      <c r="N34" s="67">
        <v>11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</row>
    <row r="35" spans="1:58" s="40" customFormat="1" ht="15" customHeight="1" x14ac:dyDescent="0.3">
      <c r="A35" s="534" t="s">
        <v>4</v>
      </c>
      <c r="B35" s="549"/>
      <c r="C35" s="549"/>
      <c r="D35" s="549"/>
      <c r="E35" s="549"/>
      <c r="F35" s="549"/>
      <c r="G35" s="549"/>
      <c r="H35" s="535"/>
      <c r="I35" s="114">
        <f>SUM(I34)</f>
        <v>741.17400000000009</v>
      </c>
      <c r="J35" s="90"/>
      <c r="K35" s="90"/>
      <c r="L35" s="90"/>
      <c r="M35" s="90"/>
      <c r="N35" s="90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11"/>
      <c r="AS35" s="11"/>
      <c r="AT35" s="11"/>
      <c r="AU35" s="11"/>
    </row>
    <row r="36" spans="1:58" s="11" customFormat="1" ht="28.5" customHeight="1" x14ac:dyDescent="0.3">
      <c r="A36" s="521" t="s">
        <v>177</v>
      </c>
      <c r="B36" s="521"/>
      <c r="C36" s="521"/>
      <c r="D36" s="521"/>
      <c r="E36" s="521"/>
      <c r="F36" s="521"/>
      <c r="G36" s="521"/>
      <c r="H36" s="521"/>
      <c r="I36" s="521"/>
      <c r="J36" s="521"/>
      <c r="K36" s="521"/>
      <c r="L36" s="521"/>
      <c r="M36" s="521"/>
      <c r="N36" s="521"/>
      <c r="O36" s="7"/>
      <c r="P36" s="7"/>
      <c r="Q36" s="7"/>
      <c r="R36" s="7"/>
      <c r="S36" s="7"/>
      <c r="T36" s="7"/>
      <c r="U36" s="7"/>
      <c r="V36" s="7"/>
      <c r="W36" s="10"/>
      <c r="X36" s="10"/>
      <c r="Y36" s="10"/>
      <c r="Z36" s="10"/>
      <c r="AA36" s="10"/>
      <c r="AB36" s="10"/>
    </row>
    <row r="37" spans="1:58" s="11" customFormat="1" ht="25.5" customHeight="1" x14ac:dyDescent="0.3">
      <c r="A37" s="126" t="s">
        <v>173</v>
      </c>
      <c r="B37" s="126" t="s">
        <v>0</v>
      </c>
      <c r="C37" s="126" t="s">
        <v>174</v>
      </c>
      <c r="D37" s="521" t="s">
        <v>175</v>
      </c>
      <c r="E37" s="521"/>
      <c r="F37" s="521"/>
      <c r="G37" s="521"/>
      <c r="H37" s="521"/>
      <c r="I37" s="129" t="s">
        <v>4</v>
      </c>
      <c r="J37" s="128"/>
      <c r="K37" s="128"/>
      <c r="L37" s="127" t="s">
        <v>59</v>
      </c>
      <c r="M37" s="130" t="s">
        <v>8</v>
      </c>
      <c r="N37" s="130" t="s">
        <v>10</v>
      </c>
      <c r="O37" s="7"/>
      <c r="P37" s="7"/>
      <c r="Q37" s="7"/>
      <c r="R37" s="7"/>
      <c r="S37" s="7"/>
      <c r="T37" s="7"/>
      <c r="U37" s="7"/>
      <c r="V37" s="7"/>
      <c r="W37" s="10"/>
      <c r="X37" s="10"/>
      <c r="Y37" s="10"/>
      <c r="Z37" s="10"/>
      <c r="AA37" s="10"/>
      <c r="AB37" s="10"/>
    </row>
    <row r="38" spans="1:58" s="32" customFormat="1" ht="15" customHeight="1" x14ac:dyDescent="0.3">
      <c r="A38" s="67" t="s">
        <v>132</v>
      </c>
      <c r="B38" s="67">
        <v>1</v>
      </c>
      <c r="C38" s="47">
        <f>600+50+19.74</f>
        <v>669.74</v>
      </c>
      <c r="D38" s="546" t="s">
        <v>209</v>
      </c>
      <c r="E38" s="547"/>
      <c r="F38" s="547"/>
      <c r="G38" s="547"/>
      <c r="H38" s="548"/>
      <c r="I38" s="47">
        <f>600+50+19.74</f>
        <v>669.74</v>
      </c>
      <c r="J38" s="47"/>
      <c r="K38" s="47"/>
      <c r="L38" s="47" t="s">
        <v>198</v>
      </c>
      <c r="M38" s="131">
        <v>10</v>
      </c>
      <c r="N38" s="67">
        <v>11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</row>
    <row r="39" spans="1:58" s="40" customFormat="1" ht="15" customHeight="1" thickBot="1" x14ac:dyDescent="0.35">
      <c r="A39" s="518" t="s">
        <v>4</v>
      </c>
      <c r="B39" s="518"/>
      <c r="C39" s="518"/>
      <c r="D39" s="518"/>
      <c r="E39" s="518"/>
      <c r="F39" s="518"/>
      <c r="G39" s="518"/>
      <c r="H39" s="518"/>
      <c r="I39" s="114">
        <f>SUM(I38)</f>
        <v>669.74</v>
      </c>
      <c r="J39" s="90"/>
      <c r="K39" s="90"/>
      <c r="L39" s="90"/>
      <c r="M39" s="90"/>
      <c r="N39" s="90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11"/>
      <c r="AS39" s="11"/>
      <c r="AT39" s="11"/>
      <c r="AU39" s="11"/>
    </row>
    <row r="40" spans="1:58" s="19" customFormat="1" x14ac:dyDescent="0.3">
      <c r="A40" s="536"/>
      <c r="B40" s="537"/>
      <c r="C40" s="537"/>
      <c r="D40" s="537"/>
      <c r="E40" s="537"/>
      <c r="F40" s="537"/>
      <c r="G40" s="537"/>
      <c r="H40" s="537"/>
      <c r="I40" s="537"/>
      <c r="J40" s="537"/>
      <c r="K40" s="537"/>
      <c r="L40" s="537"/>
      <c r="M40" s="524"/>
      <c r="N40" s="525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</row>
    <row r="41" spans="1:58" s="40" customFormat="1" x14ac:dyDescent="0.3">
      <c r="A41" s="543" t="s">
        <v>9</v>
      </c>
      <c r="B41" s="543"/>
      <c r="C41" s="543"/>
      <c r="D41" s="543"/>
      <c r="E41" s="543"/>
      <c r="F41" s="543"/>
      <c r="G41" s="46"/>
      <c r="H41" s="46"/>
      <c r="I41" s="46"/>
      <c r="J41" s="46"/>
      <c r="K41" s="46"/>
      <c r="L41" s="544" t="s">
        <v>20</v>
      </c>
      <c r="M41" s="544"/>
      <c r="N41" s="545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11"/>
      <c r="AS41" s="11"/>
      <c r="AT41" s="11"/>
      <c r="AU41" s="11"/>
    </row>
    <row r="42" spans="1:58" s="40" customFormat="1" x14ac:dyDescent="0.3">
      <c r="A42" s="76" t="s">
        <v>40</v>
      </c>
      <c r="B42" s="77">
        <f>'GERAL 2021'!K3</f>
        <v>118.43</v>
      </c>
      <c r="C42" s="78">
        <v>6</v>
      </c>
      <c r="D42" s="77">
        <f>B42/C42</f>
        <v>19.738333333333333</v>
      </c>
      <c r="E42" s="78"/>
      <c r="F42" s="77"/>
      <c r="G42" s="11"/>
      <c r="H42" s="11"/>
      <c r="I42" s="87"/>
      <c r="J42" s="87"/>
      <c r="K42" s="87"/>
      <c r="L42" s="527" t="s">
        <v>94</v>
      </c>
      <c r="M42" s="527"/>
      <c r="N42" s="49">
        <f>J31+J34</f>
        <v>411.85298</v>
      </c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11"/>
      <c r="AS42" s="11"/>
      <c r="AT42" s="11"/>
      <c r="AU42" s="11"/>
    </row>
    <row r="43" spans="1:58" s="40" customFormat="1" x14ac:dyDescent="0.3">
      <c r="A43" s="12" t="s">
        <v>46</v>
      </c>
      <c r="B43" s="2">
        <f>'GERAL 2021'!I3</f>
        <v>1.0710401891252954</v>
      </c>
      <c r="C43" s="88">
        <v>6</v>
      </c>
      <c r="D43" s="2">
        <f>B43*C43</f>
        <v>6.4262411347517725</v>
      </c>
      <c r="E43" s="88"/>
      <c r="F43" s="88"/>
      <c r="G43" s="11"/>
      <c r="H43" s="11"/>
      <c r="I43" s="14"/>
      <c r="J43" s="14"/>
      <c r="K43" s="14"/>
      <c r="L43" s="534"/>
      <c r="M43" s="535"/>
      <c r="N43" s="114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11"/>
      <c r="AS43" s="11"/>
      <c r="AT43" s="11"/>
      <c r="AU43" s="11"/>
    </row>
    <row r="44" spans="1:58" s="40" customFormat="1" x14ac:dyDescent="0.3">
      <c r="A44" s="79" t="s">
        <v>29</v>
      </c>
      <c r="B44" s="80"/>
      <c r="C44" s="82"/>
      <c r="D44" s="80"/>
      <c r="E44" s="78"/>
      <c r="F44" s="77"/>
      <c r="G44" s="11"/>
      <c r="H44" s="11"/>
      <c r="I44" s="14"/>
      <c r="J44" s="14"/>
      <c r="K44" s="14"/>
      <c r="L44" s="520"/>
      <c r="M44" s="520"/>
      <c r="N44" s="528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11"/>
      <c r="AS44" s="11"/>
      <c r="AT44" s="11"/>
      <c r="AU44" s="11"/>
    </row>
    <row r="45" spans="1:58" s="40" customFormat="1" x14ac:dyDescent="0.3">
      <c r="A45" s="12" t="s">
        <v>30</v>
      </c>
      <c r="B45" s="2"/>
      <c r="C45" s="88"/>
      <c r="D45" s="2"/>
      <c r="E45" s="53"/>
      <c r="F45" s="53"/>
      <c r="G45" s="11"/>
      <c r="H45" s="11"/>
      <c r="I45" s="62"/>
      <c r="J45" s="62"/>
      <c r="K45" s="62"/>
      <c r="L45" s="520"/>
      <c r="M45" s="520"/>
      <c r="N45" s="528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11"/>
      <c r="AS45" s="11"/>
      <c r="AT45" s="11"/>
      <c r="AU45" s="11"/>
    </row>
    <row r="46" spans="1:58" s="40" customFormat="1" x14ac:dyDescent="0.3">
      <c r="A46" s="79" t="s">
        <v>65</v>
      </c>
      <c r="B46" s="80"/>
      <c r="C46" s="82"/>
      <c r="D46" s="80"/>
      <c r="E46" s="78"/>
      <c r="F46" s="77"/>
      <c r="G46" s="11"/>
      <c r="H46" s="11"/>
      <c r="I46" s="14"/>
      <c r="J46" s="14"/>
      <c r="K46" s="14"/>
      <c r="L46" s="529" t="s">
        <v>12</v>
      </c>
      <c r="M46" s="529"/>
      <c r="N46" s="530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11"/>
      <c r="AS46" s="11"/>
      <c r="AT46" s="11"/>
      <c r="AU46" s="11"/>
    </row>
    <row r="47" spans="1:58" s="11" customFormat="1" ht="15" customHeight="1" x14ac:dyDescent="0.3">
      <c r="A47" s="12" t="s">
        <v>62</v>
      </c>
      <c r="B47" s="2"/>
      <c r="C47" s="88"/>
      <c r="D47" s="2"/>
      <c r="E47" s="88"/>
      <c r="F47" s="88"/>
      <c r="I47" s="63"/>
      <c r="J47" s="63"/>
      <c r="K47" s="63"/>
      <c r="L47" s="514" t="s">
        <v>181</v>
      </c>
      <c r="M47" s="514"/>
      <c r="N47" s="2">
        <v>19.739999999999998</v>
      </c>
    </row>
    <row r="48" spans="1:58" s="11" customFormat="1" x14ac:dyDescent="0.3">
      <c r="A48" s="79" t="s">
        <v>60</v>
      </c>
      <c r="B48" s="80"/>
      <c r="C48" s="82"/>
      <c r="D48" s="80"/>
      <c r="E48" s="78"/>
      <c r="F48" s="77"/>
      <c r="I48" s="14"/>
      <c r="J48" s="14"/>
      <c r="K48" s="14"/>
      <c r="L48" s="514" t="s">
        <v>182</v>
      </c>
      <c r="M48" s="514"/>
      <c r="N48" s="2">
        <v>17.82</v>
      </c>
    </row>
    <row r="49" spans="1:46" s="11" customFormat="1" ht="15" customHeight="1" x14ac:dyDescent="0.3">
      <c r="A49" s="12" t="s">
        <v>61</v>
      </c>
      <c r="B49" s="2"/>
      <c r="C49" s="88"/>
      <c r="D49" s="2"/>
      <c r="E49" s="88"/>
      <c r="F49" s="88"/>
      <c r="I49" s="63"/>
      <c r="J49" s="63"/>
      <c r="K49" s="63"/>
      <c r="L49" s="514" t="s">
        <v>183</v>
      </c>
      <c r="M49" s="514"/>
      <c r="N49" s="2">
        <v>19.989999999999998</v>
      </c>
    </row>
    <row r="50" spans="1:46" s="11" customFormat="1" x14ac:dyDescent="0.3">
      <c r="A50" s="79" t="s">
        <v>31</v>
      </c>
      <c r="B50" s="80"/>
      <c r="C50" s="82"/>
      <c r="D50" s="80"/>
      <c r="E50" s="78"/>
      <c r="F50" s="77"/>
      <c r="I50" s="14"/>
      <c r="J50" s="14"/>
      <c r="K50" s="14"/>
      <c r="L50" s="514" t="s">
        <v>184</v>
      </c>
      <c r="M50" s="514"/>
      <c r="N50" s="121">
        <v>19.809999999999999</v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</row>
    <row r="51" spans="1:46" s="11" customFormat="1" x14ac:dyDescent="0.3">
      <c r="A51" s="12" t="s">
        <v>32</v>
      </c>
      <c r="B51" s="2"/>
      <c r="C51" s="88"/>
      <c r="D51" s="2"/>
      <c r="E51" s="88"/>
      <c r="F51" s="88"/>
      <c r="I51" s="63"/>
      <c r="J51" s="63"/>
      <c r="K51" s="63"/>
      <c r="L51" s="514" t="s">
        <v>185</v>
      </c>
      <c r="M51" s="514"/>
      <c r="N51" s="121">
        <v>19.809999999999999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</row>
    <row r="52" spans="1:46" s="11" customFormat="1" x14ac:dyDescent="0.3">
      <c r="A52" s="79" t="s">
        <v>57</v>
      </c>
      <c r="B52" s="80"/>
      <c r="C52" s="82"/>
      <c r="D52" s="80"/>
      <c r="E52" s="78"/>
      <c r="F52" s="77"/>
      <c r="I52" s="14"/>
      <c r="J52" s="14"/>
      <c r="K52" s="14"/>
      <c r="L52" s="520" t="s">
        <v>186</v>
      </c>
      <c r="M52" s="520"/>
      <c r="N52" s="2">
        <v>19.84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</row>
    <row r="53" spans="1:46" s="11" customFormat="1" ht="12.75" customHeight="1" x14ac:dyDescent="0.3">
      <c r="A53" s="12" t="s">
        <v>58</v>
      </c>
      <c r="B53" s="2"/>
      <c r="C53" s="88"/>
      <c r="D53" s="2"/>
      <c r="E53" s="88"/>
      <c r="F53" s="88"/>
      <c r="I53" s="63"/>
      <c r="J53" s="63"/>
      <c r="K53" s="63"/>
      <c r="L53" s="520" t="s">
        <v>187</v>
      </c>
      <c r="M53" s="520"/>
      <c r="N53" s="2">
        <v>19.739999999999998</v>
      </c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</row>
    <row r="54" spans="1:46" s="11" customFormat="1" x14ac:dyDescent="0.3">
      <c r="A54" s="79" t="s">
        <v>63</v>
      </c>
      <c r="B54" s="80"/>
      <c r="C54" s="82"/>
      <c r="D54" s="80"/>
      <c r="E54" s="78"/>
      <c r="F54" s="77"/>
      <c r="I54" s="14"/>
      <c r="J54" s="14"/>
      <c r="K54" s="14"/>
      <c r="L54" s="520" t="s">
        <v>188</v>
      </c>
      <c r="M54" s="520"/>
      <c r="N54" s="2">
        <v>19.93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</row>
    <row r="55" spans="1:46" s="11" customFormat="1" ht="15" customHeight="1" x14ac:dyDescent="0.3">
      <c r="A55" s="12" t="s">
        <v>64</v>
      </c>
      <c r="B55" s="2"/>
      <c r="C55" s="88"/>
      <c r="D55" s="2"/>
      <c r="E55" s="88"/>
      <c r="F55" s="88"/>
      <c r="I55" s="63"/>
      <c r="J55" s="63"/>
      <c r="K55" s="63"/>
      <c r="L55" s="520" t="s">
        <v>189</v>
      </c>
      <c r="M55" s="520"/>
      <c r="N55" s="2">
        <v>19.84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</row>
    <row r="56" spans="1:46" s="11" customFormat="1" x14ac:dyDescent="0.3">
      <c r="A56" s="79" t="s">
        <v>33</v>
      </c>
      <c r="B56" s="80"/>
      <c r="C56" s="82"/>
      <c r="D56" s="80"/>
      <c r="E56" s="78"/>
      <c r="F56" s="77"/>
      <c r="I56" s="14"/>
      <c r="J56" s="14"/>
      <c r="K56" s="14"/>
      <c r="L56" s="542" t="s">
        <v>190</v>
      </c>
      <c r="M56" s="542"/>
      <c r="N56" s="2">
        <f>5*120</f>
        <v>600</v>
      </c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</row>
    <row r="57" spans="1:46" s="11" customFormat="1" ht="13.5" customHeight="1" x14ac:dyDescent="0.3">
      <c r="A57" s="12" t="s">
        <v>34</v>
      </c>
      <c r="B57" s="2"/>
      <c r="C57" s="88"/>
      <c r="D57" s="2"/>
      <c r="E57" s="88"/>
      <c r="F57" s="88"/>
      <c r="I57" s="63"/>
      <c r="J57" s="63"/>
      <c r="K57" s="63"/>
      <c r="L57" s="520" t="s">
        <v>126</v>
      </c>
      <c r="M57" s="520"/>
      <c r="N57" s="2">
        <v>129.62</v>
      </c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</row>
    <row r="58" spans="1:46" s="11" customFormat="1" x14ac:dyDescent="0.3">
      <c r="A58" s="79" t="s">
        <v>41</v>
      </c>
      <c r="B58" s="80"/>
      <c r="C58" s="82"/>
      <c r="D58" s="80"/>
      <c r="E58" s="78"/>
      <c r="F58" s="77"/>
      <c r="L58" s="520" t="s">
        <v>127</v>
      </c>
      <c r="M58" s="520"/>
      <c r="N58" s="2">
        <v>137.49</v>
      </c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</row>
    <row r="59" spans="1:46" s="11" customFormat="1" x14ac:dyDescent="0.3">
      <c r="A59" s="12" t="s">
        <v>42</v>
      </c>
      <c r="B59" s="2"/>
      <c r="C59" s="88"/>
      <c r="D59" s="2"/>
      <c r="E59" s="88"/>
      <c r="F59" s="88"/>
      <c r="I59" s="63"/>
      <c r="J59" s="63"/>
      <c r="K59" s="63"/>
      <c r="L59" s="520"/>
      <c r="M59" s="520"/>
      <c r="N59" s="90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</row>
    <row r="60" spans="1:46" s="11" customFormat="1" x14ac:dyDescent="0.3">
      <c r="A60" s="79" t="s">
        <v>66</v>
      </c>
      <c r="B60" s="80">
        <f>'GERAL 2021'!K12</f>
        <v>106.95</v>
      </c>
      <c r="C60" s="81">
        <v>6</v>
      </c>
      <c r="D60" s="80">
        <f>B60/C60</f>
        <v>17.824999999999999</v>
      </c>
      <c r="E60" s="82"/>
      <c r="F60" s="80"/>
      <c r="I60" s="14"/>
      <c r="J60" s="14"/>
      <c r="K60" s="14"/>
      <c r="L60" s="520"/>
      <c r="M60" s="520"/>
      <c r="N60" s="90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</row>
    <row r="61" spans="1:46" s="11" customFormat="1" x14ac:dyDescent="0.3">
      <c r="A61" s="12" t="s">
        <v>67</v>
      </c>
      <c r="B61" s="2">
        <f>'GERAL 2021'!I12</f>
        <v>1.0710401891252954</v>
      </c>
      <c r="C61" s="88">
        <v>8</v>
      </c>
      <c r="D61" s="2">
        <f>B61*C61</f>
        <v>8.5683215130023633</v>
      </c>
      <c r="E61" s="88"/>
      <c r="F61" s="88"/>
      <c r="I61" s="63"/>
      <c r="J61" s="63"/>
      <c r="K61" s="63"/>
      <c r="L61" s="518"/>
      <c r="M61" s="518"/>
      <c r="N61" s="109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</row>
    <row r="62" spans="1:46" s="11" customFormat="1" x14ac:dyDescent="0.3">
      <c r="A62" s="79" t="s">
        <v>14</v>
      </c>
      <c r="B62" s="80"/>
      <c r="C62" s="82"/>
      <c r="D62" s="80"/>
      <c r="E62" s="82"/>
      <c r="F62" s="80"/>
      <c r="I62" s="14"/>
      <c r="J62" s="14"/>
      <c r="K62" s="14"/>
      <c r="L62" s="531" t="s">
        <v>26</v>
      </c>
      <c r="M62" s="531"/>
      <c r="N62" s="45">
        <f>SUM(N42:N61)</f>
        <v>1455.48298</v>
      </c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</row>
    <row r="63" spans="1:46" s="18" customFormat="1" x14ac:dyDescent="0.3">
      <c r="A63" s="12" t="s">
        <v>15</v>
      </c>
      <c r="B63" s="2"/>
      <c r="C63" s="88"/>
      <c r="D63" s="2"/>
      <c r="E63" s="88"/>
      <c r="F63" s="88"/>
      <c r="G63" s="11"/>
      <c r="H63" s="11"/>
      <c r="I63" s="87"/>
      <c r="J63" s="87"/>
      <c r="K63" s="87"/>
      <c r="L63" s="518"/>
      <c r="M63" s="518"/>
      <c r="N63" s="48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</row>
    <row r="64" spans="1:46" s="18" customFormat="1" x14ac:dyDescent="0.3">
      <c r="A64" s="79" t="s">
        <v>55</v>
      </c>
      <c r="B64" s="80"/>
      <c r="C64" s="82"/>
      <c r="D64" s="80"/>
      <c r="E64" s="82"/>
      <c r="F64" s="80"/>
      <c r="G64" s="11"/>
      <c r="H64" s="11"/>
      <c r="I64" s="11"/>
      <c r="J64" s="11"/>
      <c r="K64" s="11"/>
      <c r="L64" s="513" t="s">
        <v>11</v>
      </c>
      <c r="M64" s="513"/>
      <c r="N64" s="526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</row>
    <row r="65" spans="1:45" s="18" customFormat="1" x14ac:dyDescent="0.3">
      <c r="A65" s="12" t="s">
        <v>56</v>
      </c>
      <c r="B65" s="2"/>
      <c r="C65" s="88"/>
      <c r="D65" s="2"/>
      <c r="E65" s="88"/>
      <c r="F65" s="88"/>
      <c r="G65" s="11"/>
      <c r="H65" s="11"/>
      <c r="I65" s="11"/>
      <c r="J65" s="11"/>
      <c r="K65" s="11"/>
      <c r="L65" s="532">
        <f>I31+I35</f>
        <v>5883.6140000000005</v>
      </c>
      <c r="M65" s="532"/>
      <c r="N65" s="533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</row>
    <row r="66" spans="1:45" s="18" customFormat="1" x14ac:dyDescent="0.3">
      <c r="A66" s="79" t="s">
        <v>35</v>
      </c>
      <c r="B66" s="80"/>
      <c r="C66" s="82"/>
      <c r="D66" s="80"/>
      <c r="E66" s="82"/>
      <c r="F66" s="80"/>
      <c r="G66" s="11"/>
      <c r="H66" s="11"/>
      <c r="I66" s="11"/>
      <c r="J66" s="11"/>
      <c r="K66" s="11"/>
      <c r="L66" s="518"/>
      <c r="M66" s="518"/>
      <c r="N66" s="519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</row>
    <row r="67" spans="1:45" s="18" customFormat="1" x14ac:dyDescent="0.3">
      <c r="A67" s="12" t="s">
        <v>36</v>
      </c>
      <c r="B67" s="2"/>
      <c r="C67" s="88"/>
      <c r="D67" s="2"/>
      <c r="E67" s="88"/>
      <c r="F67" s="88"/>
      <c r="G67" s="11"/>
      <c r="H67" s="11"/>
      <c r="I67" s="14"/>
      <c r="J67" s="14"/>
      <c r="K67" s="14"/>
      <c r="L67" s="513" t="s">
        <v>13</v>
      </c>
      <c r="M67" s="513"/>
      <c r="N67" s="49">
        <f>L65-N62</f>
        <v>4428.1310200000007</v>
      </c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</row>
    <row r="68" spans="1:45" s="18" customFormat="1" x14ac:dyDescent="0.3">
      <c r="A68" s="79" t="s">
        <v>47</v>
      </c>
      <c r="B68" s="80"/>
      <c r="C68" s="82"/>
      <c r="D68" s="80"/>
      <c r="E68" s="82"/>
      <c r="F68" s="80"/>
      <c r="G68" s="11"/>
      <c r="H68" s="11"/>
      <c r="I68" s="15"/>
      <c r="J68" s="15"/>
      <c r="K68" s="15"/>
      <c r="L68" s="123"/>
      <c r="M68" s="123"/>
      <c r="N68" s="5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</row>
    <row r="69" spans="1:45" s="18" customFormat="1" x14ac:dyDescent="0.3">
      <c r="A69" s="12" t="s">
        <v>48</v>
      </c>
      <c r="B69" s="2"/>
      <c r="C69" s="88"/>
      <c r="D69" s="2"/>
      <c r="E69" s="88"/>
      <c r="F69" s="88"/>
      <c r="G69" s="11"/>
      <c r="H69" s="11"/>
      <c r="I69" s="14"/>
      <c r="J69" s="14"/>
      <c r="K69" s="14"/>
      <c r="L69" s="124"/>
      <c r="M69" s="124"/>
      <c r="N69" s="5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</row>
    <row r="70" spans="1:45" s="18" customFormat="1" x14ac:dyDescent="0.3">
      <c r="A70" s="79" t="s">
        <v>16</v>
      </c>
      <c r="B70" s="80">
        <f>'GERAL 2021'!K17</f>
        <v>119.94</v>
      </c>
      <c r="C70" s="82">
        <v>6</v>
      </c>
      <c r="D70" s="80">
        <f>B70/C70</f>
        <v>19.989999999999998</v>
      </c>
      <c r="E70" s="81"/>
      <c r="F70" s="81"/>
      <c r="G70" s="11"/>
      <c r="H70" s="11"/>
      <c r="I70" s="14"/>
      <c r="J70" s="14"/>
      <c r="K70" s="14"/>
      <c r="L70" s="124"/>
      <c r="M70" s="124"/>
      <c r="N70" s="5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</row>
    <row r="71" spans="1:45" s="18" customFormat="1" x14ac:dyDescent="0.3">
      <c r="A71" s="12" t="s">
        <v>17</v>
      </c>
      <c r="B71" s="2">
        <f>'GERAL 2021'!I17</f>
        <v>1.0710401891252954</v>
      </c>
      <c r="C71" s="88">
        <v>5</v>
      </c>
      <c r="D71" s="2">
        <f>B71*C71</f>
        <v>5.3552009456264766</v>
      </c>
      <c r="E71" s="88"/>
      <c r="F71" s="88"/>
      <c r="G71" s="11"/>
      <c r="H71" s="11"/>
      <c r="I71" s="14"/>
      <c r="J71" s="14"/>
      <c r="K71" s="14"/>
      <c r="L71" s="124"/>
      <c r="M71" s="124"/>
      <c r="N71" s="5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</row>
    <row r="72" spans="1:45" s="18" customFormat="1" x14ac:dyDescent="0.3">
      <c r="A72" s="79" t="s">
        <v>27</v>
      </c>
      <c r="B72" s="80">
        <f>'GERAL 2021'!K18</f>
        <v>118.87</v>
      </c>
      <c r="C72" s="82">
        <v>6</v>
      </c>
      <c r="D72" s="80">
        <f>B72/C72</f>
        <v>19.811666666666667</v>
      </c>
      <c r="E72" s="81"/>
      <c r="F72" s="82"/>
      <c r="G72" s="11"/>
      <c r="H72" s="11"/>
      <c r="I72" s="14"/>
      <c r="J72" s="14"/>
      <c r="K72" s="14"/>
      <c r="L72" s="124"/>
      <c r="M72" s="124"/>
      <c r="N72" s="5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</row>
    <row r="73" spans="1:45" s="32" customFormat="1" x14ac:dyDescent="0.3">
      <c r="A73" s="12" t="s">
        <v>28</v>
      </c>
      <c r="B73" s="2">
        <f>'GERAL 2021'!I18</f>
        <v>1.0710401891252954</v>
      </c>
      <c r="C73" s="88">
        <v>7</v>
      </c>
      <c r="D73" s="2">
        <f>B73*C73</f>
        <v>7.4972813238770684</v>
      </c>
      <c r="E73" s="88"/>
      <c r="F73" s="90"/>
      <c r="G73" s="11"/>
      <c r="H73" s="11"/>
      <c r="I73" s="20"/>
      <c r="J73" s="20"/>
      <c r="K73" s="20"/>
      <c r="L73" s="124"/>
      <c r="M73" s="124"/>
      <c r="N73" s="57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</row>
    <row r="74" spans="1:45" s="32" customFormat="1" x14ac:dyDescent="0.3">
      <c r="A74" s="79" t="s">
        <v>18</v>
      </c>
      <c r="B74" s="80">
        <f>'GERAL 2021'!K19</f>
        <v>118.87</v>
      </c>
      <c r="C74" s="82">
        <v>6</v>
      </c>
      <c r="D74" s="80">
        <f>B74/C74</f>
        <v>19.811666666666667</v>
      </c>
      <c r="E74" s="82"/>
      <c r="F74" s="80"/>
      <c r="G74" s="18"/>
      <c r="H74" s="18"/>
      <c r="I74" s="20"/>
      <c r="J74" s="20"/>
      <c r="K74" s="20"/>
      <c r="L74" s="15"/>
      <c r="M74" s="14"/>
      <c r="N74" s="57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</row>
    <row r="75" spans="1:45" s="32" customFormat="1" x14ac:dyDescent="0.3">
      <c r="A75" s="12" t="s">
        <v>19</v>
      </c>
      <c r="B75" s="2">
        <f>'GERAL 2021'!I19</f>
        <v>1.0710401891252954</v>
      </c>
      <c r="C75" s="88">
        <v>6</v>
      </c>
      <c r="D75" s="2">
        <f>B75*C75</f>
        <v>6.4262411347517725</v>
      </c>
      <c r="E75" s="88"/>
      <c r="F75" s="88"/>
      <c r="G75" s="18"/>
      <c r="H75" s="18"/>
      <c r="I75" s="20"/>
      <c r="J75" s="20"/>
      <c r="K75" s="20"/>
      <c r="L75" s="11"/>
      <c r="M75" s="15"/>
      <c r="N75" s="65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</row>
    <row r="76" spans="1:45" s="32" customFormat="1" x14ac:dyDescent="0.3">
      <c r="A76" s="79" t="s">
        <v>37</v>
      </c>
      <c r="B76" s="80">
        <f>'GERAL 2021'!K20</f>
        <v>119.02</v>
      </c>
      <c r="C76" s="82">
        <v>6</v>
      </c>
      <c r="D76" s="80">
        <f>B76/C76</f>
        <v>19.836666666666666</v>
      </c>
      <c r="E76" s="81"/>
      <c r="F76" s="82"/>
      <c r="G76" s="18"/>
      <c r="H76" s="18"/>
      <c r="I76" s="20"/>
      <c r="J76" s="20"/>
      <c r="K76" s="20"/>
      <c r="L76" s="11"/>
      <c r="M76" s="11"/>
      <c r="N76" s="65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</row>
    <row r="77" spans="1:45" s="32" customFormat="1" x14ac:dyDescent="0.3">
      <c r="A77" s="12" t="s">
        <v>38</v>
      </c>
      <c r="B77" s="2">
        <f>'GERAL 2021'!I20</f>
        <v>1.0710401891252954</v>
      </c>
      <c r="C77" s="88">
        <v>7</v>
      </c>
      <c r="D77" s="2">
        <f>B77*C77</f>
        <v>7.4972813238770684</v>
      </c>
      <c r="E77" s="88"/>
      <c r="F77" s="88"/>
      <c r="G77" s="18"/>
      <c r="H77" s="18"/>
      <c r="I77" s="20"/>
      <c r="J77" s="20"/>
      <c r="K77" s="20"/>
      <c r="L77" s="14"/>
      <c r="M77" s="14"/>
      <c r="N77" s="65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</row>
    <row r="78" spans="1:45" s="32" customFormat="1" x14ac:dyDescent="0.3">
      <c r="A78" s="79" t="s">
        <v>45</v>
      </c>
      <c r="B78" s="80">
        <f>'GERAL 2021'!K21</f>
        <v>118.43</v>
      </c>
      <c r="C78" s="82">
        <v>6</v>
      </c>
      <c r="D78" s="80">
        <f>B78/C78</f>
        <v>19.738333333333333</v>
      </c>
      <c r="E78" s="81"/>
      <c r="F78" s="82"/>
      <c r="G78" s="18"/>
      <c r="H78" s="18"/>
      <c r="I78" s="20"/>
      <c r="J78" s="20"/>
      <c r="K78" s="20"/>
      <c r="L78" s="20"/>
      <c r="M78" s="15"/>
      <c r="N78" s="65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</row>
    <row r="79" spans="1:45" s="32" customFormat="1" x14ac:dyDescent="0.3">
      <c r="A79" s="12" t="s">
        <v>39</v>
      </c>
      <c r="B79" s="2">
        <f>'GERAL 2021'!I21</f>
        <v>1.0710401891252954</v>
      </c>
      <c r="C79" s="88">
        <v>5</v>
      </c>
      <c r="D79" s="2">
        <f>B79*C79</f>
        <v>5.3552009456264766</v>
      </c>
      <c r="E79" s="88"/>
      <c r="F79" s="88"/>
      <c r="G79" s="18"/>
      <c r="H79" s="18"/>
      <c r="I79" s="20"/>
      <c r="J79" s="20"/>
      <c r="K79" s="20"/>
      <c r="L79" s="20"/>
      <c r="M79" s="11"/>
      <c r="N79" s="65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</row>
    <row r="80" spans="1:45" s="32" customFormat="1" x14ac:dyDescent="0.3">
      <c r="A80" s="81" t="s">
        <v>49</v>
      </c>
      <c r="B80" s="80"/>
      <c r="C80" s="82"/>
      <c r="D80" s="80"/>
      <c r="E80" s="81"/>
      <c r="F80" s="82"/>
      <c r="G80" s="18"/>
      <c r="H80" s="18"/>
      <c r="I80" s="20"/>
      <c r="J80" s="20"/>
      <c r="K80" s="20"/>
      <c r="L80" s="20"/>
      <c r="M80" s="11"/>
      <c r="N80" s="65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</row>
    <row r="81" spans="1:46" s="32" customFormat="1" x14ac:dyDescent="0.3">
      <c r="A81" s="90" t="s">
        <v>50</v>
      </c>
      <c r="B81" s="2"/>
      <c r="C81" s="88"/>
      <c r="D81" s="2"/>
      <c r="E81" s="88"/>
      <c r="F81" s="88"/>
      <c r="G81" s="18"/>
      <c r="H81" s="18"/>
      <c r="I81" s="20"/>
      <c r="J81" s="20"/>
      <c r="K81" s="20"/>
      <c r="L81" s="18"/>
      <c r="M81" s="11"/>
      <c r="N81" s="65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</row>
    <row r="82" spans="1:46" s="32" customFormat="1" x14ac:dyDescent="0.3">
      <c r="A82" s="81" t="s">
        <v>43</v>
      </c>
      <c r="B82" s="80"/>
      <c r="C82" s="82"/>
      <c r="D82" s="80"/>
      <c r="E82" s="81"/>
      <c r="F82" s="82"/>
      <c r="G82" s="18"/>
      <c r="H82" s="18"/>
      <c r="I82" s="20"/>
      <c r="J82" s="20"/>
      <c r="K82" s="20"/>
      <c r="L82" s="18"/>
      <c r="M82" s="14"/>
      <c r="N82" s="65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</row>
    <row r="83" spans="1:46" s="32" customFormat="1" x14ac:dyDescent="0.3">
      <c r="A83" s="90" t="s">
        <v>44</v>
      </c>
      <c r="B83" s="2"/>
      <c r="C83" s="88"/>
      <c r="D83" s="2"/>
      <c r="E83" s="88"/>
      <c r="F83" s="88"/>
      <c r="G83" s="18"/>
      <c r="H83" s="18"/>
      <c r="I83" s="20"/>
      <c r="J83" s="20"/>
      <c r="K83" s="20"/>
      <c r="L83" s="18"/>
      <c r="M83" s="20"/>
      <c r="N83" s="65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</row>
    <row r="84" spans="1:46" s="32" customFormat="1" x14ac:dyDescent="0.3">
      <c r="A84" s="81" t="s">
        <v>51</v>
      </c>
      <c r="B84" s="80"/>
      <c r="C84" s="82"/>
      <c r="D84" s="80"/>
      <c r="E84" s="82"/>
      <c r="F84" s="80"/>
      <c r="I84" s="21"/>
      <c r="J84" s="21"/>
      <c r="K84" s="21"/>
      <c r="L84" s="18"/>
      <c r="M84" s="20"/>
      <c r="N84" s="65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</row>
    <row r="85" spans="1:46" s="22" customFormat="1" x14ac:dyDescent="0.3">
      <c r="A85" s="90" t="s">
        <v>52</v>
      </c>
      <c r="B85" s="2"/>
      <c r="C85" s="88"/>
      <c r="D85" s="2"/>
      <c r="E85" s="88"/>
      <c r="F85" s="67"/>
      <c r="G85" s="63"/>
      <c r="H85" s="63"/>
      <c r="I85" s="32"/>
      <c r="J85" s="32"/>
      <c r="K85" s="32"/>
      <c r="L85" s="18"/>
      <c r="M85" s="20"/>
      <c r="N85" s="65"/>
    </row>
    <row r="86" spans="1:46" s="22" customFormat="1" x14ac:dyDescent="0.3">
      <c r="A86" s="81" t="s">
        <v>53</v>
      </c>
      <c r="B86" s="80"/>
      <c r="C86" s="82"/>
      <c r="D86" s="80"/>
      <c r="E86" s="82"/>
      <c r="F86" s="82"/>
      <c r="G86" s="11"/>
      <c r="H86" s="63"/>
      <c r="I86" s="21"/>
      <c r="J86" s="21"/>
      <c r="K86" s="21"/>
      <c r="L86" s="18"/>
      <c r="M86" s="18"/>
      <c r="N86" s="65"/>
      <c r="AT86" s="32"/>
    </row>
    <row r="87" spans="1:46" s="22" customFormat="1" x14ac:dyDescent="0.3">
      <c r="A87" s="90" t="s">
        <v>54</v>
      </c>
      <c r="B87" s="2"/>
      <c r="C87" s="88"/>
      <c r="D87" s="2"/>
      <c r="E87" s="88"/>
      <c r="F87" s="67"/>
      <c r="G87" s="21"/>
      <c r="H87" s="21"/>
      <c r="I87" s="21"/>
      <c r="J87" s="21"/>
      <c r="K87" s="21"/>
      <c r="L87" s="18"/>
      <c r="M87" s="18"/>
      <c r="N87" s="65"/>
      <c r="AT87" s="32"/>
    </row>
    <row r="88" spans="1:46" s="22" customFormat="1" x14ac:dyDescent="0.3">
      <c r="A88" s="81" t="s">
        <v>78</v>
      </c>
      <c r="B88" s="80"/>
      <c r="C88" s="82"/>
      <c r="D88" s="80"/>
      <c r="E88" s="82"/>
      <c r="F88" s="82"/>
      <c r="G88" s="11"/>
      <c r="H88" s="63"/>
      <c r="I88" s="21"/>
      <c r="J88" s="21"/>
      <c r="K88" s="21"/>
      <c r="L88" s="32"/>
      <c r="M88" s="32"/>
      <c r="N88" s="65"/>
      <c r="AT88" s="32"/>
    </row>
    <row r="89" spans="1:46" s="22" customFormat="1" x14ac:dyDescent="0.3">
      <c r="A89" s="90" t="s">
        <v>79</v>
      </c>
      <c r="B89" s="2"/>
      <c r="C89" s="88"/>
      <c r="D89" s="2"/>
      <c r="E89" s="88"/>
      <c r="F89" s="67"/>
      <c r="G89" s="21"/>
      <c r="H89" s="21"/>
      <c r="I89" s="21"/>
      <c r="J89" s="21"/>
      <c r="K89" s="21"/>
      <c r="L89" s="32"/>
      <c r="M89" s="18"/>
      <c r="N89" s="65"/>
      <c r="AT89" s="32"/>
    </row>
    <row r="90" spans="1:46" s="22" customFormat="1" x14ac:dyDescent="0.3">
      <c r="A90" s="81" t="s">
        <v>80</v>
      </c>
      <c r="B90" s="80">
        <f>'GERAL 2021'!K27</f>
        <v>119.7</v>
      </c>
      <c r="C90" s="82">
        <v>6</v>
      </c>
      <c r="D90" s="80">
        <f>B90/C90</f>
        <v>19.95</v>
      </c>
      <c r="E90" s="82"/>
      <c r="F90" s="82"/>
      <c r="G90" s="11"/>
      <c r="H90" s="63"/>
      <c r="I90" s="21"/>
      <c r="J90" s="21"/>
      <c r="K90" s="21"/>
      <c r="L90" s="21"/>
      <c r="M90" s="21"/>
      <c r="N90" s="65"/>
      <c r="AT90" s="32"/>
    </row>
    <row r="91" spans="1:46" s="22" customFormat="1" x14ac:dyDescent="0.3">
      <c r="A91" s="90" t="s">
        <v>81</v>
      </c>
      <c r="B91" s="2">
        <f>'GERAL 2021'!I27</f>
        <v>1.0710401891252954</v>
      </c>
      <c r="C91" s="88">
        <v>6</v>
      </c>
      <c r="D91" s="2">
        <f>B91*C91</f>
        <v>6.4262411347517725</v>
      </c>
      <c r="E91" s="88"/>
      <c r="F91" s="67"/>
      <c r="G91" s="21"/>
      <c r="H91" s="21"/>
      <c r="I91" s="21"/>
      <c r="J91" s="21"/>
      <c r="K91" s="21"/>
      <c r="L91" s="32"/>
      <c r="M91" s="18"/>
      <c r="N91" s="65"/>
      <c r="AT91" s="32"/>
    </row>
    <row r="92" spans="1:46" s="22" customFormat="1" x14ac:dyDescent="0.3">
      <c r="A92" s="81" t="s">
        <v>82</v>
      </c>
      <c r="B92" s="80"/>
      <c r="C92" s="82"/>
      <c r="D92" s="80"/>
      <c r="E92" s="82"/>
      <c r="F92" s="82"/>
      <c r="G92" s="11"/>
      <c r="H92" s="63"/>
      <c r="I92" s="21"/>
      <c r="J92" s="21"/>
      <c r="K92" s="21"/>
      <c r="L92" s="21"/>
      <c r="M92" s="21"/>
      <c r="N92" s="65"/>
      <c r="AT92" s="32"/>
    </row>
    <row r="93" spans="1:46" s="22" customFormat="1" x14ac:dyDescent="0.3">
      <c r="A93" s="90" t="s">
        <v>83</v>
      </c>
      <c r="B93" s="2"/>
      <c r="C93" s="88"/>
      <c r="D93" s="2"/>
      <c r="E93" s="88"/>
      <c r="F93" s="67"/>
      <c r="G93" s="21"/>
      <c r="H93" s="21"/>
      <c r="I93" s="21"/>
      <c r="J93" s="21"/>
      <c r="K93" s="21"/>
      <c r="L93" s="32"/>
      <c r="M93" s="18"/>
      <c r="N93" s="65"/>
      <c r="AT93" s="32"/>
    </row>
    <row r="94" spans="1:46" s="22" customFormat="1" x14ac:dyDescent="0.3">
      <c r="A94" s="81" t="s">
        <v>84</v>
      </c>
      <c r="B94" s="80">
        <f>'GERAL 2021'!K29</f>
        <v>119.02</v>
      </c>
      <c r="C94" s="82">
        <v>6</v>
      </c>
      <c r="D94" s="80">
        <f>B94/C94</f>
        <v>19.836666666666666</v>
      </c>
      <c r="E94" s="82"/>
      <c r="F94" s="82"/>
      <c r="G94" s="11"/>
      <c r="H94" s="63"/>
      <c r="I94" s="21"/>
      <c r="J94" s="21"/>
      <c r="K94" s="21"/>
      <c r="L94" s="21"/>
      <c r="M94" s="21"/>
      <c r="N94" s="65"/>
      <c r="AT94" s="32"/>
    </row>
    <row r="95" spans="1:46" s="22" customFormat="1" ht="14.4" thickBot="1" x14ac:dyDescent="0.35">
      <c r="A95" s="90" t="s">
        <v>85</v>
      </c>
      <c r="B95" s="2">
        <f>'GERAL 2021'!I29</f>
        <v>1.0710401891252954</v>
      </c>
      <c r="C95" s="88">
        <v>8</v>
      </c>
      <c r="D95" s="2">
        <f>B95*C95</f>
        <v>8.5683215130023633</v>
      </c>
      <c r="E95" s="88"/>
      <c r="F95" s="67"/>
      <c r="G95" s="66"/>
      <c r="H95" s="66"/>
      <c r="I95" s="66"/>
      <c r="J95" s="66"/>
      <c r="K95" s="66"/>
      <c r="L95" s="66"/>
      <c r="M95" s="66"/>
      <c r="N95" s="66"/>
      <c r="AT95" s="32"/>
    </row>
    <row r="96" spans="1:46" s="22" customFormat="1" x14ac:dyDescent="0.3">
      <c r="A96" s="32"/>
      <c r="B96" s="32"/>
      <c r="C96" s="32"/>
      <c r="D96" s="32"/>
      <c r="E96" s="32"/>
      <c r="F96" s="32"/>
      <c r="G96" s="32"/>
      <c r="H96" s="32"/>
      <c r="I96" s="21"/>
      <c r="J96" s="21"/>
      <c r="K96" s="21"/>
      <c r="L96" s="32"/>
      <c r="M96" s="32"/>
      <c r="N96" s="32"/>
      <c r="AT96" s="32"/>
    </row>
    <row r="97" spans="1:46" s="22" customFormat="1" x14ac:dyDescent="0.3">
      <c r="A97" s="32"/>
      <c r="B97" s="32"/>
      <c r="C97" s="32"/>
      <c r="D97" s="32"/>
      <c r="E97" s="32"/>
      <c r="F97" s="32"/>
      <c r="G97" s="32"/>
      <c r="H97" s="32"/>
      <c r="I97" s="21"/>
      <c r="J97" s="21"/>
      <c r="K97" s="21"/>
      <c r="L97" s="32"/>
      <c r="M97" s="32"/>
      <c r="N97" s="32"/>
      <c r="AT97" s="32"/>
    </row>
    <row r="98" spans="1:46" s="22" customFormat="1" x14ac:dyDescent="0.3">
      <c r="A98" s="32"/>
      <c r="B98" s="32"/>
      <c r="C98" s="32"/>
      <c r="D98" s="32"/>
      <c r="E98" s="32"/>
      <c r="F98" s="32"/>
      <c r="G98" s="32"/>
      <c r="H98" s="32"/>
      <c r="I98" s="21"/>
      <c r="J98" s="21"/>
      <c r="K98" s="21"/>
      <c r="L98" s="32"/>
      <c r="M98" s="32"/>
      <c r="N98" s="32"/>
      <c r="AT98" s="32"/>
    </row>
    <row r="99" spans="1:46" s="22" customFormat="1" x14ac:dyDescent="0.3">
      <c r="A99" s="32"/>
      <c r="B99" s="32"/>
      <c r="C99" s="32"/>
      <c r="D99" s="32"/>
      <c r="E99" s="32"/>
      <c r="F99" s="32"/>
      <c r="G99" s="32"/>
      <c r="H99" s="32"/>
      <c r="I99" s="21"/>
      <c r="J99" s="21"/>
      <c r="K99" s="21"/>
      <c r="L99" s="32"/>
      <c r="M99" s="32"/>
      <c r="N99" s="32"/>
      <c r="AT99" s="32"/>
    </row>
    <row r="100" spans="1:46" s="22" customFormat="1" x14ac:dyDescent="0.3">
      <c r="A100" s="32"/>
      <c r="B100" s="32"/>
      <c r="C100" s="32"/>
      <c r="D100" s="32"/>
      <c r="E100" s="32"/>
      <c r="F100" s="32"/>
      <c r="G100" s="32"/>
      <c r="H100" s="32"/>
      <c r="I100" s="21"/>
      <c r="J100" s="21"/>
      <c r="K100" s="21"/>
      <c r="L100" s="32"/>
      <c r="M100" s="32"/>
      <c r="N100" s="32"/>
      <c r="AT100" s="32"/>
    </row>
    <row r="101" spans="1:46" s="22" customFormat="1" x14ac:dyDescent="0.3">
      <c r="A101" s="32"/>
      <c r="B101" s="32"/>
      <c r="C101" s="32"/>
      <c r="D101" s="32"/>
      <c r="E101" s="32"/>
      <c r="F101" s="32"/>
      <c r="G101" s="32"/>
      <c r="H101" s="32"/>
      <c r="I101" s="21"/>
      <c r="J101" s="21"/>
      <c r="K101" s="21"/>
      <c r="L101" s="32"/>
      <c r="M101" s="32"/>
      <c r="N101" s="32"/>
      <c r="AT101" s="32"/>
    </row>
    <row r="102" spans="1:46" s="22" customFormat="1" x14ac:dyDescent="0.3">
      <c r="A102" s="32"/>
      <c r="B102" s="32"/>
      <c r="C102" s="32"/>
      <c r="D102" s="32"/>
      <c r="E102" s="32"/>
      <c r="F102" s="32"/>
      <c r="G102" s="32"/>
      <c r="H102" s="32"/>
      <c r="I102" s="21"/>
      <c r="J102" s="21"/>
      <c r="K102" s="21"/>
      <c r="L102" s="32"/>
      <c r="M102" s="32"/>
      <c r="N102" s="32"/>
      <c r="AT102" s="32"/>
    </row>
    <row r="103" spans="1:46" s="22" customFormat="1" x14ac:dyDescent="0.3">
      <c r="A103" s="32"/>
      <c r="B103" s="32"/>
      <c r="C103" s="32"/>
      <c r="D103" s="32"/>
      <c r="E103" s="32"/>
      <c r="F103" s="32"/>
      <c r="G103" s="32"/>
      <c r="H103" s="32"/>
      <c r="I103" s="21"/>
      <c r="J103" s="21"/>
      <c r="K103" s="21"/>
      <c r="L103" s="32"/>
      <c r="M103" s="32"/>
      <c r="N103" s="32"/>
      <c r="AT103" s="32"/>
    </row>
    <row r="104" spans="1:46" s="22" customFormat="1" x14ac:dyDescent="0.3">
      <c r="A104" s="32"/>
      <c r="B104" s="32"/>
      <c r="C104" s="32"/>
      <c r="D104" s="32"/>
      <c r="E104" s="32"/>
      <c r="F104" s="32"/>
      <c r="G104" s="32"/>
      <c r="H104" s="32"/>
      <c r="I104" s="21"/>
      <c r="J104" s="21"/>
      <c r="K104" s="21"/>
      <c r="L104" s="32"/>
      <c r="M104" s="32"/>
      <c r="N104" s="32"/>
      <c r="AT104" s="32"/>
    </row>
    <row r="105" spans="1:46" s="22" customFormat="1" x14ac:dyDescent="0.3">
      <c r="A105" s="32"/>
      <c r="B105" s="32"/>
      <c r="C105" s="32"/>
      <c r="D105" s="32"/>
      <c r="E105" s="32"/>
      <c r="F105" s="32"/>
      <c r="G105" s="32"/>
      <c r="H105" s="32"/>
      <c r="I105" s="21"/>
      <c r="J105" s="21"/>
      <c r="K105" s="21"/>
      <c r="L105" s="32"/>
      <c r="M105" s="32"/>
      <c r="N105" s="32"/>
      <c r="AT105" s="32"/>
    </row>
    <row r="106" spans="1:46" s="22" customFormat="1" x14ac:dyDescent="0.3">
      <c r="A106" s="32"/>
      <c r="B106" s="32"/>
      <c r="C106" s="32"/>
      <c r="D106" s="32"/>
      <c r="E106" s="32"/>
      <c r="F106" s="32"/>
      <c r="G106" s="32"/>
      <c r="H106" s="32"/>
      <c r="I106" s="21"/>
      <c r="J106" s="21"/>
      <c r="K106" s="21"/>
      <c r="L106" s="32"/>
      <c r="M106" s="32"/>
      <c r="N106" s="32"/>
      <c r="AT106" s="32"/>
    </row>
    <row r="107" spans="1:46" s="22" customFormat="1" x14ac:dyDescent="0.3">
      <c r="A107" s="32"/>
      <c r="B107" s="32"/>
      <c r="C107" s="32"/>
      <c r="D107" s="32"/>
      <c r="E107" s="32"/>
      <c r="F107" s="32"/>
      <c r="G107" s="32"/>
      <c r="H107" s="32"/>
      <c r="I107" s="21"/>
      <c r="J107" s="21"/>
      <c r="K107" s="21"/>
      <c r="L107" s="32"/>
      <c r="M107" s="32"/>
      <c r="N107" s="32"/>
      <c r="AT107" s="32"/>
    </row>
    <row r="108" spans="1:46" s="22" customFormat="1" x14ac:dyDescent="0.3">
      <c r="A108" s="32"/>
      <c r="B108" s="32"/>
      <c r="C108" s="32"/>
      <c r="D108" s="32"/>
      <c r="E108" s="32"/>
      <c r="F108" s="32"/>
      <c r="G108" s="32"/>
      <c r="H108" s="32"/>
      <c r="I108" s="21"/>
      <c r="J108" s="21"/>
      <c r="K108" s="21"/>
      <c r="L108" s="32"/>
      <c r="M108" s="32"/>
      <c r="N108" s="32"/>
      <c r="AT108" s="32"/>
    </row>
    <row r="109" spans="1:46" s="22" customFormat="1" x14ac:dyDescent="0.3">
      <c r="A109" s="32"/>
      <c r="B109" s="32"/>
      <c r="C109" s="32"/>
      <c r="D109" s="32"/>
      <c r="E109" s="32"/>
      <c r="F109" s="32"/>
      <c r="G109" s="32"/>
      <c r="H109" s="32"/>
      <c r="I109" s="21"/>
      <c r="J109" s="21"/>
      <c r="K109" s="21"/>
      <c r="L109" s="32"/>
      <c r="M109" s="32"/>
      <c r="N109" s="32"/>
      <c r="AT109" s="32"/>
    </row>
    <row r="110" spans="1:46" s="22" customFormat="1" x14ac:dyDescent="0.3">
      <c r="A110" s="32"/>
      <c r="B110" s="32"/>
      <c r="C110" s="32"/>
      <c r="D110" s="32"/>
      <c r="E110" s="32"/>
      <c r="F110" s="32"/>
      <c r="G110" s="32"/>
      <c r="H110" s="32"/>
      <c r="I110" s="21"/>
      <c r="J110" s="21"/>
      <c r="K110" s="21"/>
      <c r="L110" s="32"/>
      <c r="M110" s="32"/>
      <c r="N110" s="32"/>
      <c r="AT110" s="32"/>
    </row>
    <row r="111" spans="1:46" s="22" customFormat="1" x14ac:dyDescent="0.3">
      <c r="A111" s="32"/>
      <c r="B111" s="32"/>
      <c r="C111" s="32"/>
      <c r="D111" s="32"/>
      <c r="E111" s="32"/>
      <c r="F111" s="32"/>
      <c r="G111" s="32"/>
      <c r="H111" s="32"/>
      <c r="I111" s="21"/>
      <c r="J111" s="21"/>
      <c r="K111" s="21"/>
      <c r="L111" s="32"/>
      <c r="M111" s="32"/>
      <c r="N111" s="32"/>
      <c r="AT111" s="32"/>
    </row>
    <row r="112" spans="1:46" s="22" customFormat="1" x14ac:dyDescent="0.3">
      <c r="A112" s="32"/>
      <c r="B112" s="32"/>
      <c r="C112" s="32"/>
      <c r="D112" s="32"/>
      <c r="E112" s="32"/>
      <c r="F112" s="32"/>
      <c r="G112" s="32"/>
      <c r="H112" s="32"/>
      <c r="I112" s="21"/>
      <c r="J112" s="21"/>
      <c r="K112" s="21"/>
      <c r="L112" s="32"/>
      <c r="M112" s="32"/>
      <c r="N112" s="32"/>
      <c r="AT112" s="32"/>
    </row>
    <row r="113" spans="1:46" s="22" customFormat="1" x14ac:dyDescent="0.3">
      <c r="A113" s="32"/>
      <c r="B113" s="32"/>
      <c r="C113" s="32"/>
      <c r="D113" s="32"/>
      <c r="E113" s="32"/>
      <c r="F113" s="32"/>
      <c r="G113" s="32"/>
      <c r="H113" s="32"/>
      <c r="I113" s="21"/>
      <c r="J113" s="21"/>
      <c r="K113" s="21"/>
      <c r="L113" s="32"/>
      <c r="M113" s="32"/>
      <c r="N113" s="32"/>
      <c r="AT113" s="32"/>
    </row>
    <row r="114" spans="1:46" s="22" customFormat="1" x14ac:dyDescent="0.3">
      <c r="A114" s="32"/>
      <c r="B114" s="32"/>
      <c r="C114" s="32"/>
      <c r="D114" s="32"/>
      <c r="E114" s="32"/>
      <c r="F114" s="32"/>
      <c r="G114" s="32"/>
      <c r="H114" s="32"/>
      <c r="I114" s="21"/>
      <c r="J114" s="21"/>
      <c r="K114" s="21"/>
      <c r="L114" s="32"/>
      <c r="M114" s="32"/>
      <c r="N114" s="32"/>
      <c r="AT114" s="32"/>
    </row>
    <row r="115" spans="1:46" s="22" customFormat="1" x14ac:dyDescent="0.3">
      <c r="A115" s="32"/>
      <c r="B115" s="32"/>
      <c r="C115" s="32"/>
      <c r="D115" s="32"/>
      <c r="E115" s="32"/>
      <c r="F115" s="32"/>
      <c r="G115" s="32"/>
      <c r="H115" s="32"/>
      <c r="I115" s="24"/>
      <c r="J115" s="24"/>
      <c r="K115" s="24"/>
      <c r="L115" s="32"/>
      <c r="M115" s="32"/>
      <c r="N115" s="32"/>
      <c r="AT115" s="32"/>
    </row>
    <row r="116" spans="1:46" s="22" customFormat="1" x14ac:dyDescent="0.3">
      <c r="A116" s="32"/>
      <c r="B116" s="32"/>
      <c r="C116" s="32"/>
      <c r="D116" s="32"/>
      <c r="E116" s="32"/>
      <c r="F116" s="32"/>
      <c r="G116" s="32"/>
      <c r="H116" s="32"/>
      <c r="I116" s="24"/>
      <c r="J116" s="24"/>
      <c r="K116" s="24"/>
      <c r="L116" s="32"/>
      <c r="M116" s="32"/>
      <c r="N116" s="32"/>
      <c r="AT116" s="32"/>
    </row>
    <row r="117" spans="1:46" s="22" customFormat="1" x14ac:dyDescent="0.3">
      <c r="A117" s="32"/>
      <c r="B117" s="32"/>
      <c r="C117" s="32"/>
      <c r="D117" s="32"/>
      <c r="E117" s="32"/>
      <c r="F117" s="32"/>
      <c r="G117" s="32"/>
      <c r="H117" s="32"/>
      <c r="I117" s="24"/>
      <c r="J117" s="24"/>
      <c r="K117" s="24"/>
      <c r="L117" s="25"/>
      <c r="M117" s="32"/>
      <c r="N117" s="32"/>
      <c r="AT117" s="32"/>
    </row>
    <row r="118" spans="1:46" s="22" customFormat="1" x14ac:dyDescent="0.3">
      <c r="A118" s="32"/>
      <c r="B118" s="32"/>
      <c r="C118" s="32"/>
      <c r="D118" s="32"/>
      <c r="E118" s="32"/>
      <c r="F118" s="32"/>
      <c r="G118" s="32"/>
      <c r="H118" s="32"/>
      <c r="I118" s="24"/>
      <c r="J118" s="24"/>
      <c r="K118" s="24"/>
      <c r="L118" s="25"/>
      <c r="M118" s="32"/>
      <c r="N118" s="32"/>
      <c r="AT118" s="32"/>
    </row>
    <row r="119" spans="1:46" s="22" customFormat="1" x14ac:dyDescent="0.3">
      <c r="A119" s="32"/>
      <c r="B119" s="32"/>
      <c r="C119" s="32"/>
      <c r="D119" s="32"/>
      <c r="E119" s="32"/>
      <c r="F119" s="32"/>
      <c r="G119" s="32"/>
      <c r="H119" s="32"/>
      <c r="I119" s="24"/>
      <c r="J119" s="24"/>
      <c r="K119" s="24"/>
      <c r="L119" s="25"/>
      <c r="M119" s="32"/>
      <c r="AT119" s="32"/>
    </row>
    <row r="120" spans="1:46" s="22" customFormat="1" x14ac:dyDescent="0.3">
      <c r="A120" s="32"/>
      <c r="B120" s="32"/>
      <c r="C120" s="32"/>
      <c r="D120" s="32"/>
      <c r="E120" s="32"/>
      <c r="F120" s="32"/>
      <c r="G120" s="32"/>
      <c r="H120" s="32"/>
      <c r="I120" s="24"/>
      <c r="J120" s="24"/>
      <c r="K120" s="24"/>
      <c r="L120" s="25"/>
      <c r="M120" s="32"/>
      <c r="AT120" s="32"/>
    </row>
    <row r="121" spans="1:46" s="22" customFormat="1" x14ac:dyDescent="0.3">
      <c r="A121" s="32"/>
      <c r="B121" s="32"/>
      <c r="C121" s="32"/>
      <c r="D121" s="32"/>
      <c r="E121" s="32"/>
      <c r="F121" s="32"/>
      <c r="G121" s="32"/>
      <c r="H121" s="32"/>
      <c r="I121" s="24"/>
      <c r="J121" s="24"/>
      <c r="K121" s="24"/>
      <c r="L121" s="25"/>
      <c r="M121" s="32"/>
      <c r="AT121" s="32"/>
    </row>
    <row r="122" spans="1:46" s="22" customFormat="1" x14ac:dyDescent="0.3">
      <c r="A122" s="32"/>
      <c r="B122" s="32"/>
      <c r="C122" s="32"/>
      <c r="D122" s="32"/>
      <c r="E122" s="32"/>
      <c r="F122" s="32"/>
      <c r="G122" s="32"/>
      <c r="H122" s="32"/>
      <c r="I122" s="24"/>
      <c r="J122" s="24"/>
      <c r="K122" s="24"/>
      <c r="L122" s="25"/>
      <c r="M122" s="25"/>
      <c r="AT122" s="32"/>
    </row>
    <row r="123" spans="1:46" s="22" customFormat="1" x14ac:dyDescent="0.3">
      <c r="A123" s="32"/>
      <c r="B123" s="32"/>
      <c r="C123" s="32"/>
      <c r="D123" s="32"/>
      <c r="E123" s="32"/>
      <c r="F123" s="32"/>
      <c r="G123" s="32"/>
      <c r="H123" s="32"/>
      <c r="I123" s="24"/>
      <c r="J123" s="24"/>
      <c r="K123" s="24"/>
      <c r="L123" s="25"/>
      <c r="M123" s="25"/>
      <c r="AT123" s="32"/>
    </row>
    <row r="124" spans="1:46" s="22" customFormat="1" x14ac:dyDescent="0.3">
      <c r="A124" s="32"/>
      <c r="B124" s="32"/>
      <c r="C124" s="32"/>
      <c r="D124" s="32"/>
      <c r="E124" s="32"/>
      <c r="F124" s="32"/>
      <c r="G124" s="32"/>
      <c r="H124" s="32"/>
      <c r="I124" s="24"/>
      <c r="J124" s="24"/>
      <c r="K124" s="24"/>
      <c r="L124" s="25"/>
      <c r="M124" s="25"/>
      <c r="AT124" s="32"/>
    </row>
    <row r="125" spans="1:46" s="22" customFormat="1" x14ac:dyDescent="0.3">
      <c r="I125" s="24"/>
      <c r="J125" s="24"/>
      <c r="K125" s="24"/>
      <c r="L125" s="25"/>
      <c r="M125" s="25"/>
      <c r="AT125" s="32"/>
    </row>
    <row r="126" spans="1:46" s="22" customFormat="1" x14ac:dyDescent="0.3">
      <c r="I126" s="24"/>
      <c r="J126" s="24"/>
      <c r="K126" s="24"/>
      <c r="L126" s="25"/>
      <c r="M126" s="25"/>
      <c r="AT126" s="32"/>
    </row>
    <row r="127" spans="1:46" s="22" customFormat="1" x14ac:dyDescent="0.3">
      <c r="I127" s="24"/>
      <c r="J127" s="24"/>
      <c r="K127" s="24"/>
      <c r="L127" s="25"/>
      <c r="M127" s="25"/>
      <c r="AT127" s="32"/>
    </row>
    <row r="128" spans="1:46" s="22" customFormat="1" x14ac:dyDescent="0.3">
      <c r="I128" s="24"/>
      <c r="J128" s="24"/>
      <c r="K128" s="24"/>
      <c r="L128" s="25"/>
      <c r="M128" s="25"/>
      <c r="AT128" s="32"/>
    </row>
    <row r="129" spans="9:46" s="22" customFormat="1" x14ac:dyDescent="0.3">
      <c r="I129" s="24"/>
      <c r="J129" s="24"/>
      <c r="K129" s="24"/>
      <c r="L129" s="25"/>
      <c r="M129" s="25"/>
      <c r="AT129" s="32"/>
    </row>
    <row r="130" spans="9:46" s="22" customFormat="1" x14ac:dyDescent="0.3">
      <c r="I130" s="24"/>
      <c r="J130" s="24"/>
      <c r="K130" s="24"/>
      <c r="L130" s="25"/>
      <c r="M130" s="25"/>
      <c r="AT130" s="32"/>
    </row>
    <row r="131" spans="9:46" s="22" customFormat="1" x14ac:dyDescent="0.3">
      <c r="I131" s="24"/>
      <c r="J131" s="24"/>
      <c r="K131" s="24"/>
      <c r="L131" s="25"/>
      <c r="M131" s="25"/>
      <c r="AT131" s="32"/>
    </row>
    <row r="132" spans="9:46" s="22" customFormat="1" x14ac:dyDescent="0.3">
      <c r="I132" s="24"/>
      <c r="J132" s="24"/>
      <c r="K132" s="24"/>
      <c r="L132" s="25"/>
      <c r="M132" s="25"/>
      <c r="AT132" s="32"/>
    </row>
    <row r="133" spans="9:46" s="22" customFormat="1" x14ac:dyDescent="0.3">
      <c r="I133" s="24"/>
      <c r="J133" s="24"/>
      <c r="K133" s="24"/>
      <c r="L133" s="25"/>
      <c r="M133" s="25"/>
      <c r="AT133" s="32"/>
    </row>
    <row r="134" spans="9:46" s="22" customFormat="1" x14ac:dyDescent="0.3">
      <c r="I134" s="24"/>
      <c r="J134" s="24"/>
      <c r="K134" s="24"/>
      <c r="L134" s="25"/>
      <c r="M134" s="25"/>
      <c r="AT134" s="32"/>
    </row>
    <row r="135" spans="9:46" s="22" customFormat="1" x14ac:dyDescent="0.3">
      <c r="I135" s="24"/>
      <c r="J135" s="24"/>
      <c r="K135" s="24"/>
      <c r="L135" s="25"/>
      <c r="M135" s="25"/>
      <c r="AT135" s="32"/>
    </row>
    <row r="136" spans="9:46" s="22" customFormat="1" x14ac:dyDescent="0.3">
      <c r="I136" s="24"/>
      <c r="J136" s="24"/>
      <c r="K136" s="24"/>
      <c r="L136" s="25"/>
      <c r="M136" s="25"/>
      <c r="AT136" s="32"/>
    </row>
    <row r="137" spans="9:46" s="22" customFormat="1" x14ac:dyDescent="0.3">
      <c r="I137" s="24"/>
      <c r="J137" s="24"/>
      <c r="K137" s="24"/>
      <c r="L137" s="25"/>
      <c r="M137" s="25"/>
      <c r="AT137" s="32"/>
    </row>
    <row r="138" spans="9:46" s="22" customFormat="1" x14ac:dyDescent="0.3">
      <c r="I138" s="24"/>
      <c r="J138" s="24"/>
      <c r="K138" s="24"/>
      <c r="L138" s="25"/>
      <c r="M138" s="25"/>
      <c r="AT138" s="32"/>
    </row>
    <row r="139" spans="9:46" s="22" customFormat="1" x14ac:dyDescent="0.3">
      <c r="I139" s="24"/>
      <c r="J139" s="24"/>
      <c r="K139" s="24"/>
      <c r="L139" s="25"/>
      <c r="M139" s="25"/>
      <c r="AT139" s="32"/>
    </row>
    <row r="140" spans="9:46" s="22" customFormat="1" x14ac:dyDescent="0.3">
      <c r="I140" s="24"/>
      <c r="J140" s="24"/>
      <c r="K140" s="24"/>
      <c r="L140" s="25"/>
      <c r="M140" s="25"/>
      <c r="AT140" s="32"/>
    </row>
    <row r="141" spans="9:46" s="22" customFormat="1" x14ac:dyDescent="0.3">
      <c r="I141" s="24"/>
      <c r="J141" s="24"/>
      <c r="K141" s="24"/>
      <c r="L141" s="25"/>
      <c r="M141" s="25"/>
      <c r="AT141" s="32"/>
    </row>
    <row r="142" spans="9:46" s="22" customFormat="1" x14ac:dyDescent="0.3">
      <c r="I142" s="24"/>
      <c r="J142" s="24"/>
      <c r="K142" s="24"/>
      <c r="L142" s="25"/>
      <c r="M142" s="25"/>
      <c r="AT142" s="32"/>
    </row>
    <row r="143" spans="9:46" s="22" customFormat="1" x14ac:dyDescent="0.3">
      <c r="I143" s="24"/>
      <c r="J143" s="24"/>
      <c r="K143" s="24"/>
      <c r="L143" s="25"/>
      <c r="M143" s="25"/>
      <c r="AT143" s="32"/>
    </row>
    <row r="144" spans="9:46" s="22" customFormat="1" x14ac:dyDescent="0.3">
      <c r="I144" s="24"/>
      <c r="J144" s="24"/>
      <c r="K144" s="24"/>
      <c r="L144" s="25"/>
      <c r="M144" s="25"/>
      <c r="AT144" s="32"/>
    </row>
    <row r="145" spans="9:46" s="22" customFormat="1" x14ac:dyDescent="0.3">
      <c r="I145" s="24"/>
      <c r="J145" s="24"/>
      <c r="K145" s="24"/>
      <c r="L145" s="25"/>
      <c r="M145" s="25"/>
      <c r="AT145" s="32"/>
    </row>
    <row r="146" spans="9:46" s="22" customFormat="1" x14ac:dyDescent="0.3">
      <c r="I146" s="24"/>
      <c r="J146" s="24"/>
      <c r="K146" s="24"/>
      <c r="L146" s="25"/>
      <c r="M146" s="25"/>
      <c r="AT146" s="32"/>
    </row>
    <row r="147" spans="9:46" s="22" customFormat="1" x14ac:dyDescent="0.3">
      <c r="I147" s="24"/>
      <c r="J147" s="24"/>
      <c r="K147" s="24"/>
      <c r="L147" s="25"/>
      <c r="M147" s="25"/>
      <c r="AT147" s="32"/>
    </row>
    <row r="148" spans="9:46" s="22" customFormat="1" x14ac:dyDescent="0.3">
      <c r="I148" s="24"/>
      <c r="J148" s="24"/>
      <c r="K148" s="24"/>
      <c r="L148" s="25"/>
      <c r="M148" s="25"/>
      <c r="AT148" s="32"/>
    </row>
    <row r="149" spans="9:46" s="22" customFormat="1" x14ac:dyDescent="0.3">
      <c r="I149" s="24"/>
      <c r="J149" s="24"/>
      <c r="K149" s="24"/>
      <c r="L149" s="25"/>
      <c r="M149" s="25"/>
      <c r="AT149" s="32"/>
    </row>
    <row r="150" spans="9:46" s="22" customFormat="1" x14ac:dyDescent="0.3">
      <c r="I150" s="24"/>
      <c r="J150" s="24"/>
      <c r="K150" s="24"/>
      <c r="L150" s="25"/>
      <c r="M150" s="25"/>
      <c r="AT150" s="32"/>
    </row>
    <row r="151" spans="9:46" s="22" customFormat="1" x14ac:dyDescent="0.3">
      <c r="I151" s="24"/>
      <c r="J151" s="24"/>
      <c r="K151" s="24"/>
      <c r="L151" s="25"/>
      <c r="M151" s="25"/>
      <c r="AT151" s="32"/>
    </row>
    <row r="152" spans="9:46" s="22" customFormat="1" x14ac:dyDescent="0.3">
      <c r="I152" s="24"/>
      <c r="J152" s="24"/>
      <c r="K152" s="24"/>
      <c r="L152" s="25"/>
      <c r="M152" s="25"/>
      <c r="AT152" s="32"/>
    </row>
    <row r="153" spans="9:46" s="22" customFormat="1" x14ac:dyDescent="0.3">
      <c r="I153" s="24"/>
      <c r="J153" s="24"/>
      <c r="K153" s="24"/>
      <c r="L153" s="25"/>
      <c r="M153" s="25"/>
      <c r="AT153" s="32"/>
    </row>
    <row r="154" spans="9:46" s="22" customFormat="1" x14ac:dyDescent="0.3">
      <c r="I154" s="24"/>
      <c r="J154" s="24"/>
      <c r="K154" s="24"/>
      <c r="L154" s="25"/>
      <c r="M154" s="25"/>
      <c r="AT154" s="32"/>
    </row>
    <row r="155" spans="9:46" s="22" customFormat="1" x14ac:dyDescent="0.3">
      <c r="I155" s="24"/>
      <c r="J155" s="24"/>
      <c r="K155" s="24"/>
      <c r="L155" s="25"/>
      <c r="M155" s="25"/>
      <c r="AT155" s="32"/>
    </row>
    <row r="156" spans="9:46" s="22" customFormat="1" x14ac:dyDescent="0.3">
      <c r="I156" s="24"/>
      <c r="J156" s="24"/>
      <c r="K156" s="24"/>
      <c r="L156" s="25"/>
      <c r="M156" s="25"/>
      <c r="AT156" s="32"/>
    </row>
    <row r="157" spans="9:46" s="22" customFormat="1" x14ac:dyDescent="0.3">
      <c r="I157" s="24"/>
      <c r="J157" s="24"/>
      <c r="K157" s="24"/>
      <c r="L157" s="25"/>
      <c r="M157" s="25"/>
      <c r="AT157" s="32"/>
    </row>
    <row r="158" spans="9:46" s="22" customFormat="1" x14ac:dyDescent="0.3">
      <c r="I158" s="24"/>
      <c r="J158" s="24"/>
      <c r="K158" s="24"/>
      <c r="L158" s="25"/>
      <c r="M158" s="25"/>
      <c r="AT158" s="32"/>
    </row>
    <row r="159" spans="9:46" s="22" customFormat="1" x14ac:dyDescent="0.3">
      <c r="I159" s="24"/>
      <c r="J159" s="24"/>
      <c r="K159" s="24"/>
      <c r="L159" s="25"/>
      <c r="M159" s="25"/>
      <c r="AT159" s="32"/>
    </row>
    <row r="160" spans="9:46" s="22" customFormat="1" x14ac:dyDescent="0.3">
      <c r="I160" s="24"/>
      <c r="J160" s="24"/>
      <c r="K160" s="24"/>
      <c r="L160" s="25"/>
      <c r="M160" s="25"/>
      <c r="AT160" s="32"/>
    </row>
    <row r="161" spans="9:46" s="22" customFormat="1" x14ac:dyDescent="0.3">
      <c r="I161" s="24"/>
      <c r="J161" s="24"/>
      <c r="K161" s="24"/>
      <c r="L161" s="25"/>
      <c r="M161" s="25"/>
      <c r="AT161" s="32"/>
    </row>
    <row r="162" spans="9:46" s="22" customFormat="1" x14ac:dyDescent="0.3">
      <c r="I162" s="24"/>
      <c r="J162" s="24"/>
      <c r="K162" s="24"/>
      <c r="L162" s="25"/>
      <c r="M162" s="25"/>
      <c r="AT162" s="32"/>
    </row>
    <row r="163" spans="9:46" s="22" customFormat="1" x14ac:dyDescent="0.3">
      <c r="I163" s="24"/>
      <c r="J163" s="24"/>
      <c r="K163" s="24"/>
      <c r="L163" s="25"/>
      <c r="M163" s="25"/>
      <c r="AT163" s="32"/>
    </row>
    <row r="164" spans="9:46" s="22" customFormat="1" x14ac:dyDescent="0.3">
      <c r="I164" s="24"/>
      <c r="J164" s="24"/>
      <c r="K164" s="24"/>
      <c r="L164" s="25"/>
      <c r="M164" s="25"/>
      <c r="AT164" s="32"/>
    </row>
    <row r="165" spans="9:46" s="22" customFormat="1" x14ac:dyDescent="0.3">
      <c r="I165" s="24"/>
      <c r="J165" s="24"/>
      <c r="K165" s="24"/>
      <c r="L165" s="25"/>
      <c r="M165" s="25"/>
      <c r="AT165" s="32"/>
    </row>
    <row r="166" spans="9:46" s="22" customFormat="1" x14ac:dyDescent="0.3">
      <c r="I166" s="24"/>
      <c r="J166" s="24"/>
      <c r="K166" s="24"/>
      <c r="L166" s="25"/>
      <c r="M166" s="25"/>
      <c r="AT166" s="32"/>
    </row>
    <row r="167" spans="9:46" s="22" customFormat="1" x14ac:dyDescent="0.3">
      <c r="I167" s="24"/>
      <c r="J167" s="24"/>
      <c r="K167" s="24"/>
      <c r="L167" s="25"/>
      <c r="M167" s="25"/>
      <c r="AT167" s="32"/>
    </row>
    <row r="168" spans="9:46" s="22" customFormat="1" x14ac:dyDescent="0.3">
      <c r="I168" s="24"/>
      <c r="J168" s="24"/>
      <c r="K168" s="24"/>
      <c r="L168" s="25"/>
      <c r="M168" s="25"/>
      <c r="AT168" s="32"/>
    </row>
    <row r="169" spans="9:46" s="22" customFormat="1" x14ac:dyDescent="0.3">
      <c r="I169" s="24"/>
      <c r="J169" s="24"/>
      <c r="K169" s="24"/>
      <c r="L169" s="25"/>
      <c r="M169" s="25"/>
      <c r="AT169" s="32"/>
    </row>
    <row r="170" spans="9:46" s="22" customFormat="1" x14ac:dyDescent="0.3">
      <c r="I170" s="24"/>
      <c r="J170" s="24"/>
      <c r="K170" s="24"/>
      <c r="L170" s="25"/>
      <c r="M170" s="25"/>
      <c r="AT170" s="32"/>
    </row>
    <row r="171" spans="9:46" s="22" customFormat="1" x14ac:dyDescent="0.3">
      <c r="I171" s="24"/>
      <c r="J171" s="24"/>
      <c r="K171" s="24"/>
      <c r="L171" s="25"/>
      <c r="M171" s="25"/>
      <c r="AT171" s="32"/>
    </row>
    <row r="172" spans="9:46" s="22" customFormat="1" x14ac:dyDescent="0.3">
      <c r="I172" s="24"/>
      <c r="J172" s="24"/>
      <c r="K172" s="24"/>
      <c r="L172" s="25"/>
      <c r="M172" s="25"/>
      <c r="AT172" s="32"/>
    </row>
    <row r="173" spans="9:46" s="22" customFormat="1" x14ac:dyDescent="0.3">
      <c r="I173" s="24"/>
      <c r="J173" s="24"/>
      <c r="K173" s="24"/>
      <c r="L173" s="25"/>
      <c r="M173" s="25"/>
      <c r="AT173" s="32"/>
    </row>
    <row r="174" spans="9:46" s="22" customFormat="1" x14ac:dyDescent="0.3">
      <c r="I174" s="24"/>
      <c r="J174" s="24"/>
      <c r="K174" s="24"/>
      <c r="L174" s="25"/>
      <c r="M174" s="25"/>
      <c r="AT174" s="32"/>
    </row>
    <row r="175" spans="9:46" s="22" customFormat="1" x14ac:dyDescent="0.3">
      <c r="I175" s="24"/>
      <c r="J175" s="24"/>
      <c r="K175" s="24"/>
      <c r="L175" s="25"/>
      <c r="M175" s="25"/>
      <c r="AT175" s="32"/>
    </row>
    <row r="176" spans="9:46" s="22" customFormat="1" x14ac:dyDescent="0.3">
      <c r="I176" s="24"/>
      <c r="J176" s="24"/>
      <c r="K176" s="24"/>
      <c r="L176" s="25"/>
      <c r="M176" s="25"/>
      <c r="AT176" s="32"/>
    </row>
    <row r="177" spans="1:47" s="22" customFormat="1" x14ac:dyDescent="0.3">
      <c r="I177" s="24"/>
      <c r="J177" s="24"/>
      <c r="K177" s="24"/>
      <c r="L177" s="25"/>
      <c r="M177" s="25"/>
      <c r="AT177" s="32"/>
    </row>
    <row r="178" spans="1:47" s="22" customFormat="1" x14ac:dyDescent="0.3">
      <c r="I178" s="24"/>
      <c r="J178" s="24"/>
      <c r="K178" s="24"/>
      <c r="L178" s="25"/>
      <c r="M178" s="25"/>
      <c r="AT178" s="32"/>
    </row>
    <row r="179" spans="1:47" s="22" customFormat="1" x14ac:dyDescent="0.3">
      <c r="I179" s="24"/>
      <c r="J179" s="24"/>
      <c r="K179" s="24"/>
      <c r="L179" s="25"/>
      <c r="M179" s="25"/>
      <c r="AT179" s="32"/>
    </row>
    <row r="180" spans="1:47" s="22" customFormat="1" x14ac:dyDescent="0.3">
      <c r="I180" s="24"/>
      <c r="J180" s="24"/>
      <c r="K180" s="24"/>
      <c r="L180" s="25"/>
      <c r="M180" s="25"/>
      <c r="AT180" s="32"/>
    </row>
    <row r="181" spans="1:47" s="30" customFormat="1" x14ac:dyDescent="0.3">
      <c r="A181" s="22"/>
      <c r="B181" s="22"/>
      <c r="C181" s="22"/>
      <c r="D181" s="22"/>
      <c r="E181" s="22"/>
      <c r="F181" s="22"/>
      <c r="G181" s="22"/>
      <c r="H181" s="22"/>
      <c r="I181" s="24"/>
      <c r="J181" s="24"/>
      <c r="K181" s="24"/>
      <c r="L181" s="25"/>
      <c r="M181" s="25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32"/>
      <c r="AU181" s="22"/>
    </row>
    <row r="182" spans="1:47" s="30" customFormat="1" x14ac:dyDescent="0.3">
      <c r="A182" s="22"/>
      <c r="B182" s="22"/>
      <c r="C182" s="22"/>
      <c r="D182" s="22"/>
      <c r="E182" s="22"/>
      <c r="F182" s="22"/>
      <c r="G182" s="22"/>
      <c r="H182" s="22"/>
      <c r="I182" s="24"/>
      <c r="J182" s="24"/>
      <c r="K182" s="24"/>
      <c r="L182" s="25"/>
      <c r="M182" s="25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32"/>
      <c r="AU182" s="22"/>
    </row>
    <row r="183" spans="1:47" s="30" customFormat="1" x14ac:dyDescent="0.3">
      <c r="A183" s="22"/>
      <c r="B183" s="22"/>
      <c r="C183" s="22"/>
      <c r="D183" s="22"/>
      <c r="E183" s="22"/>
      <c r="F183" s="22"/>
      <c r="G183" s="22"/>
      <c r="H183" s="22"/>
      <c r="I183" s="24"/>
      <c r="J183" s="24"/>
      <c r="K183" s="24"/>
      <c r="L183" s="25"/>
      <c r="M183" s="25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32"/>
      <c r="AU183" s="22"/>
    </row>
    <row r="184" spans="1:47" s="30" customFormat="1" x14ac:dyDescent="0.3">
      <c r="A184" s="22"/>
      <c r="B184" s="22"/>
      <c r="C184" s="22"/>
      <c r="D184" s="22"/>
      <c r="E184" s="22"/>
      <c r="F184" s="22"/>
      <c r="G184" s="22"/>
      <c r="H184" s="22"/>
      <c r="I184" s="24"/>
      <c r="J184" s="24"/>
      <c r="K184" s="24"/>
      <c r="L184" s="25"/>
      <c r="M184" s="25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32"/>
      <c r="AU184" s="22"/>
    </row>
    <row r="185" spans="1:47" s="30" customFormat="1" x14ac:dyDescent="0.3">
      <c r="A185" s="22"/>
      <c r="B185" s="22"/>
      <c r="C185" s="22"/>
      <c r="D185" s="22"/>
      <c r="E185" s="22"/>
      <c r="F185" s="22"/>
      <c r="G185" s="22"/>
      <c r="H185" s="22"/>
      <c r="I185" s="24"/>
      <c r="J185" s="24"/>
      <c r="K185" s="24"/>
      <c r="L185" s="25"/>
      <c r="M185" s="25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32"/>
      <c r="AU185" s="22"/>
    </row>
    <row r="186" spans="1:47" s="30" customFormat="1" x14ac:dyDescent="0.3">
      <c r="A186" s="22"/>
      <c r="B186" s="22"/>
      <c r="C186" s="22"/>
      <c r="D186" s="22"/>
      <c r="E186" s="22"/>
      <c r="F186" s="22"/>
      <c r="G186" s="22"/>
      <c r="H186" s="22"/>
      <c r="I186" s="24"/>
      <c r="J186" s="24"/>
      <c r="K186" s="24"/>
      <c r="L186" s="25"/>
      <c r="M186" s="25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32"/>
      <c r="AU186" s="22"/>
    </row>
    <row r="187" spans="1:47" s="30" customFormat="1" x14ac:dyDescent="0.3">
      <c r="A187" s="22"/>
      <c r="B187" s="22"/>
      <c r="C187" s="22"/>
      <c r="D187" s="22"/>
      <c r="E187" s="22"/>
      <c r="F187" s="22"/>
      <c r="G187" s="22"/>
      <c r="H187" s="22"/>
      <c r="I187" s="24"/>
      <c r="J187" s="24"/>
      <c r="K187" s="24"/>
      <c r="L187" s="25"/>
      <c r="M187" s="25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32"/>
      <c r="AU187" s="22"/>
    </row>
    <row r="188" spans="1:47" s="30" customFormat="1" x14ac:dyDescent="0.3">
      <c r="A188" s="22"/>
      <c r="B188" s="22"/>
      <c r="C188" s="22"/>
      <c r="D188" s="22"/>
      <c r="E188" s="22"/>
      <c r="F188" s="22"/>
      <c r="G188" s="22"/>
      <c r="H188" s="22"/>
      <c r="I188" s="24"/>
      <c r="J188" s="24"/>
      <c r="K188" s="24"/>
      <c r="L188" s="25"/>
      <c r="M188" s="25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32"/>
      <c r="AU188" s="22"/>
    </row>
    <row r="189" spans="1:47" s="30" customFormat="1" x14ac:dyDescent="0.3">
      <c r="A189" s="22"/>
      <c r="B189" s="22"/>
      <c r="C189" s="22"/>
      <c r="D189" s="22"/>
      <c r="E189" s="22"/>
      <c r="F189" s="22"/>
      <c r="G189" s="22"/>
      <c r="H189" s="22"/>
      <c r="I189" s="24"/>
      <c r="J189" s="24"/>
      <c r="K189" s="24"/>
      <c r="L189" s="25"/>
      <c r="M189" s="25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32"/>
      <c r="AU189" s="22"/>
    </row>
    <row r="190" spans="1:47" s="30" customFormat="1" x14ac:dyDescent="0.3">
      <c r="A190" s="22"/>
      <c r="B190" s="22"/>
      <c r="C190" s="22"/>
      <c r="D190" s="22"/>
      <c r="E190" s="22"/>
      <c r="F190" s="22"/>
      <c r="G190" s="22"/>
      <c r="H190" s="22"/>
      <c r="I190" s="24"/>
      <c r="J190" s="24"/>
      <c r="K190" s="24"/>
      <c r="L190" s="25"/>
      <c r="M190" s="25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32"/>
      <c r="AU190" s="22"/>
    </row>
    <row r="191" spans="1:47" s="30" customFormat="1" x14ac:dyDescent="0.3">
      <c r="A191" s="22"/>
      <c r="B191" s="22"/>
      <c r="C191" s="22"/>
      <c r="D191" s="22"/>
      <c r="E191" s="22"/>
      <c r="F191" s="22"/>
      <c r="G191" s="22"/>
      <c r="H191" s="22"/>
      <c r="I191" s="24"/>
      <c r="J191" s="24"/>
      <c r="K191" s="24"/>
      <c r="L191" s="25"/>
      <c r="M191" s="25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32"/>
      <c r="AU191" s="22"/>
    </row>
    <row r="192" spans="1:47" s="30" customFormat="1" x14ac:dyDescent="0.3">
      <c r="A192" s="22"/>
      <c r="B192" s="22"/>
      <c r="C192" s="22"/>
      <c r="D192" s="22"/>
      <c r="E192" s="22"/>
      <c r="F192" s="22"/>
      <c r="G192" s="22"/>
      <c r="H192" s="22"/>
      <c r="I192" s="27"/>
      <c r="J192" s="27"/>
      <c r="K192" s="27"/>
      <c r="L192" s="25"/>
      <c r="M192" s="25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32"/>
      <c r="AU192" s="22"/>
    </row>
    <row r="193" spans="1:47" s="30" customFormat="1" x14ac:dyDescent="0.3">
      <c r="A193" s="22"/>
      <c r="B193" s="22"/>
      <c r="C193" s="22"/>
      <c r="D193" s="22"/>
      <c r="E193" s="22"/>
      <c r="F193" s="22"/>
      <c r="G193" s="22"/>
      <c r="H193" s="22"/>
      <c r="I193" s="27"/>
      <c r="J193" s="27"/>
      <c r="K193" s="27"/>
      <c r="L193" s="25"/>
      <c r="M193" s="25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32"/>
      <c r="AU193" s="22"/>
    </row>
    <row r="194" spans="1:47" s="30" customFormat="1" x14ac:dyDescent="0.3">
      <c r="A194" s="22"/>
      <c r="B194" s="22"/>
      <c r="C194" s="22"/>
      <c r="D194" s="22"/>
      <c r="E194" s="22"/>
      <c r="F194" s="22"/>
      <c r="G194" s="22"/>
      <c r="H194" s="22"/>
      <c r="I194" s="27"/>
      <c r="J194" s="27"/>
      <c r="K194" s="27"/>
      <c r="L194" s="28"/>
      <c r="M194" s="25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32"/>
      <c r="AU194" s="22"/>
    </row>
    <row r="195" spans="1:47" s="30" customFormat="1" x14ac:dyDescent="0.3">
      <c r="A195" s="22"/>
      <c r="B195" s="22"/>
      <c r="C195" s="22"/>
      <c r="D195" s="22"/>
      <c r="E195" s="22"/>
      <c r="F195" s="22"/>
      <c r="G195" s="22"/>
      <c r="H195" s="22"/>
      <c r="I195" s="27"/>
      <c r="J195" s="27"/>
      <c r="K195" s="27"/>
      <c r="L195" s="28"/>
      <c r="M195" s="25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32"/>
      <c r="AU195" s="22"/>
    </row>
    <row r="196" spans="1:47" s="30" customFormat="1" x14ac:dyDescent="0.3">
      <c r="A196" s="22"/>
      <c r="B196" s="22"/>
      <c r="C196" s="22"/>
      <c r="D196" s="22"/>
      <c r="E196" s="22"/>
      <c r="F196" s="22"/>
      <c r="G196" s="22"/>
      <c r="H196" s="22"/>
      <c r="I196" s="27"/>
      <c r="J196" s="27"/>
      <c r="K196" s="27"/>
      <c r="L196" s="28"/>
      <c r="M196" s="25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32"/>
      <c r="AU196" s="22"/>
    </row>
    <row r="197" spans="1:47" s="30" customFormat="1" x14ac:dyDescent="0.3">
      <c r="A197" s="22"/>
      <c r="B197" s="22"/>
      <c r="C197" s="22"/>
      <c r="D197" s="22"/>
      <c r="E197" s="22"/>
      <c r="F197" s="22"/>
      <c r="G197" s="22"/>
      <c r="H197" s="22"/>
      <c r="I197" s="27"/>
      <c r="J197" s="27"/>
      <c r="K197" s="27"/>
      <c r="L197" s="28"/>
      <c r="M197" s="25"/>
      <c r="N197" s="26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32"/>
      <c r="AU197" s="22"/>
    </row>
    <row r="198" spans="1:47" x14ac:dyDescent="0.3">
      <c r="A198" s="22"/>
      <c r="B198" s="22"/>
      <c r="C198" s="22"/>
      <c r="D198" s="22"/>
      <c r="E198" s="22"/>
      <c r="F198" s="22"/>
      <c r="G198" s="22"/>
      <c r="H198" s="22"/>
      <c r="I198" s="27"/>
      <c r="J198" s="27"/>
      <c r="K198" s="27"/>
      <c r="L198" s="28"/>
      <c r="M198" s="25"/>
      <c r="N198" s="26"/>
      <c r="AT198" s="29"/>
      <c r="AU198" s="29"/>
    </row>
    <row r="199" spans="1:47" x14ac:dyDescent="0.3">
      <c r="A199" s="22"/>
      <c r="B199" s="22"/>
      <c r="C199" s="22"/>
      <c r="D199" s="22"/>
      <c r="E199" s="22"/>
      <c r="F199" s="22"/>
      <c r="G199" s="22"/>
      <c r="H199" s="22"/>
      <c r="I199" s="27"/>
      <c r="J199" s="27"/>
      <c r="K199" s="27"/>
      <c r="L199" s="28"/>
      <c r="M199" s="28"/>
      <c r="N199" s="26"/>
      <c r="AT199" s="29"/>
      <c r="AU199" s="29"/>
    </row>
    <row r="200" spans="1:47" x14ac:dyDescent="0.3">
      <c r="A200" s="22"/>
      <c r="B200" s="22"/>
      <c r="C200" s="22"/>
      <c r="D200" s="22"/>
      <c r="E200" s="22"/>
      <c r="F200" s="22"/>
      <c r="G200" s="22"/>
      <c r="H200" s="22"/>
      <c r="I200" s="27"/>
      <c r="J200" s="27"/>
      <c r="K200" s="27"/>
      <c r="L200" s="28"/>
      <c r="M200" s="28"/>
      <c r="N200" s="26"/>
      <c r="AT200" s="29"/>
      <c r="AU200" s="29"/>
    </row>
    <row r="201" spans="1:47" x14ac:dyDescent="0.3">
      <c r="A201" s="22"/>
      <c r="B201" s="22"/>
      <c r="C201" s="22"/>
      <c r="D201" s="22"/>
      <c r="E201" s="22"/>
      <c r="F201" s="22"/>
      <c r="G201" s="22"/>
      <c r="H201" s="22"/>
      <c r="I201" s="27"/>
      <c r="J201" s="27"/>
      <c r="K201" s="27"/>
      <c r="L201" s="28"/>
      <c r="M201" s="28"/>
      <c r="N201" s="26"/>
      <c r="AT201" s="29"/>
      <c r="AU201" s="29"/>
    </row>
    <row r="202" spans="1:47" x14ac:dyDescent="0.3">
      <c r="A202" s="26"/>
      <c r="B202" s="26"/>
      <c r="C202" s="26"/>
      <c r="D202" s="26"/>
      <c r="E202" s="26"/>
      <c r="F202" s="26"/>
      <c r="G202" s="26"/>
      <c r="H202" s="26"/>
      <c r="I202" s="27"/>
      <c r="J202" s="27"/>
      <c r="K202" s="27"/>
      <c r="L202" s="28"/>
      <c r="M202" s="28"/>
      <c r="N202" s="26"/>
      <c r="AT202" s="29"/>
      <c r="AU202" s="29"/>
    </row>
    <row r="203" spans="1:47" x14ac:dyDescent="0.3">
      <c r="A203" s="26"/>
      <c r="B203" s="26"/>
      <c r="C203" s="26"/>
      <c r="D203" s="26"/>
      <c r="E203" s="26"/>
      <c r="F203" s="26"/>
      <c r="G203" s="26"/>
      <c r="H203" s="26"/>
      <c r="I203" s="27"/>
      <c r="J203" s="27"/>
      <c r="K203" s="27"/>
      <c r="L203" s="28"/>
      <c r="M203" s="28"/>
      <c r="N203" s="26"/>
      <c r="AT203" s="29"/>
      <c r="AU203" s="29"/>
    </row>
    <row r="204" spans="1:47" x14ac:dyDescent="0.3">
      <c r="A204" s="26"/>
      <c r="B204" s="26"/>
      <c r="C204" s="26"/>
      <c r="D204" s="26"/>
      <c r="E204" s="26"/>
      <c r="F204" s="26"/>
      <c r="G204" s="26"/>
      <c r="H204" s="26"/>
      <c r="I204" s="27"/>
      <c r="J204" s="27"/>
      <c r="K204" s="27"/>
      <c r="L204" s="28"/>
      <c r="M204" s="28"/>
      <c r="N204" s="26"/>
      <c r="AT204" s="29"/>
      <c r="AU204" s="29"/>
    </row>
    <row r="205" spans="1:47" x14ac:dyDescent="0.3">
      <c r="A205" s="26"/>
      <c r="B205" s="26"/>
      <c r="C205" s="26"/>
      <c r="D205" s="26"/>
      <c r="E205" s="26"/>
      <c r="F205" s="26"/>
      <c r="G205" s="26"/>
      <c r="H205" s="26"/>
      <c r="I205" s="27"/>
      <c r="J205" s="27"/>
      <c r="K205" s="27"/>
      <c r="L205" s="28"/>
      <c r="M205" s="28"/>
      <c r="N205" s="26"/>
      <c r="AT205" s="29"/>
      <c r="AU205" s="29"/>
    </row>
    <row r="206" spans="1:47" x14ac:dyDescent="0.3">
      <c r="A206" s="26"/>
      <c r="B206" s="26"/>
      <c r="C206" s="26"/>
      <c r="D206" s="26"/>
      <c r="E206" s="26"/>
      <c r="F206" s="26"/>
      <c r="G206" s="26"/>
      <c r="H206" s="26"/>
      <c r="I206" s="27"/>
      <c r="J206" s="27"/>
      <c r="K206" s="27"/>
      <c r="L206" s="28"/>
      <c r="M206" s="28"/>
      <c r="N206" s="26"/>
      <c r="AT206" s="29"/>
      <c r="AU206" s="29"/>
    </row>
    <row r="207" spans="1:47" x14ac:dyDescent="0.3">
      <c r="A207" s="26"/>
      <c r="B207" s="26"/>
      <c r="C207" s="26"/>
      <c r="D207" s="26"/>
      <c r="E207" s="26"/>
      <c r="F207" s="26"/>
      <c r="G207" s="26"/>
      <c r="H207" s="26"/>
      <c r="I207" s="27"/>
      <c r="J207" s="27"/>
      <c r="K207" s="27"/>
      <c r="L207" s="28"/>
      <c r="M207" s="28"/>
      <c r="N207" s="26"/>
      <c r="AT207" s="29"/>
      <c r="AU207" s="29"/>
    </row>
    <row r="208" spans="1:47" x14ac:dyDescent="0.3">
      <c r="A208" s="26"/>
      <c r="B208" s="26"/>
      <c r="C208" s="26"/>
      <c r="D208" s="26"/>
      <c r="E208" s="26"/>
      <c r="F208" s="26"/>
      <c r="G208" s="26"/>
      <c r="H208" s="26"/>
      <c r="I208" s="27"/>
      <c r="J208" s="27"/>
      <c r="K208" s="27"/>
      <c r="L208" s="28"/>
      <c r="M208" s="28"/>
      <c r="N208" s="26"/>
      <c r="AT208" s="29"/>
      <c r="AU208" s="29"/>
    </row>
    <row r="209" spans="1:47" x14ac:dyDescent="0.3">
      <c r="A209" s="26"/>
      <c r="B209" s="26"/>
      <c r="C209" s="26"/>
      <c r="D209" s="26"/>
      <c r="E209" s="26"/>
      <c r="F209" s="26"/>
      <c r="G209" s="26"/>
      <c r="H209" s="26"/>
      <c r="L209" s="28"/>
      <c r="M209" s="28"/>
      <c r="AT209" s="29"/>
      <c r="AU209" s="29"/>
    </row>
    <row r="210" spans="1:47" x14ac:dyDescent="0.3">
      <c r="A210" s="26"/>
      <c r="B210" s="26"/>
      <c r="C210" s="26"/>
      <c r="D210" s="26"/>
      <c r="E210" s="26"/>
      <c r="F210" s="26"/>
      <c r="G210" s="26"/>
      <c r="H210" s="26"/>
      <c r="L210" s="28"/>
      <c r="M210" s="28"/>
    </row>
    <row r="211" spans="1:47" x14ac:dyDescent="0.3">
      <c r="A211" s="26"/>
      <c r="B211" s="26"/>
      <c r="C211" s="26"/>
      <c r="D211" s="26"/>
      <c r="E211" s="26"/>
      <c r="F211" s="26"/>
      <c r="G211" s="26"/>
      <c r="H211" s="26"/>
      <c r="M211" s="28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29"/>
      <c r="AU211" s="29"/>
    </row>
    <row r="212" spans="1:47" x14ac:dyDescent="0.3">
      <c r="A212" s="26"/>
      <c r="B212" s="26"/>
      <c r="C212" s="26"/>
      <c r="D212" s="26"/>
      <c r="E212" s="26"/>
      <c r="F212" s="26"/>
      <c r="G212" s="26"/>
      <c r="H212" s="26"/>
      <c r="M212" s="28"/>
    </row>
    <row r="213" spans="1:47" x14ac:dyDescent="0.3">
      <c r="A213" s="26"/>
      <c r="B213" s="26"/>
      <c r="C213" s="26"/>
      <c r="D213" s="26"/>
      <c r="E213" s="26"/>
      <c r="F213" s="26"/>
      <c r="G213" s="26"/>
      <c r="H213" s="26"/>
      <c r="M213" s="28"/>
    </row>
    <row r="214" spans="1:47" x14ac:dyDescent="0.3">
      <c r="A214" s="26"/>
      <c r="B214" s="26"/>
      <c r="C214" s="26"/>
      <c r="D214" s="26"/>
      <c r="E214" s="26"/>
      <c r="F214" s="26"/>
      <c r="G214" s="26"/>
      <c r="H214" s="26"/>
      <c r="M214" s="28"/>
    </row>
    <row r="215" spans="1:47" x14ac:dyDescent="0.3">
      <c r="A215" s="26"/>
      <c r="B215" s="26"/>
      <c r="C215" s="26"/>
      <c r="D215" s="26"/>
      <c r="E215" s="26"/>
      <c r="F215" s="26"/>
      <c r="G215" s="26"/>
      <c r="H215" s="26"/>
      <c r="L215" s="29"/>
      <c r="M215" s="28"/>
    </row>
    <row r="216" spans="1:47" x14ac:dyDescent="0.3">
      <c r="A216" s="26"/>
      <c r="B216" s="26"/>
      <c r="C216" s="26"/>
      <c r="D216" s="26"/>
      <c r="E216" s="26"/>
      <c r="F216" s="26"/>
      <c r="G216" s="26"/>
      <c r="H216" s="26"/>
    </row>
    <row r="217" spans="1:47" x14ac:dyDescent="0.3">
      <c r="A217" s="26"/>
      <c r="B217" s="26"/>
      <c r="C217" s="26"/>
      <c r="D217" s="26"/>
      <c r="E217" s="26"/>
      <c r="F217" s="26"/>
      <c r="G217" s="26"/>
      <c r="H217" s="26"/>
    </row>
    <row r="218" spans="1:47" x14ac:dyDescent="0.3">
      <c r="A218" s="26"/>
      <c r="B218" s="26"/>
      <c r="C218" s="26"/>
      <c r="D218" s="26"/>
      <c r="E218" s="26"/>
      <c r="F218" s="26"/>
      <c r="G218" s="26"/>
      <c r="H218" s="26"/>
    </row>
    <row r="222" spans="1:47" x14ac:dyDescent="0.3">
      <c r="I222" s="29"/>
      <c r="J222" s="29"/>
      <c r="K222" s="29"/>
    </row>
    <row r="1048553" spans="14:14" x14ac:dyDescent="0.3">
      <c r="N1048553" s="65"/>
    </row>
  </sheetData>
  <mergeCells count="37">
    <mergeCell ref="L58:M58"/>
    <mergeCell ref="L59:M59"/>
    <mergeCell ref="A1:N1"/>
    <mergeCell ref="A2:N2"/>
    <mergeCell ref="A31:B31"/>
    <mergeCell ref="A32:N32"/>
    <mergeCell ref="L48:M48"/>
    <mergeCell ref="A39:H39"/>
    <mergeCell ref="A40:N40"/>
    <mergeCell ref="A41:F41"/>
    <mergeCell ref="L41:N41"/>
    <mergeCell ref="L42:M42"/>
    <mergeCell ref="L43:M43"/>
    <mergeCell ref="L44:N45"/>
    <mergeCell ref="L46:N46"/>
    <mergeCell ref="L47:M47"/>
    <mergeCell ref="L53:M53"/>
    <mergeCell ref="L54:M54"/>
    <mergeCell ref="L55:M55"/>
    <mergeCell ref="L56:M56"/>
    <mergeCell ref="L57:M57"/>
    <mergeCell ref="A36:N36"/>
    <mergeCell ref="D37:H37"/>
    <mergeCell ref="D38:H38"/>
    <mergeCell ref="A35:H35"/>
    <mergeCell ref="L67:M67"/>
    <mergeCell ref="L61:M61"/>
    <mergeCell ref="L62:M62"/>
    <mergeCell ref="L63:M63"/>
    <mergeCell ref="L64:N64"/>
    <mergeCell ref="L65:N65"/>
    <mergeCell ref="L66:N66"/>
    <mergeCell ref="L60:M60"/>
    <mergeCell ref="L49:M49"/>
    <mergeCell ref="L50:M50"/>
    <mergeCell ref="L51:M51"/>
    <mergeCell ref="L52:M52"/>
  </mergeCells>
  <pageMargins left="0" right="0" top="0" bottom="0" header="0.31496062992125984" footer="0.31496062992125984"/>
  <pageSetup paperSize="9" scale="1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9D48C-CECC-404E-B86E-96EFD4B60DA1}">
  <sheetPr>
    <pageSetUpPr fitToPage="1"/>
  </sheetPr>
  <dimension ref="A1:BF1048550"/>
  <sheetViews>
    <sheetView topLeftCell="A19" zoomScale="60" zoomScaleNormal="60" workbookViewId="0">
      <selection activeCell="A28" sqref="A28:XFD28"/>
    </sheetView>
  </sheetViews>
  <sheetFormatPr defaultColWidth="9.109375" defaultRowHeight="13.8" x14ac:dyDescent="0.3"/>
  <cols>
    <col min="1" max="1" width="17.6640625" style="29" bestFit="1" customWidth="1"/>
    <col min="2" max="2" width="12" style="29" bestFit="1" customWidth="1"/>
    <col min="3" max="3" width="18" style="29" bestFit="1" customWidth="1"/>
    <col min="4" max="4" width="19" style="29" customWidth="1"/>
    <col min="5" max="5" width="18.44140625" style="29" customWidth="1"/>
    <col min="6" max="6" width="17.6640625" style="29" bestFit="1" customWidth="1"/>
    <col min="7" max="7" width="17" style="29" customWidth="1"/>
    <col min="8" max="8" width="19.5546875" style="29" customWidth="1"/>
    <col min="9" max="9" width="19.109375" style="31" bestFit="1" customWidth="1"/>
    <col min="10" max="10" width="17.109375" style="31" bestFit="1" customWidth="1"/>
    <col min="11" max="11" width="18" style="31" bestFit="1" customWidth="1"/>
    <col min="12" max="12" width="76.5546875" style="31" customWidth="1"/>
    <col min="13" max="13" width="9.5546875" style="31" customWidth="1"/>
    <col min="14" max="14" width="17.5546875" style="29" bestFit="1" customWidth="1"/>
    <col min="15" max="15" width="10.5546875" style="22" bestFit="1" customWidth="1"/>
    <col min="16" max="45" width="9.109375" style="22"/>
    <col min="46" max="47" width="9.109375" style="32"/>
    <col min="48" max="16384" width="9.109375" style="29"/>
  </cols>
  <sheetData>
    <row r="1" spans="1:47" s="10" customFormat="1" ht="29.25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47" s="52" customFormat="1" ht="29.25" customHeight="1" x14ac:dyDescent="0.3">
      <c r="A2" s="521" t="s">
        <v>195</v>
      </c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1"/>
      <c r="AH2" s="11"/>
      <c r="AI2" s="11"/>
      <c r="AJ2" s="11"/>
      <c r="AK2" s="11"/>
      <c r="AL2" s="11"/>
      <c r="AM2" s="11"/>
    </row>
    <row r="3" spans="1:47" s="11" customFormat="1" ht="27.6" x14ac:dyDescent="0.3">
      <c r="A3" s="83" t="s">
        <v>3</v>
      </c>
      <c r="B3" s="83" t="s">
        <v>0</v>
      </c>
      <c r="C3" s="84" t="s">
        <v>1</v>
      </c>
      <c r="D3" s="84" t="s">
        <v>68</v>
      </c>
      <c r="E3" s="84" t="s">
        <v>69</v>
      </c>
      <c r="F3" s="85" t="s">
        <v>2</v>
      </c>
      <c r="G3" s="84" t="s">
        <v>6</v>
      </c>
      <c r="H3" s="84" t="s">
        <v>7</v>
      </c>
      <c r="I3" s="84" t="s">
        <v>4</v>
      </c>
      <c r="J3" s="84" t="s">
        <v>5</v>
      </c>
      <c r="K3" s="84" t="s">
        <v>70</v>
      </c>
      <c r="L3" s="83" t="s">
        <v>59</v>
      </c>
      <c r="M3" s="86" t="s">
        <v>8</v>
      </c>
      <c r="N3" s="86" t="s">
        <v>10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</row>
    <row r="4" spans="1:47" s="15" customFormat="1" ht="14.25" customHeight="1" x14ac:dyDescent="0.3">
      <c r="A4" s="88" t="s">
        <v>132</v>
      </c>
      <c r="B4" s="90">
        <v>1</v>
      </c>
      <c r="C4" s="2">
        <v>0</v>
      </c>
      <c r="D4" s="2">
        <f>C4*10%</f>
        <v>0</v>
      </c>
      <c r="E4" s="2">
        <f>C4-D4</f>
        <v>0</v>
      </c>
      <c r="F4" s="5">
        <v>0</v>
      </c>
      <c r="G4" s="2">
        <v>0</v>
      </c>
      <c r="H4" s="2">
        <v>0</v>
      </c>
      <c r="I4" s="109">
        <f>SUM(E4:H4)</f>
        <v>0</v>
      </c>
      <c r="J4" s="2">
        <f>7%*I4</f>
        <v>0</v>
      </c>
      <c r="K4" s="2">
        <f>I4-J4</f>
        <v>0</v>
      </c>
      <c r="L4" s="47" t="s">
        <v>179</v>
      </c>
      <c r="M4" s="3">
        <v>10</v>
      </c>
      <c r="N4" s="3">
        <v>11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</row>
    <row r="5" spans="1:47" s="50" customFormat="1" x14ac:dyDescent="0.3">
      <c r="A5" s="90"/>
      <c r="B5" s="4">
        <v>2</v>
      </c>
      <c r="C5" s="5"/>
      <c r="D5" s="5"/>
      <c r="E5" s="5"/>
      <c r="F5" s="5"/>
      <c r="G5" s="5"/>
      <c r="H5" s="5"/>
      <c r="I5" s="109"/>
      <c r="J5" s="2">
        <f t="shared" ref="J5:J12" si="0">7%*I5</f>
        <v>0</v>
      </c>
      <c r="K5" s="2"/>
      <c r="L5" s="90"/>
      <c r="M5" s="3"/>
      <c r="N5" s="3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16"/>
      <c r="AK5" s="17"/>
      <c r="AL5" s="17"/>
      <c r="AM5" s="17"/>
      <c r="AN5" s="17"/>
      <c r="AO5" s="96"/>
      <c r="AP5" s="96"/>
      <c r="AQ5" s="96"/>
      <c r="AR5" s="96"/>
      <c r="AS5" s="96"/>
      <c r="AT5" s="96"/>
      <c r="AU5" s="96"/>
    </row>
    <row r="6" spans="1:47" s="73" customFormat="1" x14ac:dyDescent="0.3">
      <c r="A6" s="90"/>
      <c r="B6" s="4">
        <v>3</v>
      </c>
      <c r="C6" s="5"/>
      <c r="D6" s="5"/>
      <c r="E6" s="5"/>
      <c r="F6" s="5"/>
      <c r="G6" s="5"/>
      <c r="H6" s="5"/>
      <c r="I6" s="109"/>
      <c r="J6" s="2">
        <f t="shared" si="0"/>
        <v>0</v>
      </c>
      <c r="K6" s="2"/>
      <c r="L6" s="90"/>
      <c r="M6" s="3"/>
      <c r="N6" s="3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6"/>
      <c r="AP6" s="6"/>
      <c r="AQ6" s="6"/>
      <c r="AR6" s="6"/>
      <c r="AS6" s="6"/>
      <c r="AT6" s="6"/>
      <c r="AU6" s="6"/>
    </row>
    <row r="7" spans="1:47" s="51" customFormat="1" x14ac:dyDescent="0.3">
      <c r="A7" s="90"/>
      <c r="B7" s="90">
        <v>4</v>
      </c>
      <c r="C7" s="1"/>
      <c r="D7" s="1"/>
      <c r="E7" s="1"/>
      <c r="F7" s="2"/>
      <c r="G7" s="1"/>
      <c r="H7" s="1"/>
      <c r="I7" s="111"/>
      <c r="J7" s="2">
        <f t="shared" si="0"/>
        <v>0</v>
      </c>
      <c r="K7" s="2"/>
      <c r="L7" s="90"/>
      <c r="M7" s="3"/>
      <c r="N7" s="67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15"/>
      <c r="AP7" s="15"/>
      <c r="AQ7" s="15"/>
      <c r="AR7" s="15"/>
      <c r="AS7" s="15"/>
      <c r="AT7" s="15"/>
      <c r="AU7" s="15"/>
    </row>
    <row r="8" spans="1:47" s="51" customFormat="1" ht="15.75" customHeight="1" x14ac:dyDescent="0.3">
      <c r="A8" s="90"/>
      <c r="B8" s="90">
        <v>5</v>
      </c>
      <c r="C8" s="2"/>
      <c r="D8" s="2"/>
      <c r="E8" s="2"/>
      <c r="F8" s="2"/>
      <c r="G8" s="2"/>
      <c r="H8" s="2"/>
      <c r="I8" s="109"/>
      <c r="J8" s="2">
        <f t="shared" si="0"/>
        <v>0</v>
      </c>
      <c r="K8" s="2"/>
      <c r="L8" s="90"/>
      <c r="M8" s="3"/>
      <c r="N8" s="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15"/>
      <c r="AP8" s="15"/>
      <c r="AQ8" s="15"/>
      <c r="AR8" s="15"/>
      <c r="AS8" s="15"/>
      <c r="AT8" s="15"/>
      <c r="AU8" s="15"/>
    </row>
    <row r="9" spans="1:47" s="52" customFormat="1" x14ac:dyDescent="0.3">
      <c r="A9" s="90"/>
      <c r="B9" s="90">
        <v>6</v>
      </c>
      <c r="C9" s="5"/>
      <c r="D9" s="5"/>
      <c r="E9" s="5"/>
      <c r="F9" s="2"/>
      <c r="G9" s="2"/>
      <c r="H9" s="2"/>
      <c r="I9" s="109"/>
      <c r="J9" s="2">
        <f t="shared" si="0"/>
        <v>0</v>
      </c>
      <c r="K9" s="2"/>
      <c r="L9" s="90"/>
      <c r="M9" s="3"/>
      <c r="N9" s="3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1"/>
      <c r="AP9" s="11"/>
      <c r="AQ9" s="11"/>
      <c r="AR9" s="11"/>
      <c r="AS9" s="11"/>
      <c r="AT9" s="11"/>
      <c r="AU9" s="11"/>
    </row>
    <row r="10" spans="1:47" s="51" customFormat="1" ht="14.25" customHeight="1" x14ac:dyDescent="0.3">
      <c r="A10" s="90"/>
      <c r="B10" s="90">
        <v>7</v>
      </c>
      <c r="C10" s="2"/>
      <c r="D10" s="2"/>
      <c r="E10" s="5"/>
      <c r="F10" s="2"/>
      <c r="G10" s="2"/>
      <c r="H10" s="2"/>
      <c r="I10" s="109"/>
      <c r="J10" s="2">
        <f t="shared" si="0"/>
        <v>0</v>
      </c>
      <c r="K10" s="2"/>
      <c r="L10" s="90"/>
      <c r="M10" s="3"/>
      <c r="N10" s="3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15"/>
      <c r="AP10" s="15"/>
      <c r="AQ10" s="15"/>
      <c r="AR10" s="15"/>
      <c r="AS10" s="15"/>
      <c r="AT10" s="15"/>
      <c r="AU10" s="15"/>
    </row>
    <row r="11" spans="1:47" s="51" customFormat="1" x14ac:dyDescent="0.3">
      <c r="A11" s="90"/>
      <c r="B11" s="90">
        <v>8</v>
      </c>
      <c r="C11" s="2"/>
      <c r="D11" s="2"/>
      <c r="E11" s="5"/>
      <c r="F11" s="2"/>
      <c r="G11" s="2"/>
      <c r="H11" s="2"/>
      <c r="I11" s="109"/>
      <c r="J11" s="2">
        <f t="shared" si="0"/>
        <v>0</v>
      </c>
      <c r="K11" s="2"/>
      <c r="L11" s="90"/>
      <c r="M11" s="3"/>
      <c r="N11" s="3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15"/>
      <c r="AP11" s="15"/>
      <c r="AQ11" s="15"/>
      <c r="AR11" s="15"/>
      <c r="AS11" s="15"/>
      <c r="AT11" s="15"/>
      <c r="AU11" s="15"/>
    </row>
    <row r="12" spans="1:47" s="51" customFormat="1" ht="15.75" customHeight="1" x14ac:dyDescent="0.3">
      <c r="A12" s="90"/>
      <c r="B12" s="90">
        <v>9</v>
      </c>
      <c r="C12" s="2"/>
      <c r="D12" s="2"/>
      <c r="E12" s="5"/>
      <c r="F12" s="2"/>
      <c r="G12" s="2"/>
      <c r="H12" s="2"/>
      <c r="I12" s="109"/>
      <c r="J12" s="2">
        <f t="shared" si="0"/>
        <v>0</v>
      </c>
      <c r="K12" s="2"/>
      <c r="L12" s="90"/>
      <c r="M12" s="125"/>
      <c r="N12" s="3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15"/>
      <c r="AP12" s="15"/>
      <c r="AQ12" s="15"/>
      <c r="AR12" s="15"/>
      <c r="AS12" s="15"/>
      <c r="AT12" s="15"/>
      <c r="AU12" s="15"/>
    </row>
    <row r="13" spans="1:47" s="32" customFormat="1" x14ac:dyDescent="0.3">
      <c r="A13" s="67" t="s">
        <v>92</v>
      </c>
      <c r="B13" s="67">
        <v>10</v>
      </c>
      <c r="C13" s="2">
        <v>600</v>
      </c>
      <c r="D13" s="2">
        <f>10%*C13</f>
        <v>60</v>
      </c>
      <c r="E13" s="5">
        <f>C13-D13</f>
        <v>540</v>
      </c>
      <c r="F13" s="2">
        <v>0</v>
      </c>
      <c r="G13" s="2">
        <v>0</v>
      </c>
      <c r="H13" s="2">
        <f>D57</f>
        <v>17.824999999999999</v>
      </c>
      <c r="I13" s="109">
        <f>SUM(E13:H13)</f>
        <v>557.82500000000005</v>
      </c>
      <c r="J13" s="2">
        <f>7%*I13</f>
        <v>39.047750000000008</v>
      </c>
      <c r="K13" s="2">
        <f>I13-J13</f>
        <v>518.77725000000009</v>
      </c>
      <c r="L13" s="47" t="s">
        <v>216</v>
      </c>
      <c r="M13" s="3">
        <v>10</v>
      </c>
      <c r="N13" s="67">
        <v>11</v>
      </c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69"/>
      <c r="AU13" s="69"/>
    </row>
    <row r="14" spans="1:47" s="32" customFormat="1" x14ac:dyDescent="0.3">
      <c r="A14" s="67"/>
      <c r="B14" s="67">
        <v>11</v>
      </c>
      <c r="C14" s="2"/>
      <c r="D14" s="2"/>
      <c r="E14" s="5"/>
      <c r="F14" s="2"/>
      <c r="G14" s="2"/>
      <c r="H14" s="2"/>
      <c r="I14" s="109"/>
      <c r="J14" s="2">
        <f t="shared" ref="J14:J30" si="1">7%*I14</f>
        <v>0</v>
      </c>
      <c r="K14" s="2"/>
      <c r="L14" s="47"/>
      <c r="M14" s="3"/>
      <c r="N14" s="67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69"/>
      <c r="AU14" s="69"/>
    </row>
    <row r="15" spans="1:47" s="51" customFormat="1" x14ac:dyDescent="0.3">
      <c r="A15" s="90"/>
      <c r="B15" s="90">
        <v>12</v>
      </c>
      <c r="C15" s="2"/>
      <c r="D15" s="2"/>
      <c r="E15" s="5"/>
      <c r="F15" s="5"/>
      <c r="G15" s="5"/>
      <c r="H15" s="5"/>
      <c r="I15" s="109"/>
      <c r="J15" s="2">
        <f t="shared" si="1"/>
        <v>0</v>
      </c>
      <c r="K15" s="2"/>
      <c r="L15" s="90"/>
      <c r="M15" s="3"/>
      <c r="N15" s="3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15"/>
      <c r="AP15" s="15"/>
      <c r="AQ15" s="15"/>
      <c r="AR15" s="15"/>
      <c r="AS15" s="15"/>
      <c r="AT15" s="15"/>
      <c r="AU15" s="15"/>
    </row>
    <row r="16" spans="1:47" s="32" customFormat="1" x14ac:dyDescent="0.3">
      <c r="A16" s="67"/>
      <c r="B16" s="67">
        <v>13</v>
      </c>
      <c r="C16" s="2"/>
      <c r="D16" s="2"/>
      <c r="E16" s="5"/>
      <c r="F16" s="2"/>
      <c r="G16" s="2"/>
      <c r="H16" s="2"/>
      <c r="I16" s="109"/>
      <c r="J16" s="2">
        <f t="shared" si="1"/>
        <v>0</v>
      </c>
      <c r="K16" s="2"/>
      <c r="L16" s="90"/>
      <c r="M16" s="3"/>
      <c r="N16" s="67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69"/>
      <c r="AU16" s="69"/>
    </row>
    <row r="17" spans="1:47" s="32" customFormat="1" x14ac:dyDescent="0.3">
      <c r="A17" s="67"/>
      <c r="B17" s="67">
        <v>14</v>
      </c>
      <c r="C17" s="2"/>
      <c r="D17" s="2"/>
      <c r="E17" s="5"/>
      <c r="F17" s="2"/>
      <c r="G17" s="2"/>
      <c r="H17" s="2"/>
      <c r="I17" s="109"/>
      <c r="J17" s="2">
        <f t="shared" si="1"/>
        <v>0</v>
      </c>
      <c r="K17" s="2"/>
      <c r="L17" s="90"/>
      <c r="M17" s="3"/>
      <c r="N17" s="67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69"/>
      <c r="AU17" s="69"/>
    </row>
    <row r="18" spans="1:47" s="32" customFormat="1" x14ac:dyDescent="0.3">
      <c r="A18" s="67" t="s">
        <v>141</v>
      </c>
      <c r="B18" s="67">
        <v>15</v>
      </c>
      <c r="C18" s="2">
        <v>730</v>
      </c>
      <c r="D18" s="2">
        <v>60</v>
      </c>
      <c r="E18" s="5">
        <f>(C18-D18)</f>
        <v>670</v>
      </c>
      <c r="F18" s="2">
        <f>50</f>
        <v>50</v>
      </c>
      <c r="G18" s="2">
        <v>0</v>
      </c>
      <c r="H18" s="2">
        <f>D67</f>
        <v>19.989999999999998</v>
      </c>
      <c r="I18" s="109">
        <f>SUM(E18:H18)</f>
        <v>739.99</v>
      </c>
      <c r="J18" s="2">
        <f t="shared" si="1"/>
        <v>51.799300000000002</v>
      </c>
      <c r="K18" s="2">
        <f>I18-J18</f>
        <v>688.19069999999999</v>
      </c>
      <c r="L18" s="90" t="s">
        <v>215</v>
      </c>
      <c r="M18" s="3">
        <v>10</v>
      </c>
      <c r="N18" s="67">
        <v>11</v>
      </c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69"/>
      <c r="AU18" s="69"/>
    </row>
    <row r="19" spans="1:47" s="52" customFormat="1" x14ac:dyDescent="0.3">
      <c r="A19" s="3" t="s">
        <v>100</v>
      </c>
      <c r="B19" s="3">
        <v>16</v>
      </c>
      <c r="C19" s="2">
        <f>'GERAL 2021'!G18</f>
        <v>640</v>
      </c>
      <c r="D19" s="2">
        <f>10%*C19</f>
        <v>64</v>
      </c>
      <c r="E19" s="5">
        <f>C19-D19</f>
        <v>576</v>
      </c>
      <c r="F19" s="2">
        <f>60</f>
        <v>60</v>
      </c>
      <c r="G19" s="2">
        <v>0</v>
      </c>
      <c r="H19" s="2">
        <f>D69</f>
        <v>19.811666666666667</v>
      </c>
      <c r="I19" s="109">
        <f>SUM(E19:H19)</f>
        <v>655.81166666666672</v>
      </c>
      <c r="J19" s="2">
        <f t="shared" si="1"/>
        <v>45.906816666666678</v>
      </c>
      <c r="K19" s="2">
        <f>I19-J19</f>
        <v>609.90485000000001</v>
      </c>
      <c r="L19" s="90" t="s">
        <v>217</v>
      </c>
      <c r="M19" s="3">
        <v>10</v>
      </c>
      <c r="N19" s="3">
        <v>11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1"/>
      <c r="AP19" s="11"/>
      <c r="AQ19" s="11"/>
      <c r="AR19" s="11"/>
      <c r="AS19" s="11"/>
      <c r="AT19" s="11"/>
      <c r="AU19" s="11"/>
    </row>
    <row r="20" spans="1:47" s="52" customFormat="1" x14ac:dyDescent="0.3">
      <c r="A20" s="88" t="s">
        <v>119</v>
      </c>
      <c r="B20" s="88">
        <v>17</v>
      </c>
      <c r="C20" s="2">
        <f>'GERAL 2021'!G19</f>
        <v>640</v>
      </c>
      <c r="D20" s="2">
        <f>10%*C20</f>
        <v>64</v>
      </c>
      <c r="E20" s="5">
        <f>(C20-D20)</f>
        <v>576</v>
      </c>
      <c r="F20" s="2">
        <v>0</v>
      </c>
      <c r="G20" s="2">
        <v>0</v>
      </c>
      <c r="H20" s="2">
        <f>D71</f>
        <v>19.811666666666667</v>
      </c>
      <c r="I20" s="109">
        <f>SUM(E20:H20)</f>
        <v>595.81166666666672</v>
      </c>
      <c r="J20" s="2">
        <f t="shared" si="1"/>
        <v>41.706816666666676</v>
      </c>
      <c r="K20" s="2">
        <f>I20-J20</f>
        <v>554.10485000000006</v>
      </c>
      <c r="L20" s="47" t="s">
        <v>162</v>
      </c>
      <c r="M20" s="3">
        <v>10</v>
      </c>
      <c r="N20" s="3">
        <v>11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1"/>
      <c r="AP20" s="11"/>
      <c r="AQ20" s="11"/>
      <c r="AR20" s="11"/>
      <c r="AS20" s="11"/>
      <c r="AT20" s="11"/>
      <c r="AU20" s="11"/>
    </row>
    <row r="21" spans="1:47" s="52" customFormat="1" ht="14.25" customHeight="1" x14ac:dyDescent="0.3">
      <c r="A21" s="88" t="s">
        <v>103</v>
      </c>
      <c r="B21" s="90">
        <v>18</v>
      </c>
      <c r="C21" s="2">
        <f>'GERAL 2021'!G20</f>
        <v>650</v>
      </c>
      <c r="D21" s="2">
        <f>10%*C21</f>
        <v>65</v>
      </c>
      <c r="E21" s="5">
        <f>C21-D21</f>
        <v>585</v>
      </c>
      <c r="F21" s="2">
        <f>30</f>
        <v>30</v>
      </c>
      <c r="G21" s="2">
        <v>0</v>
      </c>
      <c r="H21" s="2">
        <f>D73</f>
        <v>19.836666666666666</v>
      </c>
      <c r="I21" s="109">
        <f>SUM(E21:H21)</f>
        <v>634.8366666666667</v>
      </c>
      <c r="J21" s="2">
        <f t="shared" si="1"/>
        <v>44.438566666666674</v>
      </c>
      <c r="K21" s="2">
        <f>I21-J21</f>
        <v>590.3981</v>
      </c>
      <c r="L21" s="90" t="s">
        <v>217</v>
      </c>
      <c r="M21" s="3">
        <v>10</v>
      </c>
      <c r="N21" s="3">
        <v>11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1"/>
      <c r="AP21" s="11"/>
      <c r="AQ21" s="11"/>
      <c r="AR21" s="11"/>
      <c r="AS21" s="11"/>
      <c r="AT21" s="11"/>
      <c r="AU21" s="11"/>
    </row>
    <row r="22" spans="1:47" s="18" customFormat="1" x14ac:dyDescent="0.3">
      <c r="A22" s="90" t="s">
        <v>142</v>
      </c>
      <c r="B22" s="90">
        <v>19</v>
      </c>
      <c r="C22" s="2">
        <v>600</v>
      </c>
      <c r="D22" s="2">
        <f>10%*C22</f>
        <v>60</v>
      </c>
      <c r="E22" s="5">
        <f>(C22-D22)</f>
        <v>540</v>
      </c>
      <c r="F22" s="2">
        <f>50</f>
        <v>50</v>
      </c>
      <c r="G22" s="2">
        <v>0</v>
      </c>
      <c r="H22" s="2">
        <f>D75</f>
        <v>19.738333333333333</v>
      </c>
      <c r="I22" s="109">
        <f>SUM(E22:H22)</f>
        <v>609.73833333333334</v>
      </c>
      <c r="J22" s="2">
        <f t="shared" si="1"/>
        <v>42.681683333333339</v>
      </c>
      <c r="K22" s="2">
        <f>I22-J22</f>
        <v>567.05664999999999</v>
      </c>
      <c r="L22" s="90" t="s">
        <v>140</v>
      </c>
      <c r="M22" s="3">
        <v>10</v>
      </c>
      <c r="N22" s="3">
        <v>11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1"/>
      <c r="AP22" s="11"/>
      <c r="AQ22" s="11"/>
      <c r="AR22" s="11"/>
      <c r="AS22" s="11"/>
      <c r="AT22" s="11"/>
      <c r="AU22" s="11"/>
    </row>
    <row r="23" spans="1:47" s="52" customFormat="1" x14ac:dyDescent="0.3">
      <c r="A23" s="88"/>
      <c r="B23" s="90">
        <v>20</v>
      </c>
      <c r="C23" s="2"/>
      <c r="D23" s="2"/>
      <c r="E23" s="5"/>
      <c r="F23" s="2"/>
      <c r="G23" s="2"/>
      <c r="H23" s="2"/>
      <c r="I23" s="109"/>
      <c r="J23" s="2">
        <f t="shared" si="1"/>
        <v>0</v>
      </c>
      <c r="K23" s="2"/>
      <c r="L23" s="90"/>
      <c r="M23" s="125"/>
      <c r="N23" s="3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1"/>
      <c r="AP23" s="11"/>
      <c r="AQ23" s="11"/>
      <c r="AR23" s="11"/>
      <c r="AS23" s="11"/>
      <c r="AT23" s="11"/>
      <c r="AU23" s="11"/>
    </row>
    <row r="24" spans="1:47" s="52" customFormat="1" ht="15" customHeight="1" x14ac:dyDescent="0.3">
      <c r="A24" s="88"/>
      <c r="B24" s="90">
        <v>21</v>
      </c>
      <c r="C24" s="2"/>
      <c r="D24" s="2"/>
      <c r="E24" s="5"/>
      <c r="F24" s="2"/>
      <c r="G24" s="2"/>
      <c r="H24" s="2"/>
      <c r="I24" s="109"/>
      <c r="J24" s="2">
        <f t="shared" si="1"/>
        <v>0</v>
      </c>
      <c r="K24" s="2"/>
      <c r="L24" s="90"/>
      <c r="M24" s="125"/>
      <c r="N24" s="3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1"/>
      <c r="AP24" s="11"/>
      <c r="AQ24" s="11"/>
      <c r="AR24" s="11"/>
      <c r="AS24" s="11"/>
      <c r="AT24" s="11"/>
      <c r="AU24" s="11"/>
    </row>
    <row r="25" spans="1:47" s="52" customFormat="1" ht="15.75" customHeight="1" x14ac:dyDescent="0.3">
      <c r="A25" s="88"/>
      <c r="B25" s="90">
        <v>22</v>
      </c>
      <c r="C25" s="2"/>
      <c r="D25" s="2"/>
      <c r="E25" s="5"/>
      <c r="F25" s="2"/>
      <c r="G25" s="2"/>
      <c r="H25" s="2"/>
      <c r="I25" s="109"/>
      <c r="J25" s="2">
        <f t="shared" si="1"/>
        <v>0</v>
      </c>
      <c r="K25" s="2"/>
      <c r="L25" s="90"/>
      <c r="M25" s="125"/>
      <c r="N25" s="3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1"/>
      <c r="AP25" s="11"/>
      <c r="AQ25" s="11"/>
      <c r="AR25" s="11"/>
      <c r="AS25" s="11"/>
      <c r="AT25" s="11"/>
      <c r="AU25" s="11"/>
    </row>
    <row r="26" spans="1:47" s="52" customFormat="1" x14ac:dyDescent="0.3">
      <c r="A26" s="88"/>
      <c r="B26" s="90">
        <v>23</v>
      </c>
      <c r="C26" s="2"/>
      <c r="D26" s="2"/>
      <c r="E26" s="5"/>
      <c r="F26" s="2"/>
      <c r="G26" s="2"/>
      <c r="H26" s="2"/>
      <c r="I26" s="109"/>
      <c r="J26" s="2">
        <f t="shared" si="1"/>
        <v>0</v>
      </c>
      <c r="K26" s="2"/>
      <c r="L26" s="90"/>
      <c r="M26" s="3"/>
      <c r="N26" s="3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1"/>
      <c r="AP26" s="11"/>
      <c r="AQ26" s="11"/>
      <c r="AR26" s="11"/>
      <c r="AS26" s="11"/>
      <c r="AT26" s="11"/>
      <c r="AU26" s="11"/>
    </row>
    <row r="27" spans="1:47" s="52" customFormat="1" x14ac:dyDescent="0.3">
      <c r="A27" s="88"/>
      <c r="B27" s="90">
        <v>24</v>
      </c>
      <c r="C27" s="2"/>
      <c r="D27" s="2"/>
      <c r="E27" s="5"/>
      <c r="F27" s="2"/>
      <c r="G27" s="2"/>
      <c r="H27" s="2"/>
      <c r="I27" s="109"/>
      <c r="J27" s="2">
        <f t="shared" si="1"/>
        <v>0</v>
      </c>
      <c r="K27" s="2"/>
      <c r="L27" s="90"/>
      <c r="M27" s="3"/>
      <c r="N27" s="3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1"/>
      <c r="AP27" s="11"/>
      <c r="AQ27" s="11"/>
      <c r="AR27" s="11"/>
      <c r="AS27" s="11"/>
      <c r="AT27" s="11"/>
      <c r="AU27" s="11"/>
    </row>
    <row r="28" spans="1:47" s="52" customFormat="1" x14ac:dyDescent="0.3">
      <c r="A28" s="11" t="s">
        <v>87</v>
      </c>
      <c r="B28" s="90">
        <v>25</v>
      </c>
      <c r="C28" s="2">
        <f>704</f>
        <v>704</v>
      </c>
      <c r="D28" s="2">
        <f>10%*C28</f>
        <v>70.400000000000006</v>
      </c>
      <c r="E28" s="5">
        <f>C28-D28</f>
        <v>633.6</v>
      </c>
      <c r="F28" s="2">
        <f>30</f>
        <v>30</v>
      </c>
      <c r="G28" s="2">
        <v>0</v>
      </c>
      <c r="H28" s="2">
        <v>19.989999999999998</v>
      </c>
      <c r="I28" s="109">
        <f>SUM(E28:H28)</f>
        <v>683.59</v>
      </c>
      <c r="J28" s="2">
        <f t="shared" si="1"/>
        <v>47.851300000000009</v>
      </c>
      <c r="K28" s="2">
        <f>I28-J28</f>
        <v>635.73869999999999</v>
      </c>
      <c r="L28" s="71" t="s">
        <v>216</v>
      </c>
      <c r="M28" s="98">
        <v>10</v>
      </c>
      <c r="N28" s="3">
        <v>11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1"/>
      <c r="AP28" s="11"/>
      <c r="AQ28" s="11"/>
      <c r="AR28" s="11"/>
      <c r="AS28" s="11"/>
      <c r="AT28" s="11"/>
      <c r="AU28" s="11"/>
    </row>
    <row r="29" spans="1:47" s="52" customFormat="1" x14ac:dyDescent="0.3">
      <c r="A29" s="88"/>
      <c r="B29" s="90">
        <v>26</v>
      </c>
      <c r="C29" s="2"/>
      <c r="D29" s="2"/>
      <c r="E29" s="5"/>
      <c r="F29" s="2"/>
      <c r="G29" s="2"/>
      <c r="H29" s="2"/>
      <c r="I29" s="109"/>
      <c r="J29" s="2">
        <f t="shared" si="1"/>
        <v>0</v>
      </c>
      <c r="K29" s="2"/>
      <c r="L29" s="90"/>
      <c r="M29" s="3"/>
      <c r="N29" s="3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1"/>
      <c r="AP29" s="11"/>
      <c r="AQ29" s="11"/>
      <c r="AR29" s="11"/>
      <c r="AS29" s="11"/>
      <c r="AT29" s="11"/>
      <c r="AU29" s="11"/>
    </row>
    <row r="30" spans="1:47" s="52" customFormat="1" x14ac:dyDescent="0.3">
      <c r="A30" s="88" t="s">
        <v>86</v>
      </c>
      <c r="B30" s="90">
        <v>27</v>
      </c>
      <c r="C30" s="72">
        <f>650</f>
        <v>650</v>
      </c>
      <c r="D30" s="72">
        <f>10%*C30</f>
        <v>65</v>
      </c>
      <c r="E30" s="5">
        <f>C30-D30</f>
        <v>585</v>
      </c>
      <c r="F30" s="72">
        <f>60</f>
        <v>60</v>
      </c>
      <c r="G30" s="72">
        <v>0</v>
      </c>
      <c r="H30" s="72">
        <v>0</v>
      </c>
      <c r="I30" s="112">
        <f>SUM(E30:H30)</f>
        <v>645</v>
      </c>
      <c r="J30" s="2">
        <f t="shared" si="1"/>
        <v>45.150000000000006</v>
      </c>
      <c r="K30" s="72">
        <f>I30-J30</f>
        <v>599.85</v>
      </c>
      <c r="L30" s="71" t="s">
        <v>218</v>
      </c>
      <c r="M30" s="98">
        <v>10</v>
      </c>
      <c r="N30" s="3">
        <v>11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1"/>
      <c r="AP30" s="11"/>
      <c r="AQ30" s="11"/>
      <c r="AR30" s="11"/>
      <c r="AS30" s="11"/>
      <c r="AT30" s="11"/>
      <c r="AU30" s="11"/>
    </row>
    <row r="31" spans="1:47" s="52" customFormat="1" ht="14.4" thickBot="1" x14ac:dyDescent="0.35">
      <c r="A31" s="518" t="s">
        <v>4</v>
      </c>
      <c r="B31" s="518"/>
      <c r="C31" s="109">
        <f t="shared" ref="C31:K31" si="2">SUM(C4:C30)</f>
        <v>5214</v>
      </c>
      <c r="D31" s="109">
        <f t="shared" si="2"/>
        <v>508.4</v>
      </c>
      <c r="E31" s="109">
        <f t="shared" si="2"/>
        <v>4705.6000000000004</v>
      </c>
      <c r="F31" s="109">
        <f t="shared" si="2"/>
        <v>280</v>
      </c>
      <c r="G31" s="109">
        <f t="shared" si="2"/>
        <v>0</v>
      </c>
      <c r="H31" s="109">
        <f t="shared" si="2"/>
        <v>137.00333333333333</v>
      </c>
      <c r="I31" s="109">
        <f t="shared" si="2"/>
        <v>5122.6033333333335</v>
      </c>
      <c r="J31" s="109">
        <f t="shared" si="2"/>
        <v>358.58223333333331</v>
      </c>
      <c r="K31" s="109">
        <f t="shared" si="2"/>
        <v>4764.0211000000008</v>
      </c>
      <c r="L31" s="90"/>
      <c r="M31" s="120"/>
      <c r="N31" s="56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1"/>
      <c r="AP31" s="11"/>
      <c r="AQ31" s="11"/>
      <c r="AR31" s="11"/>
      <c r="AS31" s="11"/>
      <c r="AT31" s="11"/>
      <c r="AU31" s="11"/>
    </row>
    <row r="32" spans="1:47" s="11" customFormat="1" ht="28.5" customHeight="1" x14ac:dyDescent="0.3">
      <c r="A32" s="521" t="s">
        <v>177</v>
      </c>
      <c r="B32" s="521"/>
      <c r="C32" s="521"/>
      <c r="D32" s="521"/>
      <c r="E32" s="521"/>
      <c r="F32" s="521"/>
      <c r="G32" s="521"/>
      <c r="H32" s="521"/>
      <c r="I32" s="521"/>
      <c r="J32" s="521"/>
      <c r="K32" s="521"/>
      <c r="L32" s="521"/>
      <c r="M32" s="521"/>
      <c r="N32" s="521"/>
      <c r="O32" s="7"/>
      <c r="P32" s="7"/>
      <c r="Q32" s="7"/>
      <c r="R32" s="7"/>
      <c r="S32" s="7"/>
      <c r="T32" s="7"/>
      <c r="U32" s="7"/>
      <c r="V32" s="7"/>
      <c r="W32" s="10"/>
      <c r="X32" s="10"/>
      <c r="Y32" s="10"/>
      <c r="Z32" s="10"/>
      <c r="AA32" s="10"/>
      <c r="AB32" s="10"/>
    </row>
    <row r="33" spans="1:58" s="11" customFormat="1" ht="25.5" customHeight="1" x14ac:dyDescent="0.3">
      <c r="A33" s="126" t="s">
        <v>173</v>
      </c>
      <c r="B33" s="126" t="s">
        <v>0</v>
      </c>
      <c r="C33" s="126" t="s">
        <v>174</v>
      </c>
      <c r="D33" s="521" t="s">
        <v>175</v>
      </c>
      <c r="E33" s="521"/>
      <c r="F33" s="521"/>
      <c r="G33" s="521"/>
      <c r="H33" s="521"/>
      <c r="I33" s="129" t="s">
        <v>4</v>
      </c>
      <c r="J33" s="128"/>
      <c r="K33" s="128"/>
      <c r="L33" s="127" t="s">
        <v>59</v>
      </c>
      <c r="M33" s="130" t="s">
        <v>8</v>
      </c>
      <c r="N33" s="130" t="s">
        <v>10</v>
      </c>
      <c r="O33" s="7"/>
      <c r="P33" s="7"/>
      <c r="Q33" s="7"/>
      <c r="R33" s="7"/>
      <c r="S33" s="7"/>
      <c r="T33" s="7"/>
      <c r="U33" s="7"/>
      <c r="V33" s="7"/>
      <c r="W33" s="10"/>
      <c r="X33" s="10"/>
      <c r="Y33" s="10"/>
      <c r="Z33" s="10"/>
      <c r="AA33" s="10"/>
      <c r="AB33" s="10"/>
    </row>
    <row r="34" spans="1:58" s="32" customFormat="1" ht="15" customHeight="1" x14ac:dyDescent="0.3">
      <c r="A34" s="67" t="s">
        <v>132</v>
      </c>
      <c r="B34" s="67">
        <v>1</v>
      </c>
      <c r="C34" s="47">
        <f>600+50+19.74</f>
        <v>669.74</v>
      </c>
      <c r="D34" s="546" t="s">
        <v>211</v>
      </c>
      <c r="E34" s="547"/>
      <c r="F34" s="547"/>
      <c r="G34" s="547"/>
      <c r="H34" s="548"/>
      <c r="I34" s="47">
        <f>600+50+19.74</f>
        <v>669.74</v>
      </c>
      <c r="J34" s="47"/>
      <c r="K34" s="47"/>
      <c r="L34" s="47" t="s">
        <v>198</v>
      </c>
      <c r="M34" s="131">
        <v>10</v>
      </c>
      <c r="N34" s="67">
        <v>11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</row>
    <row r="35" spans="1:58" s="32" customFormat="1" ht="15" customHeight="1" x14ac:dyDescent="0.3">
      <c r="A35" s="67" t="s">
        <v>132</v>
      </c>
      <c r="B35" s="67">
        <v>1</v>
      </c>
      <c r="C35" s="47">
        <f>600+50+19.74</f>
        <v>669.74</v>
      </c>
      <c r="D35" s="546" t="s">
        <v>212</v>
      </c>
      <c r="E35" s="547"/>
      <c r="F35" s="547"/>
      <c r="G35" s="547"/>
      <c r="H35" s="548"/>
      <c r="I35" s="47">
        <f>600+50+19.74</f>
        <v>669.74</v>
      </c>
      <c r="J35" s="47"/>
      <c r="K35" s="47"/>
      <c r="L35" s="47" t="s">
        <v>210</v>
      </c>
      <c r="M35" s="131">
        <v>10</v>
      </c>
      <c r="N35" s="67">
        <v>11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</row>
    <row r="36" spans="1:58" s="40" customFormat="1" ht="15" customHeight="1" thickBot="1" x14ac:dyDescent="0.35">
      <c r="A36" s="518" t="s">
        <v>4</v>
      </c>
      <c r="B36" s="518"/>
      <c r="C36" s="518"/>
      <c r="D36" s="518"/>
      <c r="E36" s="518"/>
      <c r="F36" s="518"/>
      <c r="G36" s="518"/>
      <c r="H36" s="518"/>
      <c r="I36" s="114">
        <f>SUM(I34:I35)</f>
        <v>1339.48</v>
      </c>
      <c r="J36" s="90"/>
      <c r="K36" s="90"/>
      <c r="L36" s="90"/>
      <c r="M36" s="90"/>
      <c r="N36" s="90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11"/>
      <c r="AS36" s="11"/>
      <c r="AT36" s="11"/>
      <c r="AU36" s="11"/>
    </row>
    <row r="37" spans="1:58" s="19" customFormat="1" x14ac:dyDescent="0.3">
      <c r="A37" s="536"/>
      <c r="B37" s="537"/>
      <c r="C37" s="537"/>
      <c r="D37" s="537"/>
      <c r="E37" s="537"/>
      <c r="F37" s="537"/>
      <c r="G37" s="537"/>
      <c r="H37" s="537"/>
      <c r="I37" s="537"/>
      <c r="J37" s="537"/>
      <c r="K37" s="537"/>
      <c r="L37" s="537"/>
      <c r="M37" s="524"/>
      <c r="N37" s="525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</row>
    <row r="38" spans="1:58" s="40" customFormat="1" x14ac:dyDescent="0.3">
      <c r="A38" s="543" t="s">
        <v>9</v>
      </c>
      <c r="B38" s="543"/>
      <c r="C38" s="543"/>
      <c r="D38" s="543"/>
      <c r="E38" s="543"/>
      <c r="F38" s="543"/>
      <c r="G38" s="46"/>
      <c r="H38" s="46"/>
      <c r="I38" s="46"/>
      <c r="J38" s="46"/>
      <c r="K38" s="46"/>
      <c r="L38" s="544" t="s">
        <v>20</v>
      </c>
      <c r="M38" s="544"/>
      <c r="N38" s="545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11"/>
      <c r="AS38" s="11"/>
      <c r="AT38" s="11"/>
      <c r="AU38" s="11"/>
    </row>
    <row r="39" spans="1:58" s="40" customFormat="1" x14ac:dyDescent="0.3">
      <c r="A39" s="76" t="s">
        <v>40</v>
      </c>
      <c r="B39" s="77">
        <f>'GERAL 2021'!K3</f>
        <v>118.43</v>
      </c>
      <c r="C39" s="78">
        <v>6</v>
      </c>
      <c r="D39" s="77">
        <f>B39/C39</f>
        <v>19.738333333333333</v>
      </c>
      <c r="E39" s="78"/>
      <c r="F39" s="77"/>
      <c r="G39" s="11"/>
      <c r="H39" s="11"/>
      <c r="I39" s="87"/>
      <c r="J39" s="87"/>
      <c r="K39" s="87"/>
      <c r="L39" s="527" t="s">
        <v>94</v>
      </c>
      <c r="M39" s="527"/>
      <c r="N39" s="49">
        <f>J31</f>
        <v>358.58223333333331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11"/>
      <c r="AS39" s="11"/>
      <c r="AT39" s="11"/>
      <c r="AU39" s="11"/>
    </row>
    <row r="40" spans="1:58" s="40" customFormat="1" x14ac:dyDescent="0.3">
      <c r="A40" s="12" t="s">
        <v>46</v>
      </c>
      <c r="B40" s="2">
        <f>'GERAL 2021'!I3</f>
        <v>1.0710401891252954</v>
      </c>
      <c r="C40" s="88">
        <v>6</v>
      </c>
      <c r="D40" s="2">
        <f>B40*C40</f>
        <v>6.4262411347517725</v>
      </c>
      <c r="E40" s="88"/>
      <c r="F40" s="88"/>
      <c r="G40" s="11"/>
      <c r="H40" s="11"/>
      <c r="I40" s="14"/>
      <c r="J40" s="14"/>
      <c r="K40" s="14"/>
      <c r="L40" s="534"/>
      <c r="M40" s="535"/>
      <c r="N40" s="114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11"/>
      <c r="AS40" s="11"/>
      <c r="AT40" s="11"/>
      <c r="AU40" s="11"/>
    </row>
    <row r="41" spans="1:58" s="40" customFormat="1" x14ac:dyDescent="0.3">
      <c r="A41" s="79" t="s">
        <v>29</v>
      </c>
      <c r="B41" s="80"/>
      <c r="C41" s="82"/>
      <c r="D41" s="80"/>
      <c r="E41" s="78"/>
      <c r="F41" s="77"/>
      <c r="G41" s="11"/>
      <c r="H41" s="11"/>
      <c r="I41" s="14"/>
      <c r="J41" s="14"/>
      <c r="K41" s="14"/>
      <c r="L41" s="520"/>
      <c r="M41" s="520"/>
      <c r="N41" s="528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11"/>
      <c r="AS41" s="11"/>
      <c r="AT41" s="11"/>
      <c r="AU41" s="11"/>
    </row>
    <row r="42" spans="1:58" s="40" customFormat="1" x14ac:dyDescent="0.3">
      <c r="A42" s="12" t="s">
        <v>30</v>
      </c>
      <c r="B42" s="2"/>
      <c r="C42" s="88"/>
      <c r="D42" s="2"/>
      <c r="E42" s="53"/>
      <c r="F42" s="53"/>
      <c r="G42" s="11"/>
      <c r="H42" s="11"/>
      <c r="I42" s="62"/>
      <c r="J42" s="62"/>
      <c r="K42" s="62"/>
      <c r="L42" s="520"/>
      <c r="M42" s="520"/>
      <c r="N42" s="528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11"/>
      <c r="AS42" s="11"/>
      <c r="AT42" s="11"/>
      <c r="AU42" s="11"/>
    </row>
    <row r="43" spans="1:58" s="40" customFormat="1" x14ac:dyDescent="0.3">
      <c r="A43" s="79" t="s">
        <v>65</v>
      </c>
      <c r="B43" s="80"/>
      <c r="C43" s="82"/>
      <c r="D43" s="80"/>
      <c r="E43" s="78"/>
      <c r="F43" s="77"/>
      <c r="G43" s="11"/>
      <c r="H43" s="11"/>
      <c r="I43" s="14"/>
      <c r="J43" s="14"/>
      <c r="K43" s="14"/>
      <c r="L43" s="529" t="s">
        <v>12</v>
      </c>
      <c r="M43" s="529"/>
      <c r="N43" s="530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11"/>
      <c r="AS43" s="11"/>
      <c r="AT43" s="11"/>
      <c r="AU43" s="11"/>
    </row>
    <row r="44" spans="1:58" s="11" customFormat="1" ht="15" customHeight="1" x14ac:dyDescent="0.3">
      <c r="A44" s="12" t="s">
        <v>62</v>
      </c>
      <c r="B44" s="2"/>
      <c r="C44" s="88"/>
      <c r="D44" s="2"/>
      <c r="E44" s="88"/>
      <c r="F44" s="88"/>
      <c r="I44" s="63"/>
      <c r="J44" s="63"/>
      <c r="K44" s="63"/>
      <c r="L44" s="514" t="s">
        <v>200</v>
      </c>
      <c r="M44" s="514"/>
      <c r="N44" s="2">
        <v>19.739999999999998</v>
      </c>
    </row>
    <row r="45" spans="1:58" s="11" customFormat="1" x14ac:dyDescent="0.3">
      <c r="A45" s="79" t="s">
        <v>60</v>
      </c>
      <c r="B45" s="80"/>
      <c r="C45" s="82"/>
      <c r="D45" s="80"/>
      <c r="E45" s="78"/>
      <c r="F45" s="77"/>
      <c r="I45" s="14"/>
      <c r="J45" s="14"/>
      <c r="K45" s="14"/>
      <c r="L45" s="514" t="s">
        <v>201</v>
      </c>
      <c r="M45" s="514"/>
      <c r="N45" s="2">
        <v>17.829999999999998</v>
      </c>
    </row>
    <row r="46" spans="1:58" s="11" customFormat="1" ht="15" customHeight="1" x14ac:dyDescent="0.3">
      <c r="A46" s="12" t="s">
        <v>61</v>
      </c>
      <c r="B46" s="2"/>
      <c r="C46" s="88"/>
      <c r="D46" s="2"/>
      <c r="E46" s="88"/>
      <c r="F46" s="88"/>
      <c r="I46" s="63"/>
      <c r="J46" s="63"/>
      <c r="K46" s="63"/>
      <c r="L46" s="514" t="s">
        <v>202</v>
      </c>
      <c r="M46" s="514"/>
      <c r="N46" s="2">
        <v>19.989999999999998</v>
      </c>
    </row>
    <row r="47" spans="1:58" s="11" customFormat="1" x14ac:dyDescent="0.3">
      <c r="A47" s="79" t="s">
        <v>31</v>
      </c>
      <c r="B47" s="80"/>
      <c r="C47" s="82"/>
      <c r="D47" s="80"/>
      <c r="E47" s="78"/>
      <c r="F47" s="77"/>
      <c r="I47" s="14"/>
      <c r="J47" s="14"/>
      <c r="K47" s="14"/>
      <c r="L47" s="514" t="s">
        <v>203</v>
      </c>
      <c r="M47" s="514"/>
      <c r="N47" s="121">
        <v>19.809999999999999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</row>
    <row r="48" spans="1:58" s="11" customFormat="1" x14ac:dyDescent="0.3">
      <c r="A48" s="12" t="s">
        <v>32</v>
      </c>
      <c r="B48" s="2"/>
      <c r="C48" s="88"/>
      <c r="D48" s="2"/>
      <c r="E48" s="88"/>
      <c r="F48" s="88"/>
      <c r="I48" s="63"/>
      <c r="J48" s="63"/>
      <c r="K48" s="63"/>
      <c r="L48" s="514" t="s">
        <v>204</v>
      </c>
      <c r="M48" s="514"/>
      <c r="N48" s="121">
        <v>19.809999999999999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</row>
    <row r="49" spans="1:46" s="11" customFormat="1" x14ac:dyDescent="0.3">
      <c r="A49" s="79" t="s">
        <v>57</v>
      </c>
      <c r="B49" s="80"/>
      <c r="C49" s="82"/>
      <c r="D49" s="80"/>
      <c r="E49" s="78"/>
      <c r="F49" s="77"/>
      <c r="I49" s="14"/>
      <c r="J49" s="14"/>
      <c r="K49" s="14"/>
      <c r="L49" s="520" t="s">
        <v>205</v>
      </c>
      <c r="M49" s="520"/>
      <c r="N49" s="2">
        <v>19.84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</row>
    <row r="50" spans="1:46" s="11" customFormat="1" ht="12.75" customHeight="1" x14ac:dyDescent="0.3">
      <c r="A50" s="12" t="s">
        <v>58</v>
      </c>
      <c r="B50" s="2"/>
      <c r="C50" s="88"/>
      <c r="D50" s="2"/>
      <c r="E50" s="88"/>
      <c r="F50" s="88"/>
      <c r="I50" s="63"/>
      <c r="J50" s="63"/>
      <c r="K50" s="63"/>
      <c r="L50" s="520" t="s">
        <v>206</v>
      </c>
      <c r="M50" s="520"/>
      <c r="N50" s="2">
        <v>19.739999999999998</v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</row>
    <row r="51" spans="1:46" s="11" customFormat="1" x14ac:dyDescent="0.3">
      <c r="A51" s="79" t="s">
        <v>63</v>
      </c>
      <c r="B51" s="80"/>
      <c r="C51" s="82"/>
      <c r="D51" s="80"/>
      <c r="E51" s="78"/>
      <c r="F51" s="77"/>
      <c r="I51" s="14"/>
      <c r="J51" s="14"/>
      <c r="K51" s="14"/>
      <c r="L51" s="520" t="s">
        <v>207</v>
      </c>
      <c r="M51" s="520"/>
      <c r="N51" s="2">
        <v>19.93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</row>
    <row r="52" spans="1:46" s="11" customFormat="1" ht="15" customHeight="1" x14ac:dyDescent="0.3">
      <c r="A52" s="12" t="s">
        <v>64</v>
      </c>
      <c r="B52" s="2"/>
      <c r="C52" s="88"/>
      <c r="D52" s="2"/>
      <c r="E52" s="88"/>
      <c r="F52" s="88"/>
      <c r="I52" s="63"/>
      <c r="J52" s="63"/>
      <c r="K52" s="63"/>
      <c r="L52" s="542" t="s">
        <v>208</v>
      </c>
      <c r="M52" s="542"/>
      <c r="N52" s="2">
        <f>4*120</f>
        <v>480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</row>
    <row r="53" spans="1:46" s="11" customFormat="1" x14ac:dyDescent="0.3">
      <c r="A53" s="79" t="s">
        <v>33</v>
      </c>
      <c r="B53" s="80"/>
      <c r="C53" s="82"/>
      <c r="D53" s="80"/>
      <c r="E53" s="78"/>
      <c r="F53" s="77"/>
      <c r="I53" s="14"/>
      <c r="J53" s="14"/>
      <c r="K53" s="14"/>
      <c r="L53" s="520" t="s">
        <v>126</v>
      </c>
      <c r="M53" s="520"/>
      <c r="N53" s="2">
        <v>135.68</v>
      </c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</row>
    <row r="54" spans="1:46" s="11" customFormat="1" ht="13.5" customHeight="1" x14ac:dyDescent="0.3">
      <c r="A54" s="12" t="s">
        <v>34</v>
      </c>
      <c r="B54" s="2"/>
      <c r="C54" s="88"/>
      <c r="D54" s="2"/>
      <c r="E54" s="88"/>
      <c r="F54" s="88"/>
      <c r="I54" s="63"/>
      <c r="J54" s="63"/>
      <c r="K54" s="63"/>
      <c r="L54" s="520" t="s">
        <v>127</v>
      </c>
      <c r="M54" s="520"/>
      <c r="N54" s="2">
        <v>45.2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</row>
    <row r="55" spans="1:46" s="11" customFormat="1" x14ac:dyDescent="0.3">
      <c r="A55" s="79" t="s">
        <v>41</v>
      </c>
      <c r="B55" s="80"/>
      <c r="C55" s="82"/>
      <c r="D55" s="80"/>
      <c r="E55" s="78"/>
      <c r="F55" s="77"/>
      <c r="L55" s="520" t="s">
        <v>213</v>
      </c>
      <c r="M55" s="520"/>
      <c r="N55" s="2">
        <v>900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</row>
    <row r="56" spans="1:46" s="11" customFormat="1" x14ac:dyDescent="0.3">
      <c r="A56" s="12" t="s">
        <v>42</v>
      </c>
      <c r="B56" s="2"/>
      <c r="C56" s="88"/>
      <c r="D56" s="2"/>
      <c r="E56" s="88"/>
      <c r="F56" s="88"/>
      <c r="I56" s="63"/>
      <c r="J56" s="63"/>
      <c r="K56" s="63"/>
      <c r="L56" s="516"/>
      <c r="M56" s="517"/>
      <c r="N56" s="90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</row>
    <row r="57" spans="1:46" s="11" customFormat="1" x14ac:dyDescent="0.3">
      <c r="A57" s="79" t="s">
        <v>66</v>
      </c>
      <c r="B57" s="80">
        <f>'GERAL 2021'!K12</f>
        <v>106.95</v>
      </c>
      <c r="C57" s="81">
        <v>6</v>
      </c>
      <c r="D57" s="80">
        <f>B57/C57</f>
        <v>17.824999999999999</v>
      </c>
      <c r="E57" s="82"/>
      <c r="F57" s="80"/>
      <c r="I57" s="14"/>
      <c r="J57" s="14"/>
      <c r="K57" s="14"/>
      <c r="L57" s="518"/>
      <c r="M57" s="518"/>
      <c r="N57" s="109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</row>
    <row r="58" spans="1:46" s="11" customFormat="1" x14ac:dyDescent="0.3">
      <c r="A58" s="12" t="s">
        <v>67</v>
      </c>
      <c r="B58" s="2">
        <f>'GERAL 2021'!I12</f>
        <v>1.0710401891252954</v>
      </c>
      <c r="C58" s="88">
        <v>8</v>
      </c>
      <c r="D58" s="2">
        <f>B58*C58</f>
        <v>8.5683215130023633</v>
      </c>
      <c r="E58" s="88"/>
      <c r="F58" s="88"/>
      <c r="I58" s="63"/>
      <c r="J58" s="63"/>
      <c r="K58" s="63"/>
      <c r="L58" s="531" t="s">
        <v>26</v>
      </c>
      <c r="M58" s="531"/>
      <c r="N58" s="45">
        <f>SUM(N39:N57)</f>
        <v>2076.1522333333332</v>
      </c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</row>
    <row r="59" spans="1:46" s="11" customFormat="1" x14ac:dyDescent="0.3">
      <c r="A59" s="79" t="s">
        <v>14</v>
      </c>
      <c r="B59" s="80"/>
      <c r="C59" s="82"/>
      <c r="D59" s="80"/>
      <c r="E59" s="82"/>
      <c r="F59" s="80"/>
      <c r="I59" s="14"/>
      <c r="J59" s="14"/>
      <c r="K59" s="14"/>
      <c r="L59" s="518"/>
      <c r="M59" s="518"/>
      <c r="N59" s="48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</row>
    <row r="60" spans="1:46" s="18" customFormat="1" x14ac:dyDescent="0.3">
      <c r="A60" s="12" t="s">
        <v>15</v>
      </c>
      <c r="B60" s="2"/>
      <c r="C60" s="88"/>
      <c r="D60" s="2"/>
      <c r="E60" s="88"/>
      <c r="F60" s="88"/>
      <c r="G60" s="11"/>
      <c r="H60" s="11"/>
      <c r="I60" s="87"/>
      <c r="J60" s="87"/>
      <c r="K60" s="87"/>
      <c r="L60" s="513" t="s">
        <v>11</v>
      </c>
      <c r="M60" s="513"/>
      <c r="N60" s="526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</row>
    <row r="61" spans="1:46" s="18" customFormat="1" x14ac:dyDescent="0.3">
      <c r="A61" s="79" t="s">
        <v>55</v>
      </c>
      <c r="B61" s="80"/>
      <c r="C61" s="82"/>
      <c r="D61" s="80"/>
      <c r="E61" s="82"/>
      <c r="F61" s="80"/>
      <c r="G61" s="11"/>
      <c r="H61" s="11"/>
      <c r="I61" s="11"/>
      <c r="J61" s="11"/>
      <c r="K61" s="11"/>
      <c r="L61" s="532">
        <f>I31</f>
        <v>5122.6033333333335</v>
      </c>
      <c r="M61" s="532"/>
      <c r="N61" s="533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</row>
    <row r="62" spans="1:46" s="18" customFormat="1" x14ac:dyDescent="0.3">
      <c r="A62" s="12" t="s">
        <v>56</v>
      </c>
      <c r="B62" s="2"/>
      <c r="C62" s="88"/>
      <c r="D62" s="2"/>
      <c r="E62" s="88"/>
      <c r="F62" s="88"/>
      <c r="G62" s="11"/>
      <c r="H62" s="11"/>
      <c r="I62" s="11"/>
      <c r="J62" s="11"/>
      <c r="K62" s="11"/>
      <c r="L62" s="518"/>
      <c r="M62" s="518"/>
      <c r="N62" s="519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</row>
    <row r="63" spans="1:46" s="18" customFormat="1" x14ac:dyDescent="0.3">
      <c r="A63" s="79" t="s">
        <v>35</v>
      </c>
      <c r="B63" s="80"/>
      <c r="C63" s="82"/>
      <c r="D63" s="80"/>
      <c r="E63" s="82"/>
      <c r="F63" s="80"/>
      <c r="G63" s="11"/>
      <c r="H63" s="11"/>
      <c r="I63" s="11"/>
      <c r="J63" s="11"/>
      <c r="K63" s="11"/>
      <c r="L63" s="513" t="s">
        <v>13</v>
      </c>
      <c r="M63" s="513"/>
      <c r="N63" s="49">
        <f>L61-N58</f>
        <v>3046.4511000000002</v>
      </c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</row>
    <row r="64" spans="1:46" s="18" customFormat="1" x14ac:dyDescent="0.3">
      <c r="A64" s="12" t="s">
        <v>36</v>
      </c>
      <c r="B64" s="2"/>
      <c r="C64" s="88"/>
      <c r="D64" s="2"/>
      <c r="E64" s="88"/>
      <c r="F64" s="88"/>
      <c r="G64" s="11"/>
      <c r="H64" s="11"/>
      <c r="I64" s="14"/>
      <c r="J64" s="14"/>
      <c r="K64" s="14"/>
      <c r="L64" s="123"/>
      <c r="M64" s="123"/>
      <c r="N64" s="133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</row>
    <row r="65" spans="1:45" s="18" customFormat="1" x14ac:dyDescent="0.3">
      <c r="A65" s="79" t="s">
        <v>47</v>
      </c>
      <c r="B65" s="80"/>
      <c r="C65" s="82"/>
      <c r="D65" s="80"/>
      <c r="E65" s="82"/>
      <c r="F65" s="80"/>
      <c r="G65" s="11"/>
      <c r="H65" s="11"/>
      <c r="I65" s="15"/>
      <c r="J65" s="15"/>
      <c r="K65" s="15"/>
      <c r="L65" s="124"/>
      <c r="M65" s="124"/>
      <c r="N65" s="134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</row>
    <row r="66" spans="1:45" s="18" customFormat="1" x14ac:dyDescent="0.3">
      <c r="A66" s="12" t="s">
        <v>48</v>
      </c>
      <c r="B66" s="2"/>
      <c r="C66" s="88"/>
      <c r="D66" s="2"/>
      <c r="E66" s="88"/>
      <c r="F66" s="88"/>
      <c r="G66" s="11"/>
      <c r="H66" s="11"/>
      <c r="I66" s="14"/>
      <c r="J66" s="14"/>
      <c r="K66" s="14"/>
      <c r="L66" s="124"/>
      <c r="M66" s="124"/>
      <c r="N66" s="5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</row>
    <row r="67" spans="1:45" s="18" customFormat="1" x14ac:dyDescent="0.3">
      <c r="A67" s="79" t="s">
        <v>16</v>
      </c>
      <c r="B67" s="80">
        <f>'GERAL 2021'!K17</f>
        <v>119.94</v>
      </c>
      <c r="C67" s="82">
        <v>6</v>
      </c>
      <c r="D67" s="80">
        <f>B67/C67</f>
        <v>19.989999999999998</v>
      </c>
      <c r="E67" s="81"/>
      <c r="F67" s="81"/>
      <c r="G67" s="11"/>
      <c r="H67" s="11"/>
      <c r="I67" s="14"/>
      <c r="J67" s="14"/>
      <c r="K67" s="14"/>
      <c r="L67" s="124"/>
      <c r="M67" s="124"/>
      <c r="N67" s="5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</row>
    <row r="68" spans="1:45" s="18" customFormat="1" x14ac:dyDescent="0.3">
      <c r="A68" s="12" t="s">
        <v>17</v>
      </c>
      <c r="B68" s="2">
        <f>'GERAL 2021'!I17</f>
        <v>1.0710401891252954</v>
      </c>
      <c r="C68" s="88">
        <v>5</v>
      </c>
      <c r="D68" s="2">
        <f>B68*C68</f>
        <v>5.3552009456264766</v>
      </c>
      <c r="E68" s="88"/>
      <c r="F68" s="88"/>
      <c r="G68" s="11"/>
      <c r="H68" s="11"/>
      <c r="I68" s="14"/>
      <c r="J68" s="14"/>
      <c r="K68" s="14"/>
      <c r="L68" s="124"/>
      <c r="M68" s="124"/>
      <c r="N68" s="5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</row>
    <row r="69" spans="1:45" s="18" customFormat="1" x14ac:dyDescent="0.3">
      <c r="A69" s="79" t="s">
        <v>27</v>
      </c>
      <c r="B69" s="80">
        <f>'GERAL 2021'!K18</f>
        <v>118.87</v>
      </c>
      <c r="C69" s="82">
        <v>6</v>
      </c>
      <c r="D69" s="80">
        <f>B69/C69</f>
        <v>19.811666666666667</v>
      </c>
      <c r="E69" s="81"/>
      <c r="F69" s="82"/>
      <c r="G69" s="11"/>
      <c r="H69" s="11"/>
      <c r="I69" s="14"/>
      <c r="J69" s="14"/>
      <c r="K69" s="14"/>
      <c r="L69" s="124"/>
      <c r="M69" s="124"/>
      <c r="N69" s="5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</row>
    <row r="70" spans="1:45" s="32" customFormat="1" x14ac:dyDescent="0.3">
      <c r="A70" s="12" t="s">
        <v>28</v>
      </c>
      <c r="B70" s="2">
        <f>'GERAL 2021'!I18</f>
        <v>1.0710401891252954</v>
      </c>
      <c r="C70" s="88">
        <v>7</v>
      </c>
      <c r="D70" s="2">
        <f>B70*C70</f>
        <v>7.4972813238770684</v>
      </c>
      <c r="E70" s="88"/>
      <c r="F70" s="90"/>
      <c r="G70" s="11"/>
      <c r="H70" s="11"/>
      <c r="I70" s="20"/>
      <c r="J70" s="20"/>
      <c r="K70" s="20"/>
      <c r="L70" s="15"/>
      <c r="M70" s="14"/>
      <c r="N70" s="57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</row>
    <row r="71" spans="1:45" s="32" customFormat="1" x14ac:dyDescent="0.3">
      <c r="A71" s="79" t="s">
        <v>18</v>
      </c>
      <c r="B71" s="80">
        <f>'GERAL 2021'!K19</f>
        <v>118.87</v>
      </c>
      <c r="C71" s="82">
        <v>6</v>
      </c>
      <c r="D71" s="80">
        <f>B71/C71</f>
        <v>19.811666666666667</v>
      </c>
      <c r="E71" s="82"/>
      <c r="F71" s="80"/>
      <c r="G71" s="18"/>
      <c r="H71" s="18"/>
      <c r="I71" s="20"/>
      <c r="J71" s="20"/>
      <c r="K71" s="20"/>
      <c r="L71" s="11"/>
      <c r="M71" s="15"/>
      <c r="N71" s="65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</row>
    <row r="72" spans="1:45" s="32" customFormat="1" x14ac:dyDescent="0.3">
      <c r="A72" s="12" t="s">
        <v>19</v>
      </c>
      <c r="B72" s="2">
        <f>'GERAL 2021'!I19</f>
        <v>1.0710401891252954</v>
      </c>
      <c r="C72" s="88">
        <v>6</v>
      </c>
      <c r="D72" s="2">
        <f>B72*C72</f>
        <v>6.4262411347517725</v>
      </c>
      <c r="E72" s="88"/>
      <c r="F72" s="88"/>
      <c r="G72" s="18"/>
      <c r="H72" s="18"/>
      <c r="I72" s="20"/>
      <c r="J72" s="20"/>
      <c r="K72" s="20"/>
      <c r="L72" s="11"/>
      <c r="M72" s="11"/>
      <c r="N72" s="65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</row>
    <row r="73" spans="1:45" s="32" customFormat="1" x14ac:dyDescent="0.3">
      <c r="A73" s="79" t="s">
        <v>37</v>
      </c>
      <c r="B73" s="80">
        <f>'GERAL 2021'!K20</f>
        <v>119.02</v>
      </c>
      <c r="C73" s="82">
        <v>6</v>
      </c>
      <c r="D73" s="80">
        <f>B73/C73</f>
        <v>19.836666666666666</v>
      </c>
      <c r="E73" s="81"/>
      <c r="F73" s="82"/>
      <c r="G73" s="18"/>
      <c r="H73" s="18"/>
      <c r="I73" s="20"/>
      <c r="J73" s="20"/>
      <c r="K73" s="20"/>
      <c r="L73" s="14"/>
      <c r="M73" s="14"/>
      <c r="N73" s="65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</row>
    <row r="74" spans="1:45" s="32" customFormat="1" x14ac:dyDescent="0.3">
      <c r="A74" s="12" t="s">
        <v>38</v>
      </c>
      <c r="B74" s="2">
        <f>'GERAL 2021'!I20</f>
        <v>1.0710401891252954</v>
      </c>
      <c r="C74" s="88">
        <v>7</v>
      </c>
      <c r="D74" s="2">
        <f>B74*C74</f>
        <v>7.4972813238770684</v>
      </c>
      <c r="E74" s="88"/>
      <c r="F74" s="88"/>
      <c r="G74" s="18"/>
      <c r="H74" s="18"/>
      <c r="I74" s="20"/>
      <c r="J74" s="20"/>
      <c r="K74" s="20"/>
      <c r="L74" s="20"/>
      <c r="M74" s="15"/>
      <c r="N74" s="65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</row>
    <row r="75" spans="1:45" s="32" customFormat="1" x14ac:dyDescent="0.3">
      <c r="A75" s="79" t="s">
        <v>45</v>
      </c>
      <c r="B75" s="80">
        <f>'GERAL 2021'!K21</f>
        <v>118.43</v>
      </c>
      <c r="C75" s="82">
        <v>6</v>
      </c>
      <c r="D75" s="80">
        <f>B75/C75</f>
        <v>19.738333333333333</v>
      </c>
      <c r="E75" s="81"/>
      <c r="F75" s="82"/>
      <c r="G75" s="18"/>
      <c r="H75" s="18"/>
      <c r="I75" s="20"/>
      <c r="J75" s="20"/>
      <c r="K75" s="20"/>
      <c r="L75" s="20"/>
      <c r="M75" s="11"/>
      <c r="N75" s="65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</row>
    <row r="76" spans="1:45" s="32" customFormat="1" x14ac:dyDescent="0.3">
      <c r="A76" s="12" t="s">
        <v>39</v>
      </c>
      <c r="B76" s="2">
        <f>'GERAL 2021'!I21</f>
        <v>1.0710401891252954</v>
      </c>
      <c r="C76" s="88">
        <v>5</v>
      </c>
      <c r="D76" s="2">
        <f>B76*C76</f>
        <v>5.3552009456264766</v>
      </c>
      <c r="E76" s="88"/>
      <c r="F76" s="88"/>
      <c r="G76" s="18"/>
      <c r="H76" s="18"/>
      <c r="I76" s="20"/>
      <c r="J76" s="20"/>
      <c r="K76" s="20"/>
      <c r="L76" s="20"/>
      <c r="M76" s="11"/>
      <c r="N76" s="65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</row>
    <row r="77" spans="1:45" s="32" customFormat="1" x14ac:dyDescent="0.3">
      <c r="A77" s="81" t="s">
        <v>49</v>
      </c>
      <c r="B77" s="80"/>
      <c r="C77" s="82"/>
      <c r="D77" s="80"/>
      <c r="E77" s="81"/>
      <c r="F77" s="82"/>
      <c r="G77" s="18"/>
      <c r="H77" s="18"/>
      <c r="I77" s="20"/>
      <c r="J77" s="20"/>
      <c r="K77" s="20"/>
      <c r="L77" s="18"/>
      <c r="M77" s="11"/>
      <c r="N77" s="65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</row>
    <row r="78" spans="1:45" s="32" customFormat="1" x14ac:dyDescent="0.3">
      <c r="A78" s="90" t="s">
        <v>50</v>
      </c>
      <c r="B78" s="2"/>
      <c r="C78" s="88"/>
      <c r="D78" s="2"/>
      <c r="E78" s="88"/>
      <c r="F78" s="88"/>
      <c r="G78" s="18"/>
      <c r="H78" s="18"/>
      <c r="I78" s="20"/>
      <c r="J78" s="20"/>
      <c r="K78" s="20"/>
      <c r="L78" s="18"/>
      <c r="M78" s="14"/>
      <c r="N78" s="65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</row>
    <row r="79" spans="1:45" s="32" customFormat="1" x14ac:dyDescent="0.3">
      <c r="A79" s="81" t="s">
        <v>43</v>
      </c>
      <c r="B79" s="80"/>
      <c r="C79" s="82"/>
      <c r="D79" s="80"/>
      <c r="E79" s="81"/>
      <c r="F79" s="82"/>
      <c r="G79" s="18"/>
      <c r="H79" s="18"/>
      <c r="I79" s="20"/>
      <c r="J79" s="20"/>
      <c r="K79" s="20"/>
      <c r="L79" s="18"/>
      <c r="M79" s="20"/>
      <c r="N79" s="65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</row>
    <row r="80" spans="1:45" s="32" customFormat="1" x14ac:dyDescent="0.3">
      <c r="A80" s="90" t="s">
        <v>44</v>
      </c>
      <c r="B80" s="2"/>
      <c r="C80" s="88"/>
      <c r="D80" s="2"/>
      <c r="E80" s="88"/>
      <c r="F80" s="88"/>
      <c r="G80" s="18"/>
      <c r="H80" s="18"/>
      <c r="I80" s="20"/>
      <c r="J80" s="20"/>
      <c r="K80" s="20"/>
      <c r="L80" s="18"/>
      <c r="M80" s="20"/>
      <c r="N80" s="65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</row>
    <row r="81" spans="1:46" s="32" customFormat="1" x14ac:dyDescent="0.3">
      <c r="A81" s="81" t="s">
        <v>51</v>
      </c>
      <c r="B81" s="80"/>
      <c r="C81" s="82"/>
      <c r="D81" s="80"/>
      <c r="E81" s="82"/>
      <c r="F81" s="80"/>
      <c r="I81" s="21"/>
      <c r="J81" s="21"/>
      <c r="K81" s="21"/>
      <c r="L81" s="18"/>
      <c r="M81" s="20"/>
      <c r="N81" s="65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</row>
    <row r="82" spans="1:46" s="22" customFormat="1" x14ac:dyDescent="0.3">
      <c r="A82" s="90" t="s">
        <v>52</v>
      </c>
      <c r="B82" s="2"/>
      <c r="C82" s="88"/>
      <c r="D82" s="2"/>
      <c r="E82" s="88"/>
      <c r="F82" s="67"/>
      <c r="G82" s="63"/>
      <c r="H82" s="63"/>
      <c r="I82" s="32"/>
      <c r="J82" s="32"/>
      <c r="K82" s="32"/>
      <c r="L82" s="18"/>
      <c r="M82" s="18"/>
      <c r="N82" s="65"/>
    </row>
    <row r="83" spans="1:46" s="22" customFormat="1" x14ac:dyDescent="0.3">
      <c r="A83" s="81" t="s">
        <v>53</v>
      </c>
      <c r="B83" s="80"/>
      <c r="C83" s="82"/>
      <c r="D83" s="80"/>
      <c r="E83" s="82"/>
      <c r="F83" s="82"/>
      <c r="G83" s="11"/>
      <c r="H83" s="63"/>
      <c r="I83" s="21"/>
      <c r="J83" s="21"/>
      <c r="K83" s="21"/>
      <c r="L83" s="18"/>
      <c r="M83" s="18"/>
      <c r="N83" s="65"/>
      <c r="AT83" s="32"/>
    </row>
    <row r="84" spans="1:46" s="22" customFormat="1" x14ac:dyDescent="0.3">
      <c r="A84" s="90" t="s">
        <v>54</v>
      </c>
      <c r="B84" s="2"/>
      <c r="C84" s="88"/>
      <c r="D84" s="2"/>
      <c r="E84" s="88"/>
      <c r="F84" s="67"/>
      <c r="G84" s="21"/>
      <c r="H84" s="21"/>
      <c r="I84" s="21"/>
      <c r="J84" s="21"/>
      <c r="K84" s="21"/>
      <c r="L84" s="32"/>
      <c r="M84" s="32"/>
      <c r="N84" s="65"/>
      <c r="AT84" s="32"/>
    </row>
    <row r="85" spans="1:46" s="22" customFormat="1" x14ac:dyDescent="0.3">
      <c r="A85" s="81" t="s">
        <v>78</v>
      </c>
      <c r="B85" s="80"/>
      <c r="C85" s="82"/>
      <c r="D85" s="80"/>
      <c r="E85" s="82"/>
      <c r="F85" s="82"/>
      <c r="G85" s="11"/>
      <c r="H85" s="63"/>
      <c r="I85" s="21"/>
      <c r="J85" s="21"/>
      <c r="K85" s="21"/>
      <c r="L85" s="32"/>
      <c r="M85" s="18"/>
      <c r="N85" s="65"/>
      <c r="AT85" s="32"/>
    </row>
    <row r="86" spans="1:46" s="22" customFormat="1" x14ac:dyDescent="0.3">
      <c r="A86" s="90" t="s">
        <v>79</v>
      </c>
      <c r="B86" s="2"/>
      <c r="C86" s="88"/>
      <c r="D86" s="2"/>
      <c r="E86" s="88"/>
      <c r="F86" s="67"/>
      <c r="G86" s="21"/>
      <c r="H86" s="21"/>
      <c r="I86" s="21"/>
      <c r="J86" s="21"/>
      <c r="K86" s="21"/>
      <c r="L86" s="21"/>
      <c r="M86" s="21"/>
      <c r="N86" s="65"/>
      <c r="AT86" s="32"/>
    </row>
    <row r="87" spans="1:46" s="22" customFormat="1" x14ac:dyDescent="0.3">
      <c r="A87" s="81" t="s">
        <v>80</v>
      </c>
      <c r="B87" s="80">
        <f>'GERAL 2021'!K27</f>
        <v>119.7</v>
      </c>
      <c r="C87" s="82">
        <v>6</v>
      </c>
      <c r="D87" s="80">
        <f>B87/C87</f>
        <v>19.95</v>
      </c>
      <c r="E87" s="82"/>
      <c r="F87" s="82"/>
      <c r="G87" s="11"/>
      <c r="H87" s="63"/>
      <c r="I87" s="21"/>
      <c r="J87" s="21"/>
      <c r="K87" s="21"/>
      <c r="L87" s="32"/>
      <c r="M87" s="18"/>
      <c r="N87" s="65"/>
      <c r="AT87" s="32"/>
    </row>
    <row r="88" spans="1:46" s="22" customFormat="1" x14ac:dyDescent="0.3">
      <c r="A88" s="90" t="s">
        <v>81</v>
      </c>
      <c r="B88" s="2">
        <f>'GERAL 2021'!I27</f>
        <v>1.0710401891252954</v>
      </c>
      <c r="C88" s="88">
        <v>6</v>
      </c>
      <c r="D88" s="2">
        <f>B88*C88</f>
        <v>6.4262411347517725</v>
      </c>
      <c r="E88" s="88"/>
      <c r="F88" s="67"/>
      <c r="G88" s="21"/>
      <c r="H88" s="21"/>
      <c r="I88" s="21"/>
      <c r="J88" s="21"/>
      <c r="K88" s="21"/>
      <c r="L88" s="21"/>
      <c r="M88" s="21"/>
      <c r="N88" s="65"/>
      <c r="AT88" s="32"/>
    </row>
    <row r="89" spans="1:46" s="22" customFormat="1" x14ac:dyDescent="0.3">
      <c r="A89" s="81" t="s">
        <v>82</v>
      </c>
      <c r="B89" s="80"/>
      <c r="C89" s="82"/>
      <c r="D89" s="80"/>
      <c r="E89" s="82"/>
      <c r="F89" s="82"/>
      <c r="G89" s="11"/>
      <c r="H89" s="63"/>
      <c r="I89" s="21"/>
      <c r="J89" s="21"/>
      <c r="K89" s="21"/>
      <c r="L89" s="32"/>
      <c r="M89" s="18"/>
      <c r="N89" s="65"/>
      <c r="AT89" s="32"/>
    </row>
    <row r="90" spans="1:46" s="22" customFormat="1" x14ac:dyDescent="0.3">
      <c r="A90" s="90" t="s">
        <v>83</v>
      </c>
      <c r="B90" s="2"/>
      <c r="C90" s="88"/>
      <c r="D90" s="2"/>
      <c r="E90" s="88"/>
      <c r="F90" s="67"/>
      <c r="G90" s="21"/>
      <c r="H90" s="21"/>
      <c r="I90" s="21"/>
      <c r="J90" s="21"/>
      <c r="K90" s="21"/>
      <c r="L90" s="21"/>
      <c r="M90" s="21"/>
      <c r="N90" s="65"/>
      <c r="AT90" s="32"/>
    </row>
    <row r="91" spans="1:46" s="22" customFormat="1" x14ac:dyDescent="0.3">
      <c r="A91" s="81" t="s">
        <v>84</v>
      </c>
      <c r="B91" s="80">
        <f>'GERAL 2021'!K29</f>
        <v>119.02</v>
      </c>
      <c r="C91" s="82"/>
      <c r="D91" s="80"/>
      <c r="E91" s="82"/>
      <c r="F91" s="82"/>
      <c r="G91" s="11"/>
      <c r="H91" s="63"/>
      <c r="I91" s="21"/>
      <c r="J91" s="21"/>
      <c r="K91" s="21"/>
      <c r="L91" s="21"/>
      <c r="M91" s="21"/>
      <c r="N91" s="18"/>
      <c r="AT91" s="32"/>
    </row>
    <row r="92" spans="1:46" s="22" customFormat="1" ht="14.4" thickBot="1" x14ac:dyDescent="0.35">
      <c r="A92" s="90" t="s">
        <v>85</v>
      </c>
      <c r="B92" s="2">
        <f>'GERAL 2021'!I29</f>
        <v>1.0710401891252954</v>
      </c>
      <c r="C92" s="88">
        <v>8</v>
      </c>
      <c r="D92" s="2">
        <f>B92*C92</f>
        <v>8.5683215130023633</v>
      </c>
      <c r="E92" s="88"/>
      <c r="F92" s="67"/>
      <c r="G92" s="66"/>
      <c r="H92" s="66"/>
      <c r="I92" s="66"/>
      <c r="J92" s="66"/>
      <c r="K92" s="66"/>
      <c r="L92" s="66"/>
      <c r="M92" s="66"/>
      <c r="N92" s="66"/>
      <c r="AT92" s="32"/>
    </row>
    <row r="93" spans="1:46" s="22" customFormat="1" x14ac:dyDescent="0.3">
      <c r="A93" s="32"/>
      <c r="B93" s="32"/>
      <c r="C93" s="32"/>
      <c r="D93" s="32"/>
      <c r="E93" s="32"/>
      <c r="F93" s="32"/>
      <c r="G93" s="32"/>
      <c r="H93" s="32"/>
      <c r="I93" s="21"/>
      <c r="J93" s="21"/>
      <c r="K93" s="21"/>
      <c r="L93" s="32"/>
      <c r="M93" s="32"/>
      <c r="N93" s="32"/>
      <c r="AT93" s="32"/>
    </row>
    <row r="94" spans="1:46" s="22" customFormat="1" x14ac:dyDescent="0.3">
      <c r="A94" s="32"/>
      <c r="B94" s="32"/>
      <c r="C94" s="32"/>
      <c r="D94" s="32"/>
      <c r="E94" s="32"/>
      <c r="F94" s="32"/>
      <c r="G94" s="32"/>
      <c r="H94" s="32"/>
      <c r="I94" s="21"/>
      <c r="J94" s="21"/>
      <c r="K94" s="21"/>
      <c r="L94" s="32"/>
      <c r="M94" s="32"/>
      <c r="N94" s="32"/>
      <c r="AT94" s="32"/>
    </row>
    <row r="95" spans="1:46" s="22" customFormat="1" x14ac:dyDescent="0.3">
      <c r="A95" s="32"/>
      <c r="B95" s="32"/>
      <c r="C95" s="32"/>
      <c r="D95" s="32"/>
      <c r="E95" s="32"/>
      <c r="F95" s="32"/>
      <c r="G95" s="32"/>
      <c r="H95" s="32"/>
      <c r="I95" s="21"/>
      <c r="J95" s="21"/>
      <c r="K95" s="21"/>
      <c r="L95" s="32"/>
      <c r="M95" s="32"/>
      <c r="N95" s="32"/>
      <c r="AT95" s="32"/>
    </row>
    <row r="96" spans="1:46" s="22" customFormat="1" x14ac:dyDescent="0.3">
      <c r="A96" s="32"/>
      <c r="B96" s="32"/>
      <c r="C96" s="32"/>
      <c r="D96" s="32"/>
      <c r="E96" s="32"/>
      <c r="F96" s="32"/>
      <c r="G96" s="32"/>
      <c r="H96" s="32"/>
      <c r="I96" s="21"/>
      <c r="J96" s="21"/>
      <c r="K96" s="21"/>
      <c r="L96" s="32"/>
      <c r="M96" s="32"/>
      <c r="N96" s="32"/>
      <c r="AT96" s="32"/>
    </row>
    <row r="97" spans="1:46" s="22" customFormat="1" x14ac:dyDescent="0.3">
      <c r="A97" s="32"/>
      <c r="B97" s="32"/>
      <c r="C97" s="32"/>
      <c r="D97" s="32"/>
      <c r="E97" s="32"/>
      <c r="F97" s="32"/>
      <c r="G97" s="32"/>
      <c r="H97" s="32"/>
      <c r="I97" s="21"/>
      <c r="J97" s="21"/>
      <c r="K97" s="21"/>
      <c r="L97" s="32"/>
      <c r="M97" s="32"/>
      <c r="N97" s="32"/>
      <c r="AT97" s="32"/>
    </row>
    <row r="98" spans="1:46" s="22" customFormat="1" x14ac:dyDescent="0.3">
      <c r="A98" s="32"/>
      <c r="B98" s="32"/>
      <c r="C98" s="32"/>
      <c r="D98" s="32"/>
      <c r="E98" s="32"/>
      <c r="F98" s="32"/>
      <c r="G98" s="32"/>
      <c r="H98" s="32"/>
      <c r="I98" s="21"/>
      <c r="J98" s="21"/>
      <c r="K98" s="21"/>
      <c r="L98" s="32"/>
      <c r="M98" s="32"/>
      <c r="N98" s="32"/>
      <c r="AT98" s="32"/>
    </row>
    <row r="99" spans="1:46" s="22" customFormat="1" x14ac:dyDescent="0.3">
      <c r="A99" s="32"/>
      <c r="B99" s="32"/>
      <c r="C99" s="32"/>
      <c r="D99" s="32"/>
      <c r="E99" s="32"/>
      <c r="F99" s="32"/>
      <c r="G99" s="32"/>
      <c r="H99" s="32"/>
      <c r="I99" s="21"/>
      <c r="J99" s="21"/>
      <c r="K99" s="21"/>
      <c r="L99" s="32"/>
      <c r="M99" s="32"/>
      <c r="N99" s="32"/>
      <c r="AT99" s="32"/>
    </row>
    <row r="100" spans="1:46" s="22" customFormat="1" x14ac:dyDescent="0.3">
      <c r="A100" s="32"/>
      <c r="B100" s="32"/>
      <c r="C100" s="32"/>
      <c r="D100" s="32"/>
      <c r="E100" s="32"/>
      <c r="F100" s="32"/>
      <c r="G100" s="32"/>
      <c r="H100" s="32"/>
      <c r="I100" s="21"/>
      <c r="J100" s="21"/>
      <c r="K100" s="21"/>
      <c r="L100" s="32"/>
      <c r="M100" s="32"/>
      <c r="N100" s="32"/>
      <c r="AT100" s="32"/>
    </row>
    <row r="101" spans="1:46" s="22" customFormat="1" x14ac:dyDescent="0.3">
      <c r="A101" s="32"/>
      <c r="B101" s="32"/>
      <c r="C101" s="32"/>
      <c r="D101" s="32"/>
      <c r="E101" s="32"/>
      <c r="F101" s="32"/>
      <c r="G101" s="32"/>
      <c r="H101" s="32"/>
      <c r="I101" s="21"/>
      <c r="J101" s="21"/>
      <c r="K101" s="21"/>
      <c r="L101" s="32"/>
      <c r="M101" s="32"/>
      <c r="N101" s="32"/>
      <c r="AT101" s="32"/>
    </row>
    <row r="102" spans="1:46" s="22" customFormat="1" x14ac:dyDescent="0.3">
      <c r="A102" s="32"/>
      <c r="B102" s="32"/>
      <c r="C102" s="32"/>
      <c r="D102" s="32"/>
      <c r="E102" s="32"/>
      <c r="F102" s="32"/>
      <c r="G102" s="32"/>
      <c r="H102" s="32"/>
      <c r="I102" s="21"/>
      <c r="J102" s="21"/>
      <c r="K102" s="21"/>
      <c r="L102" s="32"/>
      <c r="M102" s="32"/>
      <c r="N102" s="32"/>
      <c r="AT102" s="32"/>
    </row>
    <row r="103" spans="1:46" s="22" customFormat="1" x14ac:dyDescent="0.3">
      <c r="A103" s="32"/>
      <c r="B103" s="32"/>
      <c r="C103" s="32"/>
      <c r="D103" s="32"/>
      <c r="E103" s="32"/>
      <c r="F103" s="32"/>
      <c r="G103" s="32"/>
      <c r="H103" s="32"/>
      <c r="I103" s="21"/>
      <c r="J103" s="21"/>
      <c r="K103" s="21"/>
      <c r="L103" s="32"/>
      <c r="M103" s="32"/>
      <c r="N103" s="32"/>
      <c r="AT103" s="32"/>
    </row>
    <row r="104" spans="1:46" s="22" customFormat="1" x14ac:dyDescent="0.3">
      <c r="A104" s="32"/>
      <c r="B104" s="32"/>
      <c r="C104" s="32"/>
      <c r="D104" s="32"/>
      <c r="E104" s="32"/>
      <c r="F104" s="32"/>
      <c r="G104" s="32"/>
      <c r="H104" s="32"/>
      <c r="I104" s="21"/>
      <c r="J104" s="21"/>
      <c r="K104" s="21"/>
      <c r="L104" s="32"/>
      <c r="M104" s="32"/>
      <c r="N104" s="32"/>
      <c r="AT104" s="32"/>
    </row>
    <row r="105" spans="1:46" s="22" customFormat="1" x14ac:dyDescent="0.3">
      <c r="A105" s="32"/>
      <c r="B105" s="32"/>
      <c r="C105" s="32"/>
      <c r="D105" s="32"/>
      <c r="E105" s="32"/>
      <c r="F105" s="32"/>
      <c r="G105" s="32"/>
      <c r="H105" s="32"/>
      <c r="I105" s="21"/>
      <c r="J105" s="21"/>
      <c r="K105" s="21"/>
      <c r="L105" s="32"/>
      <c r="M105" s="32"/>
      <c r="N105" s="32"/>
      <c r="AT105" s="32"/>
    </row>
    <row r="106" spans="1:46" s="22" customFormat="1" x14ac:dyDescent="0.3">
      <c r="A106" s="32"/>
      <c r="B106" s="32"/>
      <c r="C106" s="32"/>
      <c r="D106" s="32"/>
      <c r="E106" s="32"/>
      <c r="F106" s="32"/>
      <c r="G106" s="32"/>
      <c r="H106" s="32"/>
      <c r="I106" s="21"/>
      <c r="J106" s="21"/>
      <c r="K106" s="21"/>
      <c r="L106" s="32"/>
      <c r="M106" s="32"/>
      <c r="N106" s="32"/>
      <c r="AT106" s="32"/>
    </row>
    <row r="107" spans="1:46" s="22" customFormat="1" x14ac:dyDescent="0.3">
      <c r="A107" s="32"/>
      <c r="B107" s="32"/>
      <c r="C107" s="32"/>
      <c r="D107" s="32"/>
      <c r="E107" s="32"/>
      <c r="F107" s="32"/>
      <c r="G107" s="32"/>
      <c r="H107" s="32"/>
      <c r="I107" s="21"/>
      <c r="J107" s="21"/>
      <c r="K107" s="21"/>
      <c r="L107" s="32"/>
      <c r="M107" s="32"/>
      <c r="N107" s="32"/>
      <c r="AT107" s="32"/>
    </row>
    <row r="108" spans="1:46" s="22" customFormat="1" x14ac:dyDescent="0.3">
      <c r="A108" s="32"/>
      <c r="B108" s="32"/>
      <c r="C108" s="32"/>
      <c r="D108" s="32"/>
      <c r="E108" s="32"/>
      <c r="F108" s="32"/>
      <c r="G108" s="32"/>
      <c r="H108" s="32"/>
      <c r="I108" s="21"/>
      <c r="J108" s="21"/>
      <c r="K108" s="21"/>
      <c r="L108" s="32"/>
      <c r="M108" s="32"/>
      <c r="N108" s="32"/>
      <c r="AT108" s="32"/>
    </row>
    <row r="109" spans="1:46" s="22" customFormat="1" x14ac:dyDescent="0.3">
      <c r="A109" s="32"/>
      <c r="B109" s="32"/>
      <c r="C109" s="32"/>
      <c r="D109" s="32"/>
      <c r="E109" s="32"/>
      <c r="F109" s="32"/>
      <c r="G109" s="32"/>
      <c r="H109" s="32"/>
      <c r="I109" s="21"/>
      <c r="J109" s="21"/>
      <c r="K109" s="21"/>
      <c r="L109" s="32"/>
      <c r="M109" s="32"/>
      <c r="N109" s="32"/>
      <c r="AT109" s="32"/>
    </row>
    <row r="110" spans="1:46" s="22" customFormat="1" x14ac:dyDescent="0.3">
      <c r="A110" s="32"/>
      <c r="B110" s="32"/>
      <c r="C110" s="32"/>
      <c r="D110" s="32"/>
      <c r="E110" s="32"/>
      <c r="F110" s="32"/>
      <c r="G110" s="32"/>
      <c r="H110" s="32"/>
      <c r="I110" s="21"/>
      <c r="J110" s="21"/>
      <c r="K110" s="21"/>
      <c r="L110" s="32"/>
      <c r="M110" s="32"/>
      <c r="N110" s="32"/>
      <c r="AT110" s="32"/>
    </row>
    <row r="111" spans="1:46" s="22" customFormat="1" x14ac:dyDescent="0.3">
      <c r="A111" s="32"/>
      <c r="B111" s="32"/>
      <c r="C111" s="32"/>
      <c r="D111" s="32"/>
      <c r="E111" s="32"/>
      <c r="F111" s="32"/>
      <c r="G111" s="32"/>
      <c r="H111" s="32"/>
      <c r="I111" s="21"/>
      <c r="J111" s="21"/>
      <c r="K111" s="21"/>
      <c r="L111" s="32"/>
      <c r="M111" s="32"/>
      <c r="N111" s="32"/>
      <c r="AT111" s="32"/>
    </row>
    <row r="112" spans="1:46" s="22" customFormat="1" x14ac:dyDescent="0.3">
      <c r="A112" s="32"/>
      <c r="B112" s="32"/>
      <c r="C112" s="32"/>
      <c r="D112" s="32"/>
      <c r="E112" s="32"/>
      <c r="F112" s="32"/>
      <c r="G112" s="32"/>
      <c r="H112" s="32"/>
      <c r="I112" s="24"/>
      <c r="J112" s="24"/>
      <c r="K112" s="24"/>
      <c r="L112" s="32"/>
      <c r="M112" s="32"/>
      <c r="N112" s="32"/>
      <c r="AT112" s="32"/>
    </row>
    <row r="113" spans="1:46" s="22" customFormat="1" x14ac:dyDescent="0.3">
      <c r="A113" s="32"/>
      <c r="B113" s="32"/>
      <c r="C113" s="32"/>
      <c r="D113" s="32"/>
      <c r="E113" s="32"/>
      <c r="F113" s="32"/>
      <c r="G113" s="32"/>
      <c r="H113" s="32"/>
      <c r="I113" s="24"/>
      <c r="J113" s="24"/>
      <c r="K113" s="24"/>
      <c r="L113" s="32"/>
      <c r="M113" s="32"/>
      <c r="N113" s="32"/>
      <c r="AT113" s="32"/>
    </row>
    <row r="114" spans="1:46" s="22" customFormat="1" x14ac:dyDescent="0.3">
      <c r="A114" s="32"/>
      <c r="B114" s="32"/>
      <c r="C114" s="32"/>
      <c r="D114" s="32"/>
      <c r="E114" s="32"/>
      <c r="F114" s="32"/>
      <c r="G114" s="32"/>
      <c r="H114" s="32"/>
      <c r="I114" s="24"/>
      <c r="J114" s="24"/>
      <c r="K114" s="24"/>
      <c r="L114" s="25"/>
      <c r="M114" s="32"/>
      <c r="N114" s="32"/>
      <c r="AT114" s="32"/>
    </row>
    <row r="115" spans="1:46" s="22" customFormat="1" x14ac:dyDescent="0.3">
      <c r="A115" s="32"/>
      <c r="B115" s="32"/>
      <c r="C115" s="32"/>
      <c r="D115" s="32"/>
      <c r="E115" s="32"/>
      <c r="F115" s="32"/>
      <c r="G115" s="32"/>
      <c r="H115" s="32"/>
      <c r="I115" s="24"/>
      <c r="J115" s="24"/>
      <c r="K115" s="24"/>
      <c r="L115" s="25"/>
      <c r="M115" s="32"/>
      <c r="N115" s="32"/>
      <c r="AT115" s="32"/>
    </row>
    <row r="116" spans="1:46" s="22" customFormat="1" x14ac:dyDescent="0.3">
      <c r="A116" s="32"/>
      <c r="B116" s="32"/>
      <c r="C116" s="32"/>
      <c r="D116" s="32"/>
      <c r="E116" s="32"/>
      <c r="F116" s="32"/>
      <c r="G116" s="32"/>
      <c r="H116" s="32"/>
      <c r="I116" s="24"/>
      <c r="J116" s="24"/>
      <c r="K116" s="24"/>
      <c r="L116" s="25"/>
      <c r="M116" s="32"/>
      <c r="AT116" s="32"/>
    </row>
    <row r="117" spans="1:46" s="22" customFormat="1" x14ac:dyDescent="0.3">
      <c r="A117" s="32"/>
      <c r="B117" s="32"/>
      <c r="C117" s="32"/>
      <c r="D117" s="32"/>
      <c r="E117" s="32"/>
      <c r="F117" s="32"/>
      <c r="G117" s="32"/>
      <c r="H117" s="32"/>
      <c r="I117" s="24"/>
      <c r="J117" s="24"/>
      <c r="K117" s="24"/>
      <c r="L117" s="25"/>
      <c r="M117" s="32"/>
      <c r="AT117" s="32"/>
    </row>
    <row r="118" spans="1:46" s="22" customFormat="1" x14ac:dyDescent="0.3">
      <c r="A118" s="32"/>
      <c r="B118" s="32"/>
      <c r="C118" s="32"/>
      <c r="D118" s="32"/>
      <c r="E118" s="32"/>
      <c r="F118" s="32"/>
      <c r="G118" s="32"/>
      <c r="H118" s="32"/>
      <c r="I118" s="24"/>
      <c r="J118" s="24"/>
      <c r="K118" s="24"/>
      <c r="L118" s="25"/>
      <c r="M118" s="32"/>
      <c r="AT118" s="32"/>
    </row>
    <row r="119" spans="1:46" s="22" customFormat="1" x14ac:dyDescent="0.3">
      <c r="A119" s="32"/>
      <c r="B119" s="32"/>
      <c r="C119" s="32"/>
      <c r="D119" s="32"/>
      <c r="E119" s="32"/>
      <c r="F119" s="32"/>
      <c r="G119" s="32"/>
      <c r="H119" s="32"/>
      <c r="I119" s="24"/>
      <c r="J119" s="24"/>
      <c r="K119" s="24"/>
      <c r="L119" s="25"/>
      <c r="M119" s="25"/>
      <c r="AT119" s="32"/>
    </row>
    <row r="120" spans="1:46" s="22" customFormat="1" x14ac:dyDescent="0.3">
      <c r="A120" s="32"/>
      <c r="B120" s="32"/>
      <c r="C120" s="32"/>
      <c r="D120" s="32"/>
      <c r="E120" s="32"/>
      <c r="F120" s="32"/>
      <c r="G120" s="32"/>
      <c r="H120" s="32"/>
      <c r="I120" s="24"/>
      <c r="J120" s="24"/>
      <c r="K120" s="24"/>
      <c r="L120" s="25"/>
      <c r="M120" s="25"/>
      <c r="AT120" s="32"/>
    </row>
    <row r="121" spans="1:46" s="22" customFormat="1" x14ac:dyDescent="0.3">
      <c r="A121" s="32"/>
      <c r="B121" s="32"/>
      <c r="C121" s="32"/>
      <c r="D121" s="32"/>
      <c r="E121" s="32"/>
      <c r="F121" s="32"/>
      <c r="G121" s="32"/>
      <c r="H121" s="32"/>
      <c r="I121" s="24"/>
      <c r="J121" s="24"/>
      <c r="K121" s="24"/>
      <c r="L121" s="25"/>
      <c r="M121" s="25"/>
      <c r="AT121" s="32"/>
    </row>
    <row r="122" spans="1:46" s="22" customFormat="1" x14ac:dyDescent="0.3">
      <c r="I122" s="24"/>
      <c r="J122" s="24"/>
      <c r="K122" s="24"/>
      <c r="L122" s="25"/>
      <c r="M122" s="25"/>
      <c r="AT122" s="32"/>
    </row>
    <row r="123" spans="1:46" s="22" customFormat="1" x14ac:dyDescent="0.3">
      <c r="I123" s="24"/>
      <c r="J123" s="24"/>
      <c r="K123" s="24"/>
      <c r="L123" s="25"/>
      <c r="M123" s="25"/>
      <c r="AT123" s="32"/>
    </row>
    <row r="124" spans="1:46" s="22" customFormat="1" x14ac:dyDescent="0.3">
      <c r="I124" s="24"/>
      <c r="J124" s="24"/>
      <c r="K124" s="24"/>
      <c r="L124" s="25"/>
      <c r="M124" s="25"/>
      <c r="AT124" s="32"/>
    </row>
    <row r="125" spans="1:46" s="22" customFormat="1" x14ac:dyDescent="0.3">
      <c r="I125" s="24"/>
      <c r="J125" s="24"/>
      <c r="K125" s="24"/>
      <c r="L125" s="25"/>
      <c r="M125" s="25"/>
      <c r="AT125" s="32"/>
    </row>
    <row r="126" spans="1:46" s="22" customFormat="1" x14ac:dyDescent="0.3">
      <c r="I126" s="24"/>
      <c r="J126" s="24"/>
      <c r="K126" s="24"/>
      <c r="L126" s="25"/>
      <c r="M126" s="25"/>
      <c r="AT126" s="32"/>
    </row>
    <row r="127" spans="1:46" s="22" customFormat="1" x14ac:dyDescent="0.3">
      <c r="I127" s="24"/>
      <c r="J127" s="24"/>
      <c r="K127" s="24"/>
      <c r="L127" s="25"/>
      <c r="M127" s="25"/>
      <c r="AT127" s="32"/>
    </row>
    <row r="128" spans="1:46" s="22" customFormat="1" x14ac:dyDescent="0.3">
      <c r="I128" s="24"/>
      <c r="J128" s="24"/>
      <c r="K128" s="24"/>
      <c r="L128" s="25"/>
      <c r="M128" s="25"/>
      <c r="AT128" s="32"/>
    </row>
    <row r="129" spans="9:46" s="22" customFormat="1" x14ac:dyDescent="0.3">
      <c r="I129" s="24"/>
      <c r="J129" s="24"/>
      <c r="K129" s="24"/>
      <c r="L129" s="25"/>
      <c r="M129" s="25"/>
      <c r="AT129" s="32"/>
    </row>
    <row r="130" spans="9:46" s="22" customFormat="1" x14ac:dyDescent="0.3">
      <c r="I130" s="24"/>
      <c r="J130" s="24"/>
      <c r="K130" s="24"/>
      <c r="L130" s="25"/>
      <c r="M130" s="25"/>
      <c r="AT130" s="32"/>
    </row>
    <row r="131" spans="9:46" s="22" customFormat="1" x14ac:dyDescent="0.3">
      <c r="I131" s="24"/>
      <c r="J131" s="24"/>
      <c r="K131" s="24"/>
      <c r="L131" s="25"/>
      <c r="M131" s="25"/>
      <c r="AT131" s="32"/>
    </row>
    <row r="132" spans="9:46" s="22" customFormat="1" x14ac:dyDescent="0.3">
      <c r="I132" s="24"/>
      <c r="J132" s="24"/>
      <c r="K132" s="24"/>
      <c r="L132" s="25"/>
      <c r="M132" s="25"/>
      <c r="AT132" s="32"/>
    </row>
    <row r="133" spans="9:46" s="22" customFormat="1" x14ac:dyDescent="0.3">
      <c r="I133" s="24"/>
      <c r="J133" s="24"/>
      <c r="K133" s="24"/>
      <c r="L133" s="25"/>
      <c r="M133" s="25"/>
      <c r="AT133" s="32"/>
    </row>
    <row r="134" spans="9:46" s="22" customFormat="1" x14ac:dyDescent="0.3">
      <c r="I134" s="24"/>
      <c r="J134" s="24"/>
      <c r="K134" s="24"/>
      <c r="L134" s="25"/>
      <c r="M134" s="25"/>
      <c r="AT134" s="32"/>
    </row>
    <row r="135" spans="9:46" s="22" customFormat="1" x14ac:dyDescent="0.3">
      <c r="I135" s="24"/>
      <c r="J135" s="24"/>
      <c r="K135" s="24"/>
      <c r="L135" s="25"/>
      <c r="M135" s="25"/>
      <c r="AT135" s="32"/>
    </row>
    <row r="136" spans="9:46" s="22" customFormat="1" x14ac:dyDescent="0.3">
      <c r="I136" s="24"/>
      <c r="J136" s="24"/>
      <c r="K136" s="24"/>
      <c r="L136" s="25"/>
      <c r="M136" s="25"/>
      <c r="AT136" s="32"/>
    </row>
    <row r="137" spans="9:46" s="22" customFormat="1" x14ac:dyDescent="0.3">
      <c r="I137" s="24"/>
      <c r="J137" s="24"/>
      <c r="K137" s="24"/>
      <c r="L137" s="25"/>
      <c r="M137" s="25"/>
      <c r="AT137" s="32"/>
    </row>
    <row r="138" spans="9:46" s="22" customFormat="1" x14ac:dyDescent="0.3">
      <c r="I138" s="24"/>
      <c r="J138" s="24"/>
      <c r="K138" s="24"/>
      <c r="L138" s="25"/>
      <c r="M138" s="25"/>
      <c r="AT138" s="32"/>
    </row>
    <row r="139" spans="9:46" s="22" customFormat="1" x14ac:dyDescent="0.3">
      <c r="I139" s="24"/>
      <c r="J139" s="24"/>
      <c r="K139" s="24"/>
      <c r="L139" s="25"/>
      <c r="M139" s="25"/>
      <c r="AT139" s="32"/>
    </row>
    <row r="140" spans="9:46" s="22" customFormat="1" x14ac:dyDescent="0.3">
      <c r="I140" s="24"/>
      <c r="J140" s="24"/>
      <c r="K140" s="24"/>
      <c r="L140" s="25"/>
      <c r="M140" s="25"/>
      <c r="AT140" s="32"/>
    </row>
    <row r="141" spans="9:46" s="22" customFormat="1" x14ac:dyDescent="0.3">
      <c r="I141" s="24"/>
      <c r="J141" s="24"/>
      <c r="K141" s="24"/>
      <c r="L141" s="25"/>
      <c r="M141" s="25"/>
      <c r="AT141" s="32"/>
    </row>
    <row r="142" spans="9:46" s="22" customFormat="1" x14ac:dyDescent="0.3">
      <c r="I142" s="24"/>
      <c r="J142" s="24"/>
      <c r="K142" s="24"/>
      <c r="L142" s="25"/>
      <c r="M142" s="25"/>
      <c r="AT142" s="32"/>
    </row>
    <row r="143" spans="9:46" s="22" customFormat="1" x14ac:dyDescent="0.3">
      <c r="I143" s="24"/>
      <c r="J143" s="24"/>
      <c r="K143" s="24"/>
      <c r="L143" s="25"/>
      <c r="M143" s="25"/>
      <c r="AT143" s="32"/>
    </row>
    <row r="144" spans="9:46" s="22" customFormat="1" x14ac:dyDescent="0.3">
      <c r="I144" s="24"/>
      <c r="J144" s="24"/>
      <c r="K144" s="24"/>
      <c r="L144" s="25"/>
      <c r="M144" s="25"/>
      <c r="AT144" s="32"/>
    </row>
    <row r="145" spans="9:46" s="22" customFormat="1" x14ac:dyDescent="0.3">
      <c r="I145" s="24"/>
      <c r="J145" s="24"/>
      <c r="K145" s="24"/>
      <c r="L145" s="25"/>
      <c r="M145" s="25"/>
      <c r="AT145" s="32"/>
    </row>
    <row r="146" spans="9:46" s="22" customFormat="1" x14ac:dyDescent="0.3">
      <c r="I146" s="24"/>
      <c r="J146" s="24"/>
      <c r="K146" s="24"/>
      <c r="L146" s="25"/>
      <c r="M146" s="25"/>
      <c r="AT146" s="32"/>
    </row>
    <row r="147" spans="9:46" s="22" customFormat="1" x14ac:dyDescent="0.3">
      <c r="I147" s="24"/>
      <c r="J147" s="24"/>
      <c r="K147" s="24"/>
      <c r="L147" s="25"/>
      <c r="M147" s="25"/>
      <c r="AT147" s="32"/>
    </row>
    <row r="148" spans="9:46" s="22" customFormat="1" x14ac:dyDescent="0.3">
      <c r="I148" s="24"/>
      <c r="J148" s="24"/>
      <c r="K148" s="24"/>
      <c r="L148" s="25"/>
      <c r="M148" s="25"/>
      <c r="AT148" s="32"/>
    </row>
    <row r="149" spans="9:46" s="22" customFormat="1" x14ac:dyDescent="0.3">
      <c r="I149" s="24"/>
      <c r="J149" s="24"/>
      <c r="K149" s="24"/>
      <c r="L149" s="25"/>
      <c r="M149" s="25"/>
      <c r="AT149" s="32"/>
    </row>
    <row r="150" spans="9:46" s="22" customFormat="1" x14ac:dyDescent="0.3">
      <c r="I150" s="24"/>
      <c r="J150" s="24"/>
      <c r="K150" s="24"/>
      <c r="L150" s="25"/>
      <c r="M150" s="25"/>
      <c r="AT150" s="32"/>
    </row>
    <row r="151" spans="9:46" s="22" customFormat="1" x14ac:dyDescent="0.3">
      <c r="I151" s="24"/>
      <c r="J151" s="24"/>
      <c r="K151" s="24"/>
      <c r="L151" s="25"/>
      <c r="M151" s="25"/>
      <c r="AT151" s="32"/>
    </row>
    <row r="152" spans="9:46" s="22" customFormat="1" x14ac:dyDescent="0.3">
      <c r="I152" s="24"/>
      <c r="J152" s="24"/>
      <c r="K152" s="24"/>
      <c r="L152" s="25"/>
      <c r="M152" s="25"/>
      <c r="AT152" s="32"/>
    </row>
    <row r="153" spans="9:46" s="22" customFormat="1" x14ac:dyDescent="0.3">
      <c r="I153" s="24"/>
      <c r="J153" s="24"/>
      <c r="K153" s="24"/>
      <c r="L153" s="25"/>
      <c r="M153" s="25"/>
      <c r="AT153" s="32"/>
    </row>
    <row r="154" spans="9:46" s="22" customFormat="1" x14ac:dyDescent="0.3">
      <c r="I154" s="24"/>
      <c r="J154" s="24"/>
      <c r="K154" s="24"/>
      <c r="L154" s="25"/>
      <c r="M154" s="25"/>
      <c r="AT154" s="32"/>
    </row>
    <row r="155" spans="9:46" s="22" customFormat="1" x14ac:dyDescent="0.3">
      <c r="I155" s="24"/>
      <c r="J155" s="24"/>
      <c r="K155" s="24"/>
      <c r="L155" s="25"/>
      <c r="M155" s="25"/>
      <c r="AT155" s="32"/>
    </row>
    <row r="156" spans="9:46" s="22" customFormat="1" x14ac:dyDescent="0.3">
      <c r="I156" s="24"/>
      <c r="J156" s="24"/>
      <c r="K156" s="24"/>
      <c r="L156" s="25"/>
      <c r="M156" s="25"/>
      <c r="AT156" s="32"/>
    </row>
    <row r="157" spans="9:46" s="22" customFormat="1" x14ac:dyDescent="0.3">
      <c r="I157" s="24"/>
      <c r="J157" s="24"/>
      <c r="K157" s="24"/>
      <c r="L157" s="25"/>
      <c r="M157" s="25"/>
      <c r="AT157" s="32"/>
    </row>
    <row r="158" spans="9:46" s="22" customFormat="1" x14ac:dyDescent="0.3">
      <c r="I158" s="24"/>
      <c r="J158" s="24"/>
      <c r="K158" s="24"/>
      <c r="L158" s="25"/>
      <c r="M158" s="25"/>
      <c r="AT158" s="32"/>
    </row>
    <row r="159" spans="9:46" s="22" customFormat="1" x14ac:dyDescent="0.3">
      <c r="I159" s="24"/>
      <c r="J159" s="24"/>
      <c r="K159" s="24"/>
      <c r="L159" s="25"/>
      <c r="M159" s="25"/>
      <c r="AT159" s="32"/>
    </row>
    <row r="160" spans="9:46" s="22" customFormat="1" x14ac:dyDescent="0.3">
      <c r="I160" s="24"/>
      <c r="J160" s="24"/>
      <c r="K160" s="24"/>
      <c r="L160" s="25"/>
      <c r="M160" s="25"/>
      <c r="AT160" s="32"/>
    </row>
    <row r="161" spans="9:46" s="22" customFormat="1" x14ac:dyDescent="0.3">
      <c r="I161" s="24"/>
      <c r="J161" s="24"/>
      <c r="K161" s="24"/>
      <c r="L161" s="25"/>
      <c r="M161" s="25"/>
      <c r="AT161" s="32"/>
    </row>
    <row r="162" spans="9:46" s="22" customFormat="1" x14ac:dyDescent="0.3">
      <c r="I162" s="24"/>
      <c r="J162" s="24"/>
      <c r="K162" s="24"/>
      <c r="L162" s="25"/>
      <c r="M162" s="25"/>
      <c r="AT162" s="32"/>
    </row>
    <row r="163" spans="9:46" s="22" customFormat="1" x14ac:dyDescent="0.3">
      <c r="I163" s="24"/>
      <c r="J163" s="24"/>
      <c r="K163" s="24"/>
      <c r="L163" s="25"/>
      <c r="M163" s="25"/>
      <c r="AT163" s="32"/>
    </row>
    <row r="164" spans="9:46" s="22" customFormat="1" x14ac:dyDescent="0.3">
      <c r="I164" s="24"/>
      <c r="J164" s="24"/>
      <c r="K164" s="24"/>
      <c r="L164" s="25"/>
      <c r="M164" s="25"/>
      <c r="AT164" s="32"/>
    </row>
    <row r="165" spans="9:46" s="22" customFormat="1" x14ac:dyDescent="0.3">
      <c r="I165" s="24"/>
      <c r="J165" s="24"/>
      <c r="K165" s="24"/>
      <c r="L165" s="25"/>
      <c r="M165" s="25"/>
      <c r="AT165" s="32"/>
    </row>
    <row r="166" spans="9:46" s="22" customFormat="1" x14ac:dyDescent="0.3">
      <c r="I166" s="24"/>
      <c r="J166" s="24"/>
      <c r="K166" s="24"/>
      <c r="L166" s="25"/>
      <c r="M166" s="25"/>
      <c r="AT166" s="32"/>
    </row>
    <row r="167" spans="9:46" s="22" customFormat="1" x14ac:dyDescent="0.3">
      <c r="I167" s="24"/>
      <c r="J167" s="24"/>
      <c r="K167" s="24"/>
      <c r="L167" s="25"/>
      <c r="M167" s="25"/>
      <c r="AT167" s="32"/>
    </row>
    <row r="168" spans="9:46" s="22" customFormat="1" x14ac:dyDescent="0.3">
      <c r="I168" s="24"/>
      <c r="J168" s="24"/>
      <c r="K168" s="24"/>
      <c r="L168" s="25"/>
      <c r="M168" s="25"/>
      <c r="AT168" s="32"/>
    </row>
    <row r="169" spans="9:46" s="22" customFormat="1" x14ac:dyDescent="0.3">
      <c r="I169" s="24"/>
      <c r="J169" s="24"/>
      <c r="K169" s="24"/>
      <c r="L169" s="25"/>
      <c r="M169" s="25"/>
      <c r="AT169" s="32"/>
    </row>
    <row r="170" spans="9:46" s="22" customFormat="1" x14ac:dyDescent="0.3">
      <c r="I170" s="24"/>
      <c r="J170" s="24"/>
      <c r="K170" s="24"/>
      <c r="L170" s="25"/>
      <c r="M170" s="25"/>
      <c r="AT170" s="32"/>
    </row>
    <row r="171" spans="9:46" s="22" customFormat="1" x14ac:dyDescent="0.3">
      <c r="I171" s="24"/>
      <c r="J171" s="24"/>
      <c r="K171" s="24"/>
      <c r="L171" s="25"/>
      <c r="M171" s="25"/>
      <c r="AT171" s="32"/>
    </row>
    <row r="172" spans="9:46" s="22" customFormat="1" x14ac:dyDescent="0.3">
      <c r="I172" s="24"/>
      <c r="J172" s="24"/>
      <c r="K172" s="24"/>
      <c r="L172" s="25"/>
      <c r="M172" s="25"/>
      <c r="AT172" s="32"/>
    </row>
    <row r="173" spans="9:46" s="22" customFormat="1" x14ac:dyDescent="0.3">
      <c r="I173" s="24"/>
      <c r="J173" s="24"/>
      <c r="K173" s="24"/>
      <c r="L173" s="25"/>
      <c r="M173" s="25"/>
      <c r="AT173" s="32"/>
    </row>
    <row r="174" spans="9:46" s="22" customFormat="1" x14ac:dyDescent="0.3">
      <c r="I174" s="24"/>
      <c r="J174" s="24"/>
      <c r="K174" s="24"/>
      <c r="L174" s="25"/>
      <c r="M174" s="25"/>
      <c r="AT174" s="32"/>
    </row>
    <row r="175" spans="9:46" s="22" customFormat="1" x14ac:dyDescent="0.3">
      <c r="I175" s="24"/>
      <c r="J175" s="24"/>
      <c r="K175" s="24"/>
      <c r="L175" s="25"/>
      <c r="M175" s="25"/>
      <c r="AT175" s="32"/>
    </row>
    <row r="176" spans="9:46" s="22" customFormat="1" x14ac:dyDescent="0.3">
      <c r="I176" s="24"/>
      <c r="J176" s="24"/>
      <c r="K176" s="24"/>
      <c r="L176" s="25"/>
      <c r="M176" s="25"/>
      <c r="AT176" s="32"/>
    </row>
    <row r="177" spans="1:47" s="22" customFormat="1" x14ac:dyDescent="0.3">
      <c r="I177" s="24"/>
      <c r="J177" s="24"/>
      <c r="K177" s="24"/>
      <c r="L177" s="25"/>
      <c r="M177" s="25"/>
      <c r="AT177" s="32"/>
    </row>
    <row r="178" spans="1:47" s="30" customFormat="1" x14ac:dyDescent="0.3">
      <c r="A178" s="22"/>
      <c r="B178" s="22"/>
      <c r="C178" s="22"/>
      <c r="D178" s="22"/>
      <c r="E178" s="22"/>
      <c r="F178" s="22"/>
      <c r="G178" s="22"/>
      <c r="H178" s="22"/>
      <c r="I178" s="24"/>
      <c r="J178" s="24"/>
      <c r="K178" s="24"/>
      <c r="L178" s="25"/>
      <c r="M178" s="25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32"/>
      <c r="AU178" s="22"/>
    </row>
    <row r="179" spans="1:47" s="30" customFormat="1" x14ac:dyDescent="0.3">
      <c r="A179" s="22"/>
      <c r="B179" s="22"/>
      <c r="C179" s="22"/>
      <c r="D179" s="22"/>
      <c r="E179" s="22"/>
      <c r="F179" s="22"/>
      <c r="G179" s="22"/>
      <c r="H179" s="22"/>
      <c r="I179" s="24"/>
      <c r="J179" s="24"/>
      <c r="K179" s="24"/>
      <c r="L179" s="25"/>
      <c r="M179" s="25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32"/>
      <c r="AU179" s="22"/>
    </row>
    <row r="180" spans="1:47" s="30" customFormat="1" x14ac:dyDescent="0.3">
      <c r="A180" s="22"/>
      <c r="B180" s="22"/>
      <c r="C180" s="22"/>
      <c r="D180" s="22"/>
      <c r="E180" s="22"/>
      <c r="F180" s="22"/>
      <c r="G180" s="22"/>
      <c r="H180" s="22"/>
      <c r="I180" s="24"/>
      <c r="J180" s="24"/>
      <c r="K180" s="24"/>
      <c r="L180" s="25"/>
      <c r="M180" s="25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32"/>
      <c r="AU180" s="22"/>
    </row>
    <row r="181" spans="1:47" s="30" customFormat="1" x14ac:dyDescent="0.3">
      <c r="A181" s="22"/>
      <c r="B181" s="22"/>
      <c r="C181" s="22"/>
      <c r="D181" s="22"/>
      <c r="E181" s="22"/>
      <c r="F181" s="22"/>
      <c r="G181" s="22"/>
      <c r="H181" s="22"/>
      <c r="I181" s="24"/>
      <c r="J181" s="24"/>
      <c r="K181" s="24"/>
      <c r="L181" s="25"/>
      <c r="M181" s="25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32"/>
      <c r="AU181" s="22"/>
    </row>
    <row r="182" spans="1:47" s="30" customFormat="1" x14ac:dyDescent="0.3">
      <c r="A182" s="22"/>
      <c r="B182" s="22"/>
      <c r="C182" s="22"/>
      <c r="D182" s="22"/>
      <c r="E182" s="22"/>
      <c r="F182" s="22"/>
      <c r="G182" s="22"/>
      <c r="H182" s="22"/>
      <c r="I182" s="24"/>
      <c r="J182" s="24"/>
      <c r="K182" s="24"/>
      <c r="L182" s="25"/>
      <c r="M182" s="25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32"/>
      <c r="AU182" s="22"/>
    </row>
    <row r="183" spans="1:47" s="30" customFormat="1" x14ac:dyDescent="0.3">
      <c r="A183" s="22"/>
      <c r="B183" s="22"/>
      <c r="C183" s="22"/>
      <c r="D183" s="22"/>
      <c r="E183" s="22"/>
      <c r="F183" s="22"/>
      <c r="G183" s="22"/>
      <c r="H183" s="22"/>
      <c r="I183" s="24"/>
      <c r="J183" s="24"/>
      <c r="K183" s="24"/>
      <c r="L183" s="25"/>
      <c r="M183" s="25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32"/>
      <c r="AU183" s="22"/>
    </row>
    <row r="184" spans="1:47" s="30" customFormat="1" x14ac:dyDescent="0.3">
      <c r="A184" s="22"/>
      <c r="B184" s="22"/>
      <c r="C184" s="22"/>
      <c r="D184" s="22"/>
      <c r="E184" s="22"/>
      <c r="F184" s="22"/>
      <c r="G184" s="22"/>
      <c r="H184" s="22"/>
      <c r="I184" s="24"/>
      <c r="J184" s="24"/>
      <c r="K184" s="24"/>
      <c r="L184" s="25"/>
      <c r="M184" s="25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32"/>
      <c r="AU184" s="22"/>
    </row>
    <row r="185" spans="1:47" s="30" customFormat="1" x14ac:dyDescent="0.3">
      <c r="A185" s="22"/>
      <c r="B185" s="22"/>
      <c r="C185" s="22"/>
      <c r="D185" s="22"/>
      <c r="E185" s="22"/>
      <c r="F185" s="22"/>
      <c r="G185" s="22"/>
      <c r="H185" s="22"/>
      <c r="I185" s="24"/>
      <c r="J185" s="24"/>
      <c r="K185" s="24"/>
      <c r="L185" s="25"/>
      <c r="M185" s="25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32"/>
      <c r="AU185" s="22"/>
    </row>
    <row r="186" spans="1:47" s="30" customFormat="1" x14ac:dyDescent="0.3">
      <c r="A186" s="22"/>
      <c r="B186" s="22"/>
      <c r="C186" s="22"/>
      <c r="D186" s="22"/>
      <c r="E186" s="22"/>
      <c r="F186" s="22"/>
      <c r="G186" s="22"/>
      <c r="H186" s="22"/>
      <c r="I186" s="24"/>
      <c r="J186" s="24"/>
      <c r="K186" s="24"/>
      <c r="L186" s="25"/>
      <c r="M186" s="25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32"/>
      <c r="AU186" s="22"/>
    </row>
    <row r="187" spans="1:47" s="30" customFormat="1" x14ac:dyDescent="0.3">
      <c r="A187" s="22"/>
      <c r="B187" s="22"/>
      <c r="C187" s="22"/>
      <c r="D187" s="22"/>
      <c r="E187" s="22"/>
      <c r="F187" s="22"/>
      <c r="G187" s="22"/>
      <c r="H187" s="22"/>
      <c r="I187" s="24"/>
      <c r="J187" s="24"/>
      <c r="K187" s="24"/>
      <c r="L187" s="25"/>
      <c r="M187" s="25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32"/>
      <c r="AU187" s="22"/>
    </row>
    <row r="188" spans="1:47" s="30" customFormat="1" x14ac:dyDescent="0.3">
      <c r="A188" s="22"/>
      <c r="B188" s="22"/>
      <c r="C188" s="22"/>
      <c r="D188" s="22"/>
      <c r="E188" s="22"/>
      <c r="F188" s="22"/>
      <c r="G188" s="22"/>
      <c r="H188" s="22"/>
      <c r="I188" s="24"/>
      <c r="J188" s="24"/>
      <c r="K188" s="24"/>
      <c r="L188" s="25"/>
      <c r="M188" s="25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32"/>
      <c r="AU188" s="22"/>
    </row>
    <row r="189" spans="1:47" s="30" customFormat="1" x14ac:dyDescent="0.3">
      <c r="A189" s="22"/>
      <c r="B189" s="22"/>
      <c r="C189" s="22"/>
      <c r="D189" s="22"/>
      <c r="E189" s="22"/>
      <c r="F189" s="22"/>
      <c r="G189" s="22"/>
      <c r="H189" s="22"/>
      <c r="I189" s="27"/>
      <c r="J189" s="27"/>
      <c r="K189" s="27"/>
      <c r="L189" s="25"/>
      <c r="M189" s="25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32"/>
      <c r="AU189" s="22"/>
    </row>
    <row r="190" spans="1:47" s="30" customFormat="1" x14ac:dyDescent="0.3">
      <c r="A190" s="22"/>
      <c r="B190" s="22"/>
      <c r="C190" s="22"/>
      <c r="D190" s="22"/>
      <c r="E190" s="22"/>
      <c r="F190" s="22"/>
      <c r="G190" s="22"/>
      <c r="H190" s="22"/>
      <c r="I190" s="27"/>
      <c r="J190" s="27"/>
      <c r="K190" s="27"/>
      <c r="L190" s="25"/>
      <c r="M190" s="25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32"/>
      <c r="AU190" s="22"/>
    </row>
    <row r="191" spans="1:47" s="30" customFormat="1" x14ac:dyDescent="0.3">
      <c r="A191" s="22"/>
      <c r="B191" s="22"/>
      <c r="C191" s="22"/>
      <c r="D191" s="22"/>
      <c r="E191" s="22"/>
      <c r="F191" s="22"/>
      <c r="G191" s="22"/>
      <c r="H191" s="22"/>
      <c r="I191" s="27"/>
      <c r="J191" s="27"/>
      <c r="K191" s="27"/>
      <c r="L191" s="28"/>
      <c r="M191" s="25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32"/>
      <c r="AU191" s="22"/>
    </row>
    <row r="192" spans="1:47" s="30" customFormat="1" x14ac:dyDescent="0.3">
      <c r="A192" s="22"/>
      <c r="B192" s="22"/>
      <c r="C192" s="22"/>
      <c r="D192" s="22"/>
      <c r="E192" s="22"/>
      <c r="F192" s="22"/>
      <c r="G192" s="22"/>
      <c r="H192" s="22"/>
      <c r="I192" s="27"/>
      <c r="J192" s="27"/>
      <c r="K192" s="27"/>
      <c r="L192" s="28"/>
      <c r="M192" s="25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32"/>
      <c r="AU192" s="22"/>
    </row>
    <row r="193" spans="1:47" s="30" customFormat="1" x14ac:dyDescent="0.3">
      <c r="A193" s="22"/>
      <c r="B193" s="22"/>
      <c r="C193" s="22"/>
      <c r="D193" s="22"/>
      <c r="E193" s="22"/>
      <c r="F193" s="22"/>
      <c r="G193" s="22"/>
      <c r="H193" s="22"/>
      <c r="I193" s="27"/>
      <c r="J193" s="27"/>
      <c r="K193" s="27"/>
      <c r="L193" s="28"/>
      <c r="M193" s="25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32"/>
      <c r="AU193" s="22"/>
    </row>
    <row r="194" spans="1:47" s="30" customFormat="1" x14ac:dyDescent="0.3">
      <c r="A194" s="22"/>
      <c r="B194" s="22"/>
      <c r="C194" s="22"/>
      <c r="D194" s="22"/>
      <c r="E194" s="22"/>
      <c r="F194" s="22"/>
      <c r="G194" s="22"/>
      <c r="H194" s="22"/>
      <c r="I194" s="27"/>
      <c r="J194" s="27"/>
      <c r="K194" s="27"/>
      <c r="L194" s="28"/>
      <c r="M194" s="25"/>
      <c r="N194" s="26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32"/>
      <c r="AU194" s="22"/>
    </row>
    <row r="195" spans="1:47" x14ac:dyDescent="0.3">
      <c r="A195" s="22"/>
      <c r="B195" s="22"/>
      <c r="C195" s="22"/>
      <c r="D195" s="22"/>
      <c r="E195" s="22"/>
      <c r="F195" s="22"/>
      <c r="G195" s="22"/>
      <c r="H195" s="22"/>
      <c r="I195" s="27"/>
      <c r="J195" s="27"/>
      <c r="K195" s="27"/>
      <c r="L195" s="28"/>
      <c r="M195" s="25"/>
      <c r="N195" s="26"/>
      <c r="AT195" s="29"/>
      <c r="AU195" s="29"/>
    </row>
    <row r="196" spans="1:47" x14ac:dyDescent="0.3">
      <c r="A196" s="22"/>
      <c r="B196" s="22"/>
      <c r="C196" s="22"/>
      <c r="D196" s="22"/>
      <c r="E196" s="22"/>
      <c r="F196" s="22"/>
      <c r="G196" s="22"/>
      <c r="H196" s="22"/>
      <c r="I196" s="27"/>
      <c r="J196" s="27"/>
      <c r="K196" s="27"/>
      <c r="L196" s="28"/>
      <c r="M196" s="28"/>
      <c r="N196" s="26"/>
      <c r="AT196" s="29"/>
      <c r="AU196" s="29"/>
    </row>
    <row r="197" spans="1:47" x14ac:dyDescent="0.3">
      <c r="A197" s="22"/>
      <c r="B197" s="22"/>
      <c r="C197" s="22"/>
      <c r="D197" s="22"/>
      <c r="E197" s="22"/>
      <c r="F197" s="22"/>
      <c r="G197" s="22"/>
      <c r="H197" s="22"/>
      <c r="I197" s="27"/>
      <c r="J197" s="27"/>
      <c r="K197" s="27"/>
      <c r="L197" s="28"/>
      <c r="M197" s="28"/>
      <c r="N197" s="26"/>
      <c r="AT197" s="29"/>
      <c r="AU197" s="29"/>
    </row>
    <row r="198" spans="1:47" x14ac:dyDescent="0.3">
      <c r="A198" s="22"/>
      <c r="B198" s="22"/>
      <c r="C198" s="22"/>
      <c r="D198" s="22"/>
      <c r="E198" s="22"/>
      <c r="F198" s="22"/>
      <c r="G198" s="22"/>
      <c r="H198" s="22"/>
      <c r="I198" s="27"/>
      <c r="J198" s="27"/>
      <c r="K198" s="27"/>
      <c r="L198" s="28"/>
      <c r="M198" s="28"/>
      <c r="N198" s="26"/>
      <c r="AT198" s="29"/>
      <c r="AU198" s="29"/>
    </row>
    <row r="199" spans="1:47" x14ac:dyDescent="0.3">
      <c r="A199" s="26"/>
      <c r="B199" s="26"/>
      <c r="C199" s="26"/>
      <c r="D199" s="26"/>
      <c r="E199" s="26"/>
      <c r="F199" s="26"/>
      <c r="G199" s="26"/>
      <c r="H199" s="26"/>
      <c r="I199" s="27"/>
      <c r="J199" s="27"/>
      <c r="K199" s="27"/>
      <c r="L199" s="28"/>
      <c r="M199" s="28"/>
      <c r="N199" s="26"/>
      <c r="AT199" s="29"/>
      <c r="AU199" s="29"/>
    </row>
    <row r="200" spans="1:47" x14ac:dyDescent="0.3">
      <c r="A200" s="26"/>
      <c r="B200" s="26"/>
      <c r="C200" s="26"/>
      <c r="D200" s="26"/>
      <c r="E200" s="26"/>
      <c r="F200" s="26"/>
      <c r="G200" s="26"/>
      <c r="H200" s="26"/>
      <c r="I200" s="27"/>
      <c r="J200" s="27"/>
      <c r="K200" s="27"/>
      <c r="L200" s="28"/>
      <c r="M200" s="28"/>
      <c r="N200" s="26"/>
      <c r="AT200" s="29"/>
      <c r="AU200" s="29"/>
    </row>
    <row r="201" spans="1:47" x14ac:dyDescent="0.3">
      <c r="A201" s="26"/>
      <c r="B201" s="26"/>
      <c r="C201" s="26"/>
      <c r="D201" s="26"/>
      <c r="E201" s="26"/>
      <c r="F201" s="26"/>
      <c r="G201" s="26"/>
      <c r="H201" s="26"/>
      <c r="I201" s="27"/>
      <c r="J201" s="27"/>
      <c r="K201" s="27"/>
      <c r="L201" s="28"/>
      <c r="M201" s="28"/>
      <c r="N201" s="26"/>
      <c r="AT201" s="29"/>
      <c r="AU201" s="29"/>
    </row>
    <row r="202" spans="1:47" x14ac:dyDescent="0.3">
      <c r="A202" s="26"/>
      <c r="B202" s="26"/>
      <c r="C202" s="26"/>
      <c r="D202" s="26"/>
      <c r="E202" s="26"/>
      <c r="F202" s="26"/>
      <c r="G202" s="26"/>
      <c r="H202" s="26"/>
      <c r="I202" s="27"/>
      <c r="J202" s="27"/>
      <c r="K202" s="27"/>
      <c r="L202" s="28"/>
      <c r="M202" s="28"/>
      <c r="N202" s="26"/>
      <c r="AT202" s="29"/>
      <c r="AU202" s="29"/>
    </row>
    <row r="203" spans="1:47" x14ac:dyDescent="0.3">
      <c r="A203" s="26"/>
      <c r="B203" s="26"/>
      <c r="C203" s="26"/>
      <c r="D203" s="26"/>
      <c r="E203" s="26"/>
      <c r="F203" s="26"/>
      <c r="G203" s="26"/>
      <c r="H203" s="26"/>
      <c r="I203" s="27"/>
      <c r="J203" s="27"/>
      <c r="K203" s="27"/>
      <c r="L203" s="28"/>
      <c r="M203" s="28"/>
      <c r="N203" s="26"/>
      <c r="AT203" s="29"/>
      <c r="AU203" s="29"/>
    </row>
    <row r="204" spans="1:47" x14ac:dyDescent="0.3">
      <c r="A204" s="26"/>
      <c r="B204" s="26"/>
      <c r="C204" s="26"/>
      <c r="D204" s="26"/>
      <c r="E204" s="26"/>
      <c r="F204" s="26"/>
      <c r="G204" s="26"/>
      <c r="H204" s="26"/>
      <c r="I204" s="27"/>
      <c r="J204" s="27"/>
      <c r="K204" s="27"/>
      <c r="L204" s="28"/>
      <c r="M204" s="28"/>
      <c r="N204" s="26"/>
      <c r="AT204" s="29"/>
      <c r="AU204" s="29"/>
    </row>
    <row r="205" spans="1:47" x14ac:dyDescent="0.3">
      <c r="A205" s="26"/>
      <c r="B205" s="26"/>
      <c r="C205" s="26"/>
      <c r="D205" s="26"/>
      <c r="E205" s="26"/>
      <c r="F205" s="26"/>
      <c r="G205" s="26"/>
      <c r="H205" s="26"/>
      <c r="I205" s="27"/>
      <c r="J205" s="27"/>
      <c r="K205" s="27"/>
      <c r="L205" s="28"/>
      <c r="M205" s="28"/>
      <c r="N205" s="26"/>
      <c r="AT205" s="29"/>
      <c r="AU205" s="29"/>
    </row>
    <row r="206" spans="1:47" x14ac:dyDescent="0.3">
      <c r="A206" s="26"/>
      <c r="B206" s="26"/>
      <c r="C206" s="26"/>
      <c r="D206" s="26"/>
      <c r="E206" s="26"/>
      <c r="F206" s="26"/>
      <c r="G206" s="26"/>
      <c r="H206" s="26"/>
      <c r="L206" s="28"/>
      <c r="M206" s="28"/>
      <c r="AT206" s="29"/>
      <c r="AU206" s="29"/>
    </row>
    <row r="207" spans="1:47" x14ac:dyDescent="0.3">
      <c r="A207" s="26"/>
      <c r="B207" s="26"/>
      <c r="C207" s="26"/>
      <c r="D207" s="26"/>
      <c r="E207" s="26"/>
      <c r="F207" s="26"/>
      <c r="G207" s="26"/>
      <c r="H207" s="26"/>
      <c r="L207" s="28"/>
      <c r="M207" s="28"/>
    </row>
    <row r="208" spans="1:47" x14ac:dyDescent="0.3">
      <c r="A208" s="26"/>
      <c r="B208" s="26"/>
      <c r="C208" s="26"/>
      <c r="D208" s="26"/>
      <c r="E208" s="26"/>
      <c r="F208" s="26"/>
      <c r="G208" s="26"/>
      <c r="H208" s="26"/>
      <c r="M208" s="28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29"/>
      <c r="AU208" s="29"/>
    </row>
    <row r="209" spans="1:13" x14ac:dyDescent="0.3">
      <c r="A209" s="26"/>
      <c r="B209" s="26"/>
      <c r="C209" s="26"/>
      <c r="D209" s="26"/>
      <c r="E209" s="26"/>
      <c r="F209" s="26"/>
      <c r="G209" s="26"/>
      <c r="H209" s="26"/>
      <c r="M209" s="28"/>
    </row>
    <row r="210" spans="1:13" x14ac:dyDescent="0.3">
      <c r="A210" s="26"/>
      <c r="B210" s="26"/>
      <c r="C210" s="26"/>
      <c r="D210" s="26"/>
      <c r="E210" s="26"/>
      <c r="F210" s="26"/>
      <c r="G210" s="26"/>
      <c r="H210" s="26"/>
      <c r="M210" s="28"/>
    </row>
    <row r="211" spans="1:13" x14ac:dyDescent="0.3">
      <c r="A211" s="26"/>
      <c r="B211" s="26"/>
      <c r="C211" s="26"/>
      <c r="D211" s="26"/>
      <c r="E211" s="26"/>
      <c r="F211" s="26"/>
      <c r="G211" s="26"/>
      <c r="H211" s="26"/>
      <c r="M211" s="28"/>
    </row>
    <row r="212" spans="1:13" x14ac:dyDescent="0.3">
      <c r="A212" s="26"/>
      <c r="B212" s="26"/>
      <c r="C212" s="26"/>
      <c r="D212" s="26"/>
      <c r="E212" s="26"/>
      <c r="F212" s="26"/>
      <c r="G212" s="26"/>
      <c r="H212" s="26"/>
      <c r="L212" s="29"/>
      <c r="M212" s="28"/>
    </row>
    <row r="213" spans="1:13" x14ac:dyDescent="0.3">
      <c r="A213" s="26"/>
      <c r="B213" s="26"/>
      <c r="C213" s="26"/>
      <c r="D213" s="26"/>
      <c r="E213" s="26"/>
      <c r="F213" s="26"/>
      <c r="G213" s="26"/>
      <c r="H213" s="26"/>
    </row>
    <row r="214" spans="1:13" x14ac:dyDescent="0.3">
      <c r="A214" s="26"/>
      <c r="B214" s="26"/>
      <c r="C214" s="26"/>
      <c r="D214" s="26"/>
      <c r="E214" s="26"/>
      <c r="F214" s="26"/>
      <c r="G214" s="26"/>
      <c r="H214" s="26"/>
    </row>
    <row r="215" spans="1:13" x14ac:dyDescent="0.3">
      <c r="A215" s="26"/>
      <c r="B215" s="26"/>
      <c r="C215" s="26"/>
      <c r="D215" s="26"/>
      <c r="E215" s="26"/>
      <c r="F215" s="26"/>
      <c r="G215" s="26"/>
      <c r="H215" s="26"/>
    </row>
    <row r="219" spans="1:13" x14ac:dyDescent="0.3">
      <c r="I219" s="29"/>
      <c r="J219" s="29"/>
      <c r="K219" s="29"/>
    </row>
    <row r="1048550" spans="14:14" x14ac:dyDescent="0.3">
      <c r="N1048550" s="65"/>
    </row>
  </sheetData>
  <mergeCells count="35">
    <mergeCell ref="A32:N32"/>
    <mergeCell ref="A1:N1"/>
    <mergeCell ref="A2:N2"/>
    <mergeCell ref="A31:B31"/>
    <mergeCell ref="L45:M45"/>
    <mergeCell ref="D33:H33"/>
    <mergeCell ref="D34:H34"/>
    <mergeCell ref="A36:H36"/>
    <mergeCell ref="A37:N37"/>
    <mergeCell ref="A38:F38"/>
    <mergeCell ref="L38:N38"/>
    <mergeCell ref="L39:M39"/>
    <mergeCell ref="L40:M40"/>
    <mergeCell ref="L41:N42"/>
    <mergeCell ref="L43:N43"/>
    <mergeCell ref="L44:M44"/>
    <mergeCell ref="D35:H35"/>
    <mergeCell ref="L55:M55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6:M56"/>
    <mergeCell ref="L63:M63"/>
    <mergeCell ref="L57:M57"/>
    <mergeCell ref="L58:M58"/>
    <mergeCell ref="L59:M59"/>
    <mergeCell ref="L60:N60"/>
    <mergeCell ref="L61:N61"/>
    <mergeCell ref="L62:N62"/>
  </mergeCells>
  <pageMargins left="0" right="0" top="0" bottom="0" header="0.31496062992125984" footer="0.31496062992125984"/>
  <pageSetup paperSize="9" scale="1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E8D3B-4EFF-4D43-8189-4FC93911FD52}">
  <sheetPr>
    <pageSetUpPr fitToPage="1"/>
  </sheetPr>
  <dimension ref="A1:BF1048551"/>
  <sheetViews>
    <sheetView zoomScale="60" zoomScaleNormal="60" workbookViewId="0">
      <selection activeCell="A28" sqref="A28:XFD28"/>
    </sheetView>
  </sheetViews>
  <sheetFormatPr defaultColWidth="9.109375" defaultRowHeight="13.8" x14ac:dyDescent="0.3"/>
  <cols>
    <col min="1" max="1" width="17.6640625" style="29" bestFit="1" customWidth="1"/>
    <col min="2" max="2" width="12" style="29" bestFit="1" customWidth="1"/>
    <col min="3" max="3" width="18" style="29" bestFit="1" customWidth="1"/>
    <col min="4" max="4" width="19" style="29" customWidth="1"/>
    <col min="5" max="5" width="18.44140625" style="29" customWidth="1"/>
    <col min="6" max="6" width="17.6640625" style="29" bestFit="1" customWidth="1"/>
    <col min="7" max="7" width="17" style="29" customWidth="1"/>
    <col min="8" max="8" width="19.5546875" style="29" customWidth="1"/>
    <col min="9" max="9" width="19.109375" style="31" bestFit="1" customWidth="1"/>
    <col min="10" max="10" width="17.109375" style="31" bestFit="1" customWidth="1"/>
    <col min="11" max="11" width="18" style="31" bestFit="1" customWidth="1"/>
    <col min="12" max="12" width="76.5546875" style="31" customWidth="1"/>
    <col min="13" max="13" width="9.5546875" style="31" customWidth="1"/>
    <col min="14" max="14" width="17.5546875" style="29" bestFit="1" customWidth="1"/>
    <col min="15" max="15" width="10.5546875" style="22" bestFit="1" customWidth="1"/>
    <col min="16" max="45" width="9.109375" style="22"/>
    <col min="46" max="47" width="9.109375" style="32"/>
    <col min="48" max="16384" width="9.109375" style="29"/>
  </cols>
  <sheetData>
    <row r="1" spans="1:47" s="10" customFormat="1" ht="29.25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47" s="52" customFormat="1" ht="29.25" customHeight="1" x14ac:dyDescent="0.3">
      <c r="A2" s="521" t="s">
        <v>219</v>
      </c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1"/>
      <c r="AH2" s="11"/>
      <c r="AI2" s="11"/>
      <c r="AJ2" s="11"/>
      <c r="AK2" s="11"/>
      <c r="AL2" s="11"/>
      <c r="AM2" s="11"/>
    </row>
    <row r="3" spans="1:47" s="11" customFormat="1" ht="27.6" x14ac:dyDescent="0.3">
      <c r="A3" s="83" t="s">
        <v>3</v>
      </c>
      <c r="B3" s="83" t="s">
        <v>0</v>
      </c>
      <c r="C3" s="84" t="s">
        <v>1</v>
      </c>
      <c r="D3" s="84" t="s">
        <v>68</v>
      </c>
      <c r="E3" s="84" t="s">
        <v>69</v>
      </c>
      <c r="F3" s="85" t="s">
        <v>2</v>
      </c>
      <c r="G3" s="84" t="s">
        <v>6</v>
      </c>
      <c r="H3" s="84" t="s">
        <v>7</v>
      </c>
      <c r="I3" s="84" t="s">
        <v>4</v>
      </c>
      <c r="J3" s="84" t="s">
        <v>5</v>
      </c>
      <c r="K3" s="84" t="s">
        <v>70</v>
      </c>
      <c r="L3" s="83" t="s">
        <v>59</v>
      </c>
      <c r="M3" s="86" t="s">
        <v>8</v>
      </c>
      <c r="N3" s="86" t="s">
        <v>10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</row>
    <row r="4" spans="1:47" s="15" customFormat="1" ht="14.25" customHeight="1" x14ac:dyDescent="0.3">
      <c r="A4" s="88" t="s">
        <v>132</v>
      </c>
      <c r="B4" s="90">
        <v>1</v>
      </c>
      <c r="C4" s="2">
        <v>0</v>
      </c>
      <c r="D4" s="2">
        <v>0</v>
      </c>
      <c r="E4" s="2">
        <f>C4-D4</f>
        <v>0</v>
      </c>
      <c r="F4" s="5">
        <v>0</v>
      </c>
      <c r="G4" s="2">
        <v>0</v>
      </c>
      <c r="H4" s="2">
        <v>0</v>
      </c>
      <c r="I4" s="109">
        <f>SUM(E4:H4)</f>
        <v>0</v>
      </c>
      <c r="J4" s="2">
        <f>7%*I4</f>
        <v>0</v>
      </c>
      <c r="K4" s="2">
        <f>I4-J4</f>
        <v>0</v>
      </c>
      <c r="L4" s="47" t="s">
        <v>179</v>
      </c>
      <c r="M4" s="3">
        <v>10</v>
      </c>
      <c r="N4" s="3">
        <v>11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</row>
    <row r="5" spans="1:47" s="50" customFormat="1" x14ac:dyDescent="0.3">
      <c r="A5" s="90"/>
      <c r="B5" s="4">
        <v>2</v>
      </c>
      <c r="C5" s="5"/>
      <c r="D5" s="5"/>
      <c r="E5" s="5"/>
      <c r="F5" s="5"/>
      <c r="G5" s="5"/>
      <c r="H5" s="5"/>
      <c r="I5" s="109"/>
      <c r="J5" s="2">
        <f t="shared" ref="J5:J12" si="0">7%*I5</f>
        <v>0</v>
      </c>
      <c r="K5" s="2"/>
      <c r="L5" s="90"/>
      <c r="M5" s="3"/>
      <c r="N5" s="3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16"/>
      <c r="AK5" s="17"/>
      <c r="AL5" s="17"/>
      <c r="AM5" s="17"/>
      <c r="AN5" s="17"/>
      <c r="AO5" s="96"/>
      <c r="AP5" s="96"/>
      <c r="AQ5" s="96"/>
      <c r="AR5" s="96"/>
      <c r="AS5" s="96"/>
      <c r="AT5" s="96"/>
      <c r="AU5" s="96"/>
    </row>
    <row r="6" spans="1:47" s="73" customFormat="1" x14ac:dyDescent="0.3">
      <c r="A6" s="90"/>
      <c r="B6" s="4">
        <v>3</v>
      </c>
      <c r="C6" s="5"/>
      <c r="D6" s="5"/>
      <c r="E6" s="5"/>
      <c r="F6" s="5"/>
      <c r="G6" s="5"/>
      <c r="H6" s="5"/>
      <c r="I6" s="109"/>
      <c r="J6" s="2">
        <f t="shared" si="0"/>
        <v>0</v>
      </c>
      <c r="K6" s="2"/>
      <c r="L6" s="90"/>
      <c r="M6" s="3"/>
      <c r="N6" s="3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6"/>
      <c r="AP6" s="6"/>
      <c r="AQ6" s="6"/>
      <c r="AR6" s="6"/>
      <c r="AS6" s="6"/>
      <c r="AT6" s="6"/>
      <c r="AU6" s="6"/>
    </row>
    <row r="7" spans="1:47" s="51" customFormat="1" x14ac:dyDescent="0.3">
      <c r="A7" s="90"/>
      <c r="B7" s="90">
        <v>4</v>
      </c>
      <c r="C7" s="1"/>
      <c r="D7" s="1"/>
      <c r="E7" s="1"/>
      <c r="F7" s="2"/>
      <c r="G7" s="1"/>
      <c r="H7" s="1"/>
      <c r="I7" s="111"/>
      <c r="J7" s="2">
        <f t="shared" si="0"/>
        <v>0</v>
      </c>
      <c r="K7" s="2"/>
      <c r="L7" s="90"/>
      <c r="M7" s="3"/>
      <c r="N7" s="67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15"/>
      <c r="AP7" s="15"/>
      <c r="AQ7" s="15"/>
      <c r="AR7" s="15"/>
      <c r="AS7" s="15"/>
      <c r="AT7" s="15"/>
      <c r="AU7" s="15"/>
    </row>
    <row r="8" spans="1:47" s="51" customFormat="1" ht="15.75" customHeight="1" x14ac:dyDescent="0.3">
      <c r="A8" s="90"/>
      <c r="B8" s="90">
        <v>5</v>
      </c>
      <c r="C8" s="2"/>
      <c r="D8" s="2"/>
      <c r="E8" s="2"/>
      <c r="F8" s="2"/>
      <c r="G8" s="2"/>
      <c r="H8" s="2"/>
      <c r="I8" s="109"/>
      <c r="J8" s="2">
        <f t="shared" si="0"/>
        <v>0</v>
      </c>
      <c r="K8" s="2"/>
      <c r="L8" s="90"/>
      <c r="M8" s="3"/>
      <c r="N8" s="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15"/>
      <c r="AP8" s="15"/>
      <c r="AQ8" s="15"/>
      <c r="AR8" s="15"/>
      <c r="AS8" s="15"/>
      <c r="AT8" s="15"/>
      <c r="AU8" s="15"/>
    </row>
    <row r="9" spans="1:47" s="52" customFormat="1" x14ac:dyDescent="0.3">
      <c r="A9" s="90"/>
      <c r="B9" s="90">
        <v>6</v>
      </c>
      <c r="C9" s="5"/>
      <c r="D9" s="5"/>
      <c r="E9" s="5"/>
      <c r="F9" s="2"/>
      <c r="G9" s="2"/>
      <c r="H9" s="2"/>
      <c r="I9" s="109"/>
      <c r="J9" s="2">
        <f t="shared" si="0"/>
        <v>0</v>
      </c>
      <c r="K9" s="2"/>
      <c r="L9" s="90"/>
      <c r="M9" s="3"/>
      <c r="N9" s="3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1"/>
      <c r="AP9" s="11"/>
      <c r="AQ9" s="11"/>
      <c r="AR9" s="11"/>
      <c r="AS9" s="11"/>
      <c r="AT9" s="11"/>
      <c r="AU9" s="11"/>
    </row>
    <row r="10" spans="1:47" s="51" customFormat="1" ht="14.25" customHeight="1" x14ac:dyDescent="0.3">
      <c r="A10" s="90"/>
      <c r="B10" s="90">
        <v>7</v>
      </c>
      <c r="C10" s="2"/>
      <c r="D10" s="2"/>
      <c r="E10" s="5"/>
      <c r="F10" s="2"/>
      <c r="G10" s="2"/>
      <c r="H10" s="2"/>
      <c r="I10" s="109"/>
      <c r="J10" s="2">
        <f t="shared" si="0"/>
        <v>0</v>
      </c>
      <c r="K10" s="2"/>
      <c r="L10" s="90"/>
      <c r="M10" s="3"/>
      <c r="N10" s="3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15"/>
      <c r="AP10" s="15"/>
      <c r="AQ10" s="15"/>
      <c r="AR10" s="15"/>
      <c r="AS10" s="15"/>
      <c r="AT10" s="15"/>
      <c r="AU10" s="15"/>
    </row>
    <row r="11" spans="1:47" s="51" customFormat="1" x14ac:dyDescent="0.3">
      <c r="A11" s="90"/>
      <c r="B11" s="90">
        <v>8</v>
      </c>
      <c r="C11" s="2"/>
      <c r="D11" s="2"/>
      <c r="E11" s="5"/>
      <c r="F11" s="2"/>
      <c r="G11" s="2"/>
      <c r="H11" s="2"/>
      <c r="I11" s="109"/>
      <c r="J11" s="2">
        <f t="shared" si="0"/>
        <v>0</v>
      </c>
      <c r="K11" s="2"/>
      <c r="L11" s="90"/>
      <c r="M11" s="3"/>
      <c r="N11" s="3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15"/>
      <c r="AP11" s="15"/>
      <c r="AQ11" s="15"/>
      <c r="AR11" s="15"/>
      <c r="AS11" s="15"/>
      <c r="AT11" s="15"/>
      <c r="AU11" s="15"/>
    </row>
    <row r="12" spans="1:47" s="51" customFormat="1" ht="15.75" customHeight="1" x14ac:dyDescent="0.3">
      <c r="A12" s="90"/>
      <c r="B12" s="90">
        <v>9</v>
      </c>
      <c r="C12" s="2"/>
      <c r="D12" s="2"/>
      <c r="E12" s="5"/>
      <c r="F12" s="2"/>
      <c r="G12" s="2"/>
      <c r="H12" s="2"/>
      <c r="I12" s="109"/>
      <c r="J12" s="2">
        <f t="shared" si="0"/>
        <v>0</v>
      </c>
      <c r="K12" s="2"/>
      <c r="L12" s="90"/>
      <c r="M12" s="125"/>
      <c r="N12" s="3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15"/>
      <c r="AP12" s="15"/>
      <c r="AQ12" s="15"/>
      <c r="AR12" s="15"/>
      <c r="AS12" s="15"/>
      <c r="AT12" s="15"/>
      <c r="AU12" s="15"/>
    </row>
    <row r="13" spans="1:47" s="32" customFormat="1" x14ac:dyDescent="0.3">
      <c r="A13" s="67" t="s">
        <v>92</v>
      </c>
      <c r="B13" s="67">
        <v>10</v>
      </c>
      <c r="C13" s="2">
        <v>600</v>
      </c>
      <c r="D13" s="2">
        <f>10%*C13</f>
        <v>60</v>
      </c>
      <c r="E13" s="5">
        <f>C13-D13</f>
        <v>540</v>
      </c>
      <c r="F13" s="2">
        <v>0</v>
      </c>
      <c r="G13" s="2">
        <v>0</v>
      </c>
      <c r="H13" s="2">
        <v>0</v>
      </c>
      <c r="I13" s="109">
        <f>SUM(E13:H13)</f>
        <v>540</v>
      </c>
      <c r="J13" s="2">
        <f>7%*I13</f>
        <v>37.800000000000004</v>
      </c>
      <c r="K13" s="2">
        <f>I13-J13</f>
        <v>502.2</v>
      </c>
      <c r="L13" s="47" t="s">
        <v>220</v>
      </c>
      <c r="M13" s="3">
        <v>10</v>
      </c>
      <c r="N13" s="67">
        <v>11</v>
      </c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69"/>
      <c r="AU13" s="69"/>
    </row>
    <row r="14" spans="1:47" s="32" customFormat="1" x14ac:dyDescent="0.3">
      <c r="A14" s="67"/>
      <c r="B14" s="67">
        <v>11</v>
      </c>
      <c r="C14" s="2"/>
      <c r="D14" s="2"/>
      <c r="E14" s="5"/>
      <c r="F14" s="2"/>
      <c r="G14" s="2"/>
      <c r="H14" s="2"/>
      <c r="I14" s="109"/>
      <c r="J14" s="2">
        <f t="shared" ref="J14:J30" si="1">7%*I14</f>
        <v>0</v>
      </c>
      <c r="K14" s="2"/>
      <c r="L14" s="47"/>
      <c r="M14" s="3"/>
      <c r="N14" s="67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69"/>
      <c r="AU14" s="69"/>
    </row>
    <row r="15" spans="1:47" s="51" customFormat="1" x14ac:dyDescent="0.3">
      <c r="A15" s="90"/>
      <c r="B15" s="90">
        <v>12</v>
      </c>
      <c r="C15" s="2"/>
      <c r="D15" s="2"/>
      <c r="E15" s="5"/>
      <c r="F15" s="5"/>
      <c r="G15" s="5"/>
      <c r="H15" s="5"/>
      <c r="I15" s="109"/>
      <c r="J15" s="2">
        <f t="shared" si="1"/>
        <v>0</v>
      </c>
      <c r="K15" s="2"/>
      <c r="L15" s="90"/>
      <c r="M15" s="3"/>
      <c r="N15" s="3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15"/>
      <c r="AP15" s="15"/>
      <c r="AQ15" s="15"/>
      <c r="AR15" s="15"/>
      <c r="AS15" s="15"/>
      <c r="AT15" s="15"/>
      <c r="AU15" s="15"/>
    </row>
    <row r="16" spans="1:47" s="32" customFormat="1" x14ac:dyDescent="0.3">
      <c r="A16" s="67"/>
      <c r="B16" s="67">
        <v>13</v>
      </c>
      <c r="C16" s="2"/>
      <c r="D16" s="2"/>
      <c r="E16" s="5"/>
      <c r="F16" s="2"/>
      <c r="G16" s="2"/>
      <c r="H16" s="2"/>
      <c r="I16" s="109"/>
      <c r="J16" s="2">
        <f t="shared" si="1"/>
        <v>0</v>
      </c>
      <c r="K16" s="2"/>
      <c r="L16" s="90"/>
      <c r="M16" s="3"/>
      <c r="N16" s="67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69"/>
      <c r="AU16" s="69"/>
    </row>
    <row r="17" spans="1:47" s="32" customFormat="1" x14ac:dyDescent="0.3">
      <c r="A17" s="67"/>
      <c r="B17" s="67">
        <v>14</v>
      </c>
      <c r="C17" s="2"/>
      <c r="D17" s="2"/>
      <c r="E17" s="5"/>
      <c r="F17" s="2"/>
      <c r="G17" s="2"/>
      <c r="H17" s="2"/>
      <c r="I17" s="109"/>
      <c r="J17" s="2">
        <f t="shared" si="1"/>
        <v>0</v>
      </c>
      <c r="K17" s="2"/>
      <c r="L17" s="90"/>
      <c r="M17" s="3"/>
      <c r="N17" s="67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69"/>
      <c r="AU17" s="69"/>
    </row>
    <row r="18" spans="1:47" s="32" customFormat="1" x14ac:dyDescent="0.3">
      <c r="A18" s="67" t="s">
        <v>141</v>
      </c>
      <c r="B18" s="67">
        <v>15</v>
      </c>
      <c r="C18" s="2">
        <v>730</v>
      </c>
      <c r="D18" s="2">
        <v>60</v>
      </c>
      <c r="E18" s="5">
        <f>(C18-D18)</f>
        <v>670</v>
      </c>
      <c r="F18" s="2">
        <f>50</f>
        <v>50</v>
      </c>
      <c r="G18" s="2">
        <v>0</v>
      </c>
      <c r="H18" s="2">
        <f>D68</f>
        <v>19.989999999999998</v>
      </c>
      <c r="I18" s="109">
        <f>SUM(E18:H18)</f>
        <v>739.99</v>
      </c>
      <c r="J18" s="2">
        <f t="shared" si="1"/>
        <v>51.799300000000002</v>
      </c>
      <c r="K18" s="2">
        <f>I18-J18</f>
        <v>688.19069999999999</v>
      </c>
      <c r="L18" s="90" t="s">
        <v>221</v>
      </c>
      <c r="M18" s="3">
        <v>10</v>
      </c>
      <c r="N18" s="67">
        <v>11</v>
      </c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69"/>
      <c r="AU18" s="69"/>
    </row>
    <row r="19" spans="1:47" s="52" customFormat="1" x14ac:dyDescent="0.3">
      <c r="A19" s="3" t="s">
        <v>100</v>
      </c>
      <c r="B19" s="3">
        <v>16</v>
      </c>
      <c r="C19" s="2">
        <f>'GERAL 2021'!G18</f>
        <v>640</v>
      </c>
      <c r="D19" s="2">
        <f>10%*C19</f>
        <v>64</v>
      </c>
      <c r="E19" s="5">
        <f>C19-D19</f>
        <v>576</v>
      </c>
      <c r="F19" s="2">
        <f>60</f>
        <v>60</v>
      </c>
      <c r="G19" s="2">
        <v>0</v>
      </c>
      <c r="H19" s="2">
        <v>0</v>
      </c>
      <c r="I19" s="109">
        <f>SUM(E19:H19)</f>
        <v>636</v>
      </c>
      <c r="J19" s="2">
        <f t="shared" si="1"/>
        <v>44.52</v>
      </c>
      <c r="K19" s="2">
        <f>I19-J19</f>
        <v>591.48</v>
      </c>
      <c r="L19" s="90" t="s">
        <v>218</v>
      </c>
      <c r="M19" s="3">
        <v>10</v>
      </c>
      <c r="N19" s="3">
        <v>11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1"/>
      <c r="AP19" s="11"/>
      <c r="AQ19" s="11"/>
      <c r="AR19" s="11"/>
      <c r="AS19" s="11"/>
      <c r="AT19" s="11"/>
      <c r="AU19" s="11"/>
    </row>
    <row r="20" spans="1:47" s="52" customFormat="1" x14ac:dyDescent="0.3">
      <c r="A20" s="88" t="s">
        <v>119</v>
      </c>
      <c r="B20" s="88">
        <v>17</v>
      </c>
      <c r="C20" s="2">
        <f>'GERAL 2021'!G19</f>
        <v>640</v>
      </c>
      <c r="D20" s="2">
        <f>10%*C20</f>
        <v>64</v>
      </c>
      <c r="E20" s="5">
        <f>(C20-D20)</f>
        <v>576</v>
      </c>
      <c r="F20" s="2">
        <v>0</v>
      </c>
      <c r="G20" s="2">
        <v>0</v>
      </c>
      <c r="H20" s="2">
        <f>D72</f>
        <v>19.811666666666667</v>
      </c>
      <c r="I20" s="109">
        <f>SUM(E20:H20)</f>
        <v>595.81166666666672</v>
      </c>
      <c r="J20" s="2">
        <f t="shared" si="1"/>
        <v>41.706816666666676</v>
      </c>
      <c r="K20" s="2">
        <f>I20-J20</f>
        <v>554.10485000000006</v>
      </c>
      <c r="L20" s="47" t="s">
        <v>217</v>
      </c>
      <c r="M20" s="3">
        <v>10</v>
      </c>
      <c r="N20" s="3">
        <v>11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1"/>
      <c r="AP20" s="11"/>
      <c r="AQ20" s="11"/>
      <c r="AR20" s="11"/>
      <c r="AS20" s="11"/>
      <c r="AT20" s="11"/>
      <c r="AU20" s="11"/>
    </row>
    <row r="21" spans="1:47" s="52" customFormat="1" ht="14.25" customHeight="1" x14ac:dyDescent="0.3">
      <c r="A21" s="88" t="s">
        <v>103</v>
      </c>
      <c r="B21" s="90">
        <v>18</v>
      </c>
      <c r="C21" s="2">
        <f>'GERAL 2021'!G20</f>
        <v>650</v>
      </c>
      <c r="D21" s="2">
        <f>10%*C21</f>
        <v>65</v>
      </c>
      <c r="E21" s="5">
        <f>C21-D21</f>
        <v>585</v>
      </c>
      <c r="F21" s="2">
        <f>30</f>
        <v>30</v>
      </c>
      <c r="G21" s="2">
        <v>0</v>
      </c>
      <c r="H21" s="2">
        <v>0</v>
      </c>
      <c r="I21" s="109">
        <f>SUM(E21:H21)</f>
        <v>615</v>
      </c>
      <c r="J21" s="2">
        <f t="shared" si="1"/>
        <v>43.050000000000004</v>
      </c>
      <c r="K21" s="2">
        <f>I21-J21</f>
        <v>571.95000000000005</v>
      </c>
      <c r="L21" s="90" t="s">
        <v>218</v>
      </c>
      <c r="M21" s="3">
        <v>10</v>
      </c>
      <c r="N21" s="3">
        <v>11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1"/>
      <c r="AP21" s="11"/>
      <c r="AQ21" s="11"/>
      <c r="AR21" s="11"/>
      <c r="AS21" s="11"/>
      <c r="AT21" s="11"/>
      <c r="AU21" s="11"/>
    </row>
    <row r="22" spans="1:47" s="18" customFormat="1" x14ac:dyDescent="0.3">
      <c r="A22" s="90" t="s">
        <v>142</v>
      </c>
      <c r="B22" s="90">
        <v>19</v>
      </c>
      <c r="C22" s="2">
        <v>600</v>
      </c>
      <c r="D22" s="2">
        <f>10%*C22</f>
        <v>60</v>
      </c>
      <c r="E22" s="5">
        <f>(C22-D22)</f>
        <v>540</v>
      </c>
      <c r="F22" s="2">
        <f>50</f>
        <v>50</v>
      </c>
      <c r="G22" s="2">
        <v>0</v>
      </c>
      <c r="H22" s="2">
        <f>D76</f>
        <v>19.738333333333333</v>
      </c>
      <c r="I22" s="109">
        <f>SUM(E22:H22)</f>
        <v>609.73833333333334</v>
      </c>
      <c r="J22" s="2">
        <f t="shared" si="1"/>
        <v>42.681683333333339</v>
      </c>
      <c r="K22" s="2">
        <f>I22-J22</f>
        <v>567.05664999999999</v>
      </c>
      <c r="L22" s="90" t="s">
        <v>162</v>
      </c>
      <c r="M22" s="3">
        <v>10</v>
      </c>
      <c r="N22" s="3">
        <v>11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1"/>
      <c r="AP22" s="11"/>
      <c r="AQ22" s="11"/>
      <c r="AR22" s="11"/>
      <c r="AS22" s="11"/>
      <c r="AT22" s="11"/>
      <c r="AU22" s="11"/>
    </row>
    <row r="23" spans="1:47" s="52" customFormat="1" x14ac:dyDescent="0.3">
      <c r="A23" s="88"/>
      <c r="B23" s="90">
        <v>20</v>
      </c>
      <c r="C23" s="2"/>
      <c r="D23" s="2"/>
      <c r="E23" s="5"/>
      <c r="F23" s="2"/>
      <c r="G23" s="2"/>
      <c r="H23" s="2"/>
      <c r="I23" s="109"/>
      <c r="J23" s="2">
        <f t="shared" si="1"/>
        <v>0</v>
      </c>
      <c r="K23" s="2"/>
      <c r="L23" s="90"/>
      <c r="M23" s="125"/>
      <c r="N23" s="3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1"/>
      <c r="AP23" s="11"/>
      <c r="AQ23" s="11"/>
      <c r="AR23" s="11"/>
      <c r="AS23" s="11"/>
      <c r="AT23" s="11"/>
      <c r="AU23" s="11"/>
    </row>
    <row r="24" spans="1:47" s="52" customFormat="1" ht="15" customHeight="1" x14ac:dyDescent="0.3">
      <c r="A24" s="88"/>
      <c r="B24" s="90">
        <v>21</v>
      </c>
      <c r="C24" s="2"/>
      <c r="D24" s="2"/>
      <c r="E24" s="5"/>
      <c r="F24" s="2"/>
      <c r="G24" s="2"/>
      <c r="H24" s="2"/>
      <c r="I24" s="109"/>
      <c r="J24" s="2">
        <f t="shared" si="1"/>
        <v>0</v>
      </c>
      <c r="K24" s="2"/>
      <c r="L24" s="90"/>
      <c r="M24" s="125"/>
      <c r="N24" s="3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1"/>
      <c r="AP24" s="11"/>
      <c r="AQ24" s="11"/>
      <c r="AR24" s="11"/>
      <c r="AS24" s="11"/>
      <c r="AT24" s="11"/>
      <c r="AU24" s="11"/>
    </row>
    <row r="25" spans="1:47" s="52" customFormat="1" ht="15.75" customHeight="1" x14ac:dyDescent="0.3">
      <c r="A25" s="88"/>
      <c r="B25" s="90">
        <v>22</v>
      </c>
      <c r="C25" s="2"/>
      <c r="D25" s="2"/>
      <c r="E25" s="5"/>
      <c r="F25" s="2"/>
      <c r="G25" s="2"/>
      <c r="H25" s="2"/>
      <c r="I25" s="109"/>
      <c r="J25" s="2">
        <f t="shared" si="1"/>
        <v>0</v>
      </c>
      <c r="K25" s="2"/>
      <c r="L25" s="90"/>
      <c r="M25" s="125"/>
      <c r="N25" s="3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1"/>
      <c r="AP25" s="11"/>
      <c r="AQ25" s="11"/>
      <c r="AR25" s="11"/>
      <c r="AS25" s="11"/>
      <c r="AT25" s="11"/>
      <c r="AU25" s="11"/>
    </row>
    <row r="26" spans="1:47" s="52" customFormat="1" x14ac:dyDescent="0.3">
      <c r="A26" s="88"/>
      <c r="B26" s="90">
        <v>23</v>
      </c>
      <c r="C26" s="2"/>
      <c r="D26" s="2"/>
      <c r="E26" s="5"/>
      <c r="F26" s="2"/>
      <c r="G26" s="2"/>
      <c r="H26" s="2"/>
      <c r="I26" s="109"/>
      <c r="J26" s="2">
        <f t="shared" si="1"/>
        <v>0</v>
      </c>
      <c r="K26" s="2"/>
      <c r="L26" s="90"/>
      <c r="M26" s="3"/>
      <c r="N26" s="3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1"/>
      <c r="AP26" s="11"/>
      <c r="AQ26" s="11"/>
      <c r="AR26" s="11"/>
      <c r="AS26" s="11"/>
      <c r="AT26" s="11"/>
      <c r="AU26" s="11"/>
    </row>
    <row r="27" spans="1:47" s="52" customFormat="1" x14ac:dyDescent="0.3">
      <c r="A27" s="88"/>
      <c r="B27" s="90">
        <v>24</v>
      </c>
      <c r="C27" s="2"/>
      <c r="D27" s="2"/>
      <c r="E27" s="5"/>
      <c r="F27" s="2"/>
      <c r="G27" s="2"/>
      <c r="H27" s="2"/>
      <c r="I27" s="109"/>
      <c r="J27" s="2">
        <f t="shared" si="1"/>
        <v>0</v>
      </c>
      <c r="K27" s="2"/>
      <c r="L27" s="90"/>
      <c r="M27" s="3"/>
      <c r="N27" s="3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1"/>
      <c r="AP27" s="11"/>
      <c r="AQ27" s="11"/>
      <c r="AR27" s="11"/>
      <c r="AS27" s="11"/>
      <c r="AT27" s="11"/>
      <c r="AU27" s="11"/>
    </row>
    <row r="28" spans="1:47" s="52" customFormat="1" x14ac:dyDescent="0.3">
      <c r="A28" s="11" t="s">
        <v>87</v>
      </c>
      <c r="B28" s="90">
        <v>25</v>
      </c>
      <c r="C28" s="2">
        <f>704</f>
        <v>704</v>
      </c>
      <c r="D28" s="2">
        <f>10%*C28</f>
        <v>70.400000000000006</v>
      </c>
      <c r="E28" s="5">
        <f>C28-D28</f>
        <v>633.6</v>
      </c>
      <c r="F28" s="2">
        <f>30</f>
        <v>30</v>
      </c>
      <c r="G28" s="2">
        <v>0</v>
      </c>
      <c r="H28" s="2">
        <v>0</v>
      </c>
      <c r="I28" s="109">
        <f>SUM(E28:H28)</f>
        <v>663.6</v>
      </c>
      <c r="J28" s="2">
        <f t="shared" si="1"/>
        <v>46.452000000000005</v>
      </c>
      <c r="K28" s="2">
        <f>I28-J28</f>
        <v>617.14800000000002</v>
      </c>
      <c r="L28" s="71" t="s">
        <v>220</v>
      </c>
      <c r="M28" s="98">
        <v>10</v>
      </c>
      <c r="N28" s="3">
        <v>11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1"/>
      <c r="AP28" s="11"/>
      <c r="AQ28" s="11"/>
      <c r="AR28" s="11"/>
      <c r="AS28" s="11"/>
      <c r="AT28" s="11"/>
      <c r="AU28" s="11"/>
    </row>
    <row r="29" spans="1:47" s="52" customFormat="1" x14ac:dyDescent="0.3">
      <c r="A29" s="88"/>
      <c r="B29" s="90">
        <v>26</v>
      </c>
      <c r="C29" s="2"/>
      <c r="D29" s="2"/>
      <c r="E29" s="5"/>
      <c r="F29" s="2"/>
      <c r="G29" s="2"/>
      <c r="H29" s="2"/>
      <c r="I29" s="109"/>
      <c r="J29" s="2">
        <f t="shared" si="1"/>
        <v>0</v>
      </c>
      <c r="K29" s="2"/>
      <c r="L29" s="90"/>
      <c r="M29" s="3"/>
      <c r="N29" s="3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1"/>
      <c r="AP29" s="11"/>
      <c r="AQ29" s="11"/>
      <c r="AR29" s="11"/>
      <c r="AS29" s="11"/>
      <c r="AT29" s="11"/>
      <c r="AU29" s="11"/>
    </row>
    <row r="30" spans="1:47" s="52" customFormat="1" x14ac:dyDescent="0.3">
      <c r="A30" s="88" t="s">
        <v>86</v>
      </c>
      <c r="B30" s="90">
        <v>27</v>
      </c>
      <c r="C30" s="72">
        <f>650</f>
        <v>650</v>
      </c>
      <c r="D30" s="72">
        <f>10%*C30</f>
        <v>65</v>
      </c>
      <c r="E30" s="5">
        <f>C30-D30</f>
        <v>585</v>
      </c>
      <c r="F30" s="72">
        <f>60</f>
        <v>60</v>
      </c>
      <c r="G30" s="72">
        <v>0</v>
      </c>
      <c r="H30" s="72">
        <v>0</v>
      </c>
      <c r="I30" s="112">
        <f>SUM(E30:H30)</f>
        <v>645</v>
      </c>
      <c r="J30" s="2">
        <f t="shared" si="1"/>
        <v>45.150000000000006</v>
      </c>
      <c r="K30" s="72">
        <f>I30-J30</f>
        <v>599.85</v>
      </c>
      <c r="L30" s="71" t="s">
        <v>220</v>
      </c>
      <c r="M30" s="98">
        <v>10</v>
      </c>
      <c r="N30" s="3">
        <v>11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1"/>
      <c r="AP30" s="11"/>
      <c r="AQ30" s="11"/>
      <c r="AR30" s="11"/>
      <c r="AS30" s="11"/>
      <c r="AT30" s="11"/>
      <c r="AU30" s="11"/>
    </row>
    <row r="31" spans="1:47" s="52" customFormat="1" ht="14.4" thickBot="1" x14ac:dyDescent="0.35">
      <c r="A31" s="518" t="s">
        <v>4</v>
      </c>
      <c r="B31" s="518"/>
      <c r="C31" s="109">
        <f>SUM(C4:C30)</f>
        <v>5214</v>
      </c>
      <c r="D31" s="109">
        <f t="shared" ref="D31:I31" si="2">SUM(D4:D30)</f>
        <v>508.4</v>
      </c>
      <c r="E31" s="109">
        <f t="shared" si="2"/>
        <v>4705.6000000000004</v>
      </c>
      <c r="F31" s="109">
        <f t="shared" si="2"/>
        <v>280</v>
      </c>
      <c r="G31" s="109">
        <f t="shared" si="2"/>
        <v>0</v>
      </c>
      <c r="H31" s="109">
        <f t="shared" si="2"/>
        <v>59.539999999999992</v>
      </c>
      <c r="I31" s="109">
        <f t="shared" si="2"/>
        <v>5045.1400000000003</v>
      </c>
      <c r="J31" s="109">
        <f>SUM(J4:J30)</f>
        <v>353.15980000000002</v>
      </c>
      <c r="K31" s="109">
        <f>SUM(K4:K30)</f>
        <v>4691.9802</v>
      </c>
      <c r="L31" s="90"/>
      <c r="M31" s="120"/>
      <c r="N31" s="56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1"/>
      <c r="AP31" s="11"/>
      <c r="AQ31" s="11"/>
      <c r="AR31" s="11"/>
      <c r="AS31" s="11"/>
      <c r="AT31" s="11"/>
      <c r="AU31" s="11"/>
    </row>
    <row r="32" spans="1:47" s="11" customFormat="1" ht="28.5" customHeight="1" x14ac:dyDescent="0.3">
      <c r="A32" s="521" t="s">
        <v>177</v>
      </c>
      <c r="B32" s="521"/>
      <c r="C32" s="521"/>
      <c r="D32" s="521"/>
      <c r="E32" s="521"/>
      <c r="F32" s="521"/>
      <c r="G32" s="521"/>
      <c r="H32" s="521"/>
      <c r="I32" s="521"/>
      <c r="J32" s="521"/>
      <c r="K32" s="521"/>
      <c r="L32" s="521"/>
      <c r="M32" s="521"/>
      <c r="N32" s="521"/>
      <c r="O32" s="7"/>
      <c r="P32" s="7"/>
      <c r="Q32" s="7"/>
      <c r="R32" s="7"/>
      <c r="S32" s="7"/>
      <c r="T32" s="7"/>
      <c r="U32" s="7"/>
      <c r="V32" s="7"/>
      <c r="W32" s="10"/>
      <c r="X32" s="10"/>
      <c r="Y32" s="10"/>
      <c r="Z32" s="10"/>
      <c r="AA32" s="10"/>
      <c r="AB32" s="10"/>
    </row>
    <row r="33" spans="1:58" s="11" customFormat="1" ht="25.5" customHeight="1" x14ac:dyDescent="0.3">
      <c r="A33" s="126" t="s">
        <v>173</v>
      </c>
      <c r="B33" s="126" t="s">
        <v>0</v>
      </c>
      <c r="C33" s="126" t="s">
        <v>174</v>
      </c>
      <c r="D33" s="521" t="s">
        <v>175</v>
      </c>
      <c r="E33" s="521"/>
      <c r="F33" s="521"/>
      <c r="G33" s="521"/>
      <c r="H33" s="521"/>
      <c r="I33" s="129" t="s">
        <v>4</v>
      </c>
      <c r="J33" s="128"/>
      <c r="K33" s="128"/>
      <c r="L33" s="127" t="s">
        <v>59</v>
      </c>
      <c r="M33" s="130" t="s">
        <v>8</v>
      </c>
      <c r="N33" s="130" t="s">
        <v>10</v>
      </c>
      <c r="O33" s="7"/>
      <c r="P33" s="7"/>
      <c r="Q33" s="7"/>
      <c r="R33" s="7"/>
      <c r="S33" s="7"/>
      <c r="T33" s="7"/>
      <c r="U33" s="7"/>
      <c r="V33" s="7"/>
      <c r="W33" s="10"/>
      <c r="X33" s="10"/>
      <c r="Y33" s="10"/>
      <c r="Z33" s="10"/>
      <c r="AA33" s="10"/>
      <c r="AB33" s="10"/>
    </row>
    <row r="34" spans="1:58" s="32" customFormat="1" ht="15" customHeight="1" x14ac:dyDescent="0.3">
      <c r="A34" s="67" t="s">
        <v>132</v>
      </c>
      <c r="B34" s="67">
        <v>1</v>
      </c>
      <c r="C34" s="47">
        <f>600+50+19.74</f>
        <v>669.74</v>
      </c>
      <c r="D34" s="546" t="s">
        <v>211</v>
      </c>
      <c r="E34" s="547"/>
      <c r="F34" s="547"/>
      <c r="G34" s="547"/>
      <c r="H34" s="548"/>
      <c r="I34" s="47">
        <f>600+50+19.74</f>
        <v>669.74</v>
      </c>
      <c r="J34" s="47"/>
      <c r="K34" s="47"/>
      <c r="L34" s="47" t="s">
        <v>198</v>
      </c>
      <c r="M34" s="131">
        <v>10</v>
      </c>
      <c r="N34" s="67">
        <v>11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</row>
    <row r="35" spans="1:58" s="32" customFormat="1" ht="15" customHeight="1" x14ac:dyDescent="0.3">
      <c r="A35" s="67" t="s">
        <v>132</v>
      </c>
      <c r="B35" s="67">
        <v>1</v>
      </c>
      <c r="C35" s="47">
        <f>600+50+19.74</f>
        <v>669.74</v>
      </c>
      <c r="D35" s="546" t="s">
        <v>212</v>
      </c>
      <c r="E35" s="547"/>
      <c r="F35" s="547"/>
      <c r="G35" s="547"/>
      <c r="H35" s="548"/>
      <c r="I35" s="47">
        <f>600+50+19.74</f>
        <v>669.74</v>
      </c>
      <c r="J35" s="47"/>
      <c r="K35" s="47"/>
      <c r="L35" s="47" t="s">
        <v>210</v>
      </c>
      <c r="M35" s="131">
        <v>10</v>
      </c>
      <c r="N35" s="67">
        <v>11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</row>
    <row r="36" spans="1:58" s="32" customFormat="1" ht="15" customHeight="1" x14ac:dyDescent="0.3">
      <c r="A36" s="67" t="s">
        <v>132</v>
      </c>
      <c r="B36" s="67">
        <v>1</v>
      </c>
      <c r="C36" s="47">
        <f>600+50+19.74</f>
        <v>669.74</v>
      </c>
      <c r="D36" s="546" t="s">
        <v>229</v>
      </c>
      <c r="E36" s="547"/>
      <c r="F36" s="547"/>
      <c r="G36" s="547"/>
      <c r="H36" s="548"/>
      <c r="I36" s="47">
        <f>600+50+19.74</f>
        <v>669.74</v>
      </c>
      <c r="J36" s="47"/>
      <c r="K36" s="47"/>
      <c r="L36" s="47" t="s">
        <v>228</v>
      </c>
      <c r="M36" s="131">
        <v>10</v>
      </c>
      <c r="N36" s="67">
        <v>11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</row>
    <row r="37" spans="1:58" s="40" customFormat="1" ht="15" customHeight="1" thickBot="1" x14ac:dyDescent="0.35">
      <c r="A37" s="518" t="s">
        <v>4</v>
      </c>
      <c r="B37" s="518"/>
      <c r="C37" s="518"/>
      <c r="D37" s="518"/>
      <c r="E37" s="518"/>
      <c r="F37" s="518"/>
      <c r="G37" s="518"/>
      <c r="H37" s="518"/>
      <c r="I37" s="114">
        <f>SUM(I34:I36)</f>
        <v>2009.22</v>
      </c>
      <c r="J37" s="90"/>
      <c r="K37" s="90"/>
      <c r="L37" s="90"/>
      <c r="M37" s="90"/>
      <c r="N37" s="90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11"/>
      <c r="AS37" s="11"/>
      <c r="AT37" s="11"/>
      <c r="AU37" s="11"/>
    </row>
    <row r="38" spans="1:58" s="19" customFormat="1" x14ac:dyDescent="0.3">
      <c r="A38" s="536"/>
      <c r="B38" s="537"/>
      <c r="C38" s="537"/>
      <c r="D38" s="537"/>
      <c r="E38" s="537"/>
      <c r="F38" s="537"/>
      <c r="G38" s="537"/>
      <c r="H38" s="537"/>
      <c r="I38" s="537"/>
      <c r="J38" s="537"/>
      <c r="K38" s="537"/>
      <c r="L38" s="537"/>
      <c r="M38" s="524"/>
      <c r="N38" s="525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</row>
    <row r="39" spans="1:58" s="40" customFormat="1" x14ac:dyDescent="0.3">
      <c r="A39" s="543" t="s">
        <v>9</v>
      </c>
      <c r="B39" s="543"/>
      <c r="C39" s="543"/>
      <c r="D39" s="543"/>
      <c r="E39" s="543"/>
      <c r="F39" s="543"/>
      <c r="G39" s="46"/>
      <c r="H39" s="46"/>
      <c r="I39" s="46"/>
      <c r="J39" s="46"/>
      <c r="K39" s="46"/>
      <c r="L39" s="544" t="s">
        <v>20</v>
      </c>
      <c r="M39" s="544"/>
      <c r="N39" s="545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11"/>
      <c r="AS39" s="11"/>
      <c r="AT39" s="11"/>
      <c r="AU39" s="11"/>
    </row>
    <row r="40" spans="1:58" s="40" customFormat="1" x14ac:dyDescent="0.3">
      <c r="A40" s="76" t="s">
        <v>40</v>
      </c>
      <c r="B40" s="77">
        <f>'GERAL 2021'!K3</f>
        <v>118.43</v>
      </c>
      <c r="C40" s="78">
        <v>6</v>
      </c>
      <c r="D40" s="77">
        <f>B40/C40</f>
        <v>19.738333333333333</v>
      </c>
      <c r="E40" s="78"/>
      <c r="F40" s="77"/>
      <c r="G40" s="11"/>
      <c r="H40" s="11"/>
      <c r="I40" s="87"/>
      <c r="J40" s="87"/>
      <c r="K40" s="87"/>
      <c r="L40" s="527" t="s">
        <v>94</v>
      </c>
      <c r="M40" s="527"/>
      <c r="N40" s="49">
        <f>J31</f>
        <v>353.15980000000002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11"/>
      <c r="AS40" s="11"/>
      <c r="AT40" s="11"/>
      <c r="AU40" s="11"/>
    </row>
    <row r="41" spans="1:58" s="40" customFormat="1" x14ac:dyDescent="0.3">
      <c r="A41" s="12" t="s">
        <v>46</v>
      </c>
      <c r="B41" s="2">
        <f>'GERAL 2021'!I3</f>
        <v>1.0710401891252954</v>
      </c>
      <c r="C41" s="88">
        <v>6</v>
      </c>
      <c r="D41" s="2">
        <f>B41*C41</f>
        <v>6.4262411347517725</v>
      </c>
      <c r="E41" s="88"/>
      <c r="F41" s="88"/>
      <c r="G41" s="11"/>
      <c r="H41" s="11"/>
      <c r="I41" s="14"/>
      <c r="J41" s="14"/>
      <c r="K41" s="14"/>
      <c r="L41" s="534"/>
      <c r="M41" s="535"/>
      <c r="N41" s="114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11"/>
      <c r="AS41" s="11"/>
      <c r="AT41" s="11"/>
      <c r="AU41" s="11"/>
    </row>
    <row r="42" spans="1:58" s="40" customFormat="1" x14ac:dyDescent="0.3">
      <c r="A42" s="79" t="s">
        <v>29</v>
      </c>
      <c r="B42" s="80"/>
      <c r="C42" s="82"/>
      <c r="D42" s="80"/>
      <c r="E42" s="78"/>
      <c r="F42" s="77"/>
      <c r="G42" s="11"/>
      <c r="H42" s="11"/>
      <c r="I42" s="14"/>
      <c r="J42" s="14"/>
      <c r="K42" s="14"/>
      <c r="L42" s="520"/>
      <c r="M42" s="520"/>
      <c r="N42" s="520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11"/>
      <c r="AS42" s="11"/>
      <c r="AT42" s="11"/>
      <c r="AU42" s="11"/>
    </row>
    <row r="43" spans="1:58" s="40" customFormat="1" x14ac:dyDescent="0.3">
      <c r="A43" s="12" t="s">
        <v>30</v>
      </c>
      <c r="B43" s="2"/>
      <c r="C43" s="88"/>
      <c r="D43" s="2"/>
      <c r="E43" s="53"/>
      <c r="F43" s="53"/>
      <c r="G43" s="11"/>
      <c r="H43" s="11"/>
      <c r="I43" s="62"/>
      <c r="J43" s="62"/>
      <c r="K43" s="62"/>
      <c r="L43" s="520"/>
      <c r="M43" s="520"/>
      <c r="N43" s="520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11"/>
      <c r="AS43" s="11"/>
      <c r="AT43" s="11"/>
      <c r="AU43" s="11"/>
    </row>
    <row r="44" spans="1:58" s="40" customFormat="1" x14ac:dyDescent="0.3">
      <c r="A44" s="79" t="s">
        <v>65</v>
      </c>
      <c r="B44" s="80"/>
      <c r="C44" s="82"/>
      <c r="D44" s="80"/>
      <c r="E44" s="78"/>
      <c r="F44" s="77"/>
      <c r="G44" s="11"/>
      <c r="H44" s="11"/>
      <c r="I44" s="14"/>
      <c r="J44" s="14"/>
      <c r="K44" s="14"/>
      <c r="L44" s="529" t="s">
        <v>12</v>
      </c>
      <c r="M44" s="529"/>
      <c r="N44" s="529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11"/>
      <c r="AS44" s="11"/>
      <c r="AT44" s="11"/>
      <c r="AU44" s="11"/>
    </row>
    <row r="45" spans="1:58" s="11" customFormat="1" ht="15" customHeight="1" x14ac:dyDescent="0.3">
      <c r="A45" s="12" t="s">
        <v>62</v>
      </c>
      <c r="B45" s="2"/>
      <c r="C45" s="88"/>
      <c r="D45" s="2"/>
      <c r="E45" s="88"/>
      <c r="F45" s="88"/>
      <c r="I45" s="63"/>
      <c r="J45" s="63"/>
      <c r="K45" s="63"/>
      <c r="L45" s="514" t="s">
        <v>222</v>
      </c>
      <c r="M45" s="514"/>
      <c r="N45" s="2">
        <v>19.739999999999998</v>
      </c>
    </row>
    <row r="46" spans="1:58" s="11" customFormat="1" x14ac:dyDescent="0.3">
      <c r="A46" s="79" t="s">
        <v>60</v>
      </c>
      <c r="B46" s="80"/>
      <c r="C46" s="82"/>
      <c r="D46" s="80"/>
      <c r="E46" s="78"/>
      <c r="F46" s="77"/>
      <c r="I46" s="14"/>
      <c r="J46" s="14"/>
      <c r="K46" s="14"/>
      <c r="L46" s="514" t="s">
        <v>223</v>
      </c>
      <c r="M46" s="514"/>
      <c r="N46" s="2">
        <v>19.989999999999998</v>
      </c>
    </row>
    <row r="47" spans="1:58" s="11" customFormat="1" ht="15" customHeight="1" x14ac:dyDescent="0.3">
      <c r="A47" s="12" t="s">
        <v>61</v>
      </c>
      <c r="B47" s="2"/>
      <c r="C47" s="88"/>
      <c r="D47" s="2"/>
      <c r="E47" s="88"/>
      <c r="F47" s="88"/>
      <c r="I47" s="63"/>
      <c r="J47" s="63"/>
      <c r="K47" s="63"/>
      <c r="L47" s="514" t="s">
        <v>224</v>
      </c>
      <c r="M47" s="514"/>
      <c r="N47" s="121">
        <v>19.809999999999999</v>
      </c>
    </row>
    <row r="48" spans="1:58" s="11" customFormat="1" x14ac:dyDescent="0.3">
      <c r="A48" s="79" t="s">
        <v>31</v>
      </c>
      <c r="B48" s="80"/>
      <c r="C48" s="82"/>
      <c r="D48" s="80"/>
      <c r="E48" s="78"/>
      <c r="F48" s="77"/>
      <c r="I48" s="14"/>
      <c r="J48" s="14"/>
      <c r="K48" s="14"/>
      <c r="L48" s="520" t="s">
        <v>225</v>
      </c>
      <c r="M48" s="520"/>
      <c r="N48" s="2">
        <v>19.739999999999998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</row>
    <row r="49" spans="1:46" s="11" customFormat="1" x14ac:dyDescent="0.3">
      <c r="A49" s="12" t="s">
        <v>32</v>
      </c>
      <c r="B49" s="2"/>
      <c r="C49" s="88"/>
      <c r="D49" s="2"/>
      <c r="E49" s="88"/>
      <c r="F49" s="88"/>
      <c r="I49" s="63"/>
      <c r="J49" s="63"/>
      <c r="K49" s="63"/>
      <c r="L49" s="542" t="s">
        <v>226</v>
      </c>
      <c r="M49" s="542"/>
      <c r="N49" s="2">
        <f>4*120</f>
        <v>480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</row>
    <row r="50" spans="1:46" s="11" customFormat="1" x14ac:dyDescent="0.3">
      <c r="A50" s="79" t="s">
        <v>57</v>
      </c>
      <c r="B50" s="80"/>
      <c r="C50" s="82"/>
      <c r="D50" s="80"/>
      <c r="E50" s="78"/>
      <c r="F50" s="77"/>
      <c r="I50" s="14"/>
      <c r="J50" s="14"/>
      <c r="K50" s="14"/>
      <c r="L50" s="520" t="s">
        <v>126</v>
      </c>
      <c r="M50" s="520"/>
      <c r="N50" s="2">
        <v>136.47999999999999</v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</row>
    <row r="51" spans="1:46" s="11" customFormat="1" ht="12.75" customHeight="1" x14ac:dyDescent="0.3">
      <c r="A51" s="12" t="s">
        <v>58</v>
      </c>
      <c r="B51" s="2"/>
      <c r="C51" s="88"/>
      <c r="D51" s="2"/>
      <c r="E51" s="88"/>
      <c r="F51" s="88"/>
      <c r="I51" s="63"/>
      <c r="J51" s="63"/>
      <c r="K51" s="63"/>
      <c r="L51" s="520" t="s">
        <v>127</v>
      </c>
      <c r="M51" s="520"/>
      <c r="N51" s="2">
        <v>1770.73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</row>
    <row r="52" spans="1:46" s="11" customFormat="1" x14ac:dyDescent="0.3">
      <c r="A52" s="79" t="s">
        <v>63</v>
      </c>
      <c r="B52" s="80"/>
      <c r="C52" s="82"/>
      <c r="D52" s="80"/>
      <c r="E52" s="78"/>
      <c r="F52" s="77"/>
      <c r="I52" s="14"/>
      <c r="J52" s="14"/>
      <c r="K52" s="14"/>
      <c r="L52" s="520" t="s">
        <v>227</v>
      </c>
      <c r="M52" s="520"/>
      <c r="N52" s="2">
        <v>60.5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</row>
    <row r="53" spans="1:46" s="11" customFormat="1" ht="15" customHeight="1" x14ac:dyDescent="0.3">
      <c r="A53" s="12" t="s">
        <v>64</v>
      </c>
      <c r="B53" s="2"/>
      <c r="C53" s="88"/>
      <c r="D53" s="2"/>
      <c r="E53" s="88"/>
      <c r="F53" s="88"/>
      <c r="I53" s="63"/>
      <c r="J53" s="63"/>
      <c r="K53" s="63"/>
      <c r="L53" s="516"/>
      <c r="M53" s="517"/>
      <c r="N53" s="90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</row>
    <row r="54" spans="1:46" s="11" customFormat="1" x14ac:dyDescent="0.3">
      <c r="A54" s="79" t="s">
        <v>33</v>
      </c>
      <c r="B54" s="80"/>
      <c r="C54" s="82"/>
      <c r="D54" s="80"/>
      <c r="E54" s="78"/>
      <c r="F54" s="77"/>
      <c r="I54" s="14"/>
      <c r="J54" s="14"/>
      <c r="K54" s="14"/>
      <c r="L54" s="516"/>
      <c r="M54" s="517"/>
      <c r="N54" s="90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</row>
    <row r="55" spans="1:46" s="11" customFormat="1" ht="13.5" customHeight="1" x14ac:dyDescent="0.3">
      <c r="A55" s="12" t="s">
        <v>34</v>
      </c>
      <c r="B55" s="2"/>
      <c r="C55" s="88"/>
      <c r="D55" s="2"/>
      <c r="E55" s="88"/>
      <c r="F55" s="88"/>
      <c r="I55" s="63"/>
      <c r="J55" s="63"/>
      <c r="K55" s="63"/>
      <c r="L55" s="516"/>
      <c r="M55" s="517"/>
      <c r="N55" s="90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</row>
    <row r="56" spans="1:46" s="11" customFormat="1" x14ac:dyDescent="0.3">
      <c r="A56" s="79" t="s">
        <v>41</v>
      </c>
      <c r="B56" s="80"/>
      <c r="C56" s="82"/>
      <c r="D56" s="80"/>
      <c r="E56" s="78"/>
      <c r="F56" s="77"/>
      <c r="L56" s="520"/>
      <c r="M56" s="520"/>
      <c r="N56" s="2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</row>
    <row r="57" spans="1:46" s="11" customFormat="1" x14ac:dyDescent="0.3">
      <c r="A57" s="12" t="s">
        <v>42</v>
      </c>
      <c r="B57" s="2"/>
      <c r="C57" s="88"/>
      <c r="D57" s="2"/>
      <c r="E57" s="88"/>
      <c r="F57" s="88"/>
      <c r="I57" s="63"/>
      <c r="J57" s="63"/>
      <c r="K57" s="63"/>
      <c r="L57" s="520"/>
      <c r="M57" s="520"/>
      <c r="N57" s="90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</row>
    <row r="58" spans="1:46" s="11" customFormat="1" x14ac:dyDescent="0.3">
      <c r="A58" s="79" t="s">
        <v>66</v>
      </c>
      <c r="B58" s="80">
        <f>'GERAL 2021'!K12</f>
        <v>106.95</v>
      </c>
      <c r="C58" s="81">
        <v>6</v>
      </c>
      <c r="D58" s="80">
        <f>B58/C58</f>
        <v>17.824999999999999</v>
      </c>
      <c r="E58" s="82"/>
      <c r="F58" s="80"/>
      <c r="I58" s="14"/>
      <c r="J58" s="14"/>
      <c r="K58" s="14"/>
      <c r="L58" s="518"/>
      <c r="M58" s="518"/>
      <c r="N58" s="109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</row>
    <row r="59" spans="1:46" s="11" customFormat="1" x14ac:dyDescent="0.3">
      <c r="A59" s="12" t="s">
        <v>67</v>
      </c>
      <c r="B59" s="2">
        <f>'GERAL 2021'!I12</f>
        <v>1.0710401891252954</v>
      </c>
      <c r="C59" s="88">
        <v>8</v>
      </c>
      <c r="D59" s="2">
        <f>B59*C59</f>
        <v>8.5683215130023633</v>
      </c>
      <c r="E59" s="88"/>
      <c r="F59" s="88"/>
      <c r="I59" s="63"/>
      <c r="J59" s="63"/>
      <c r="K59" s="63"/>
      <c r="L59" s="550" t="s">
        <v>26</v>
      </c>
      <c r="M59" s="550"/>
      <c r="N59" s="136">
        <f>SUM(N40:N58)</f>
        <v>2880.1498000000001</v>
      </c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</row>
    <row r="60" spans="1:46" s="11" customFormat="1" x14ac:dyDescent="0.3">
      <c r="A60" s="79" t="s">
        <v>14</v>
      </c>
      <c r="B60" s="80"/>
      <c r="C60" s="82"/>
      <c r="D60" s="80"/>
      <c r="E60" s="82"/>
      <c r="F60" s="80"/>
      <c r="I60" s="14"/>
      <c r="J60" s="14"/>
      <c r="K60" s="14"/>
      <c r="L60" s="543"/>
      <c r="M60" s="543"/>
      <c r="N60" s="135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</row>
    <row r="61" spans="1:46" s="18" customFormat="1" x14ac:dyDescent="0.3">
      <c r="A61" s="12" t="s">
        <v>15</v>
      </c>
      <c r="B61" s="2"/>
      <c r="C61" s="88"/>
      <c r="D61" s="2"/>
      <c r="E61" s="88"/>
      <c r="F61" s="88"/>
      <c r="G61" s="11"/>
      <c r="H61" s="11"/>
      <c r="I61" s="87"/>
      <c r="J61" s="87"/>
      <c r="K61" s="87"/>
      <c r="L61" s="513" t="s">
        <v>11</v>
      </c>
      <c r="M61" s="513"/>
      <c r="N61" s="526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</row>
    <row r="62" spans="1:46" s="18" customFormat="1" x14ac:dyDescent="0.3">
      <c r="A62" s="79" t="s">
        <v>55</v>
      </c>
      <c r="B62" s="80"/>
      <c r="C62" s="82"/>
      <c r="D62" s="80"/>
      <c r="E62" s="82"/>
      <c r="F62" s="80"/>
      <c r="G62" s="11"/>
      <c r="H62" s="11"/>
      <c r="I62" s="11"/>
      <c r="J62" s="11"/>
      <c r="K62" s="11"/>
      <c r="L62" s="532">
        <f>I31</f>
        <v>5045.1400000000003</v>
      </c>
      <c r="M62" s="532"/>
      <c r="N62" s="533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</row>
    <row r="63" spans="1:46" s="18" customFormat="1" x14ac:dyDescent="0.3">
      <c r="A63" s="12" t="s">
        <v>56</v>
      </c>
      <c r="B63" s="2"/>
      <c r="C63" s="88"/>
      <c r="D63" s="2"/>
      <c r="E63" s="88"/>
      <c r="F63" s="88"/>
      <c r="G63" s="11"/>
      <c r="H63" s="11"/>
      <c r="I63" s="11"/>
      <c r="J63" s="11"/>
      <c r="K63" s="11"/>
      <c r="L63" s="518"/>
      <c r="M63" s="518"/>
      <c r="N63" s="519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</row>
    <row r="64" spans="1:46" s="18" customFormat="1" x14ac:dyDescent="0.3">
      <c r="A64" s="79" t="s">
        <v>35</v>
      </c>
      <c r="B64" s="80"/>
      <c r="C64" s="82"/>
      <c r="D64" s="80"/>
      <c r="E64" s="82"/>
      <c r="F64" s="80"/>
      <c r="G64" s="11"/>
      <c r="H64" s="11"/>
      <c r="I64" s="11"/>
      <c r="J64" s="11"/>
      <c r="K64" s="11"/>
      <c r="L64" s="513" t="s">
        <v>13</v>
      </c>
      <c r="M64" s="513"/>
      <c r="N64" s="49">
        <f>L62-N59</f>
        <v>2164.9902000000002</v>
      </c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</row>
    <row r="65" spans="1:45" s="18" customFormat="1" x14ac:dyDescent="0.3">
      <c r="A65" s="12" t="s">
        <v>36</v>
      </c>
      <c r="B65" s="2"/>
      <c r="C65" s="88"/>
      <c r="D65" s="2"/>
      <c r="E65" s="88"/>
      <c r="F65" s="88"/>
      <c r="G65" s="11"/>
      <c r="H65" s="11"/>
      <c r="I65" s="14"/>
      <c r="J65" s="14"/>
      <c r="K65" s="14"/>
      <c r="L65" s="123"/>
      <c r="M65" s="123"/>
      <c r="N65" s="133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</row>
    <row r="66" spans="1:45" s="18" customFormat="1" x14ac:dyDescent="0.3">
      <c r="A66" s="79" t="s">
        <v>47</v>
      </c>
      <c r="B66" s="80"/>
      <c r="C66" s="82"/>
      <c r="D66" s="80"/>
      <c r="E66" s="82"/>
      <c r="F66" s="80"/>
      <c r="G66" s="11"/>
      <c r="H66" s="11"/>
      <c r="I66" s="15"/>
      <c r="J66" s="15"/>
      <c r="K66" s="15"/>
      <c r="L66" s="124"/>
      <c r="M66" s="124"/>
      <c r="N66" s="134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</row>
    <row r="67" spans="1:45" s="18" customFormat="1" x14ac:dyDescent="0.3">
      <c r="A67" s="12" t="s">
        <v>48</v>
      </c>
      <c r="B67" s="2"/>
      <c r="C67" s="88"/>
      <c r="D67" s="2"/>
      <c r="E67" s="88"/>
      <c r="F67" s="88"/>
      <c r="G67" s="11"/>
      <c r="H67" s="11"/>
      <c r="I67" s="14"/>
      <c r="J67" s="14"/>
      <c r="K67" s="14"/>
      <c r="L67" s="124"/>
      <c r="M67" s="124"/>
      <c r="N67" s="5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</row>
    <row r="68" spans="1:45" s="18" customFormat="1" x14ac:dyDescent="0.3">
      <c r="A68" s="79" t="s">
        <v>16</v>
      </c>
      <c r="B68" s="80">
        <f>'GERAL 2021'!K17</f>
        <v>119.94</v>
      </c>
      <c r="C68" s="82">
        <v>6</v>
      </c>
      <c r="D68" s="80">
        <f>B68/C68</f>
        <v>19.989999999999998</v>
      </c>
      <c r="E68" s="81"/>
      <c r="F68" s="81"/>
      <c r="G68" s="11"/>
      <c r="H68" s="11"/>
      <c r="I68" s="14"/>
      <c r="J68" s="14"/>
      <c r="K68" s="14"/>
      <c r="L68" s="124"/>
      <c r="M68" s="124"/>
      <c r="N68" s="5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</row>
    <row r="69" spans="1:45" s="18" customFormat="1" x14ac:dyDescent="0.3">
      <c r="A69" s="12" t="s">
        <v>17</v>
      </c>
      <c r="B69" s="2">
        <f>'GERAL 2021'!I17</f>
        <v>1.0710401891252954</v>
      </c>
      <c r="C69" s="88">
        <v>5</v>
      </c>
      <c r="D69" s="2">
        <f>B69*C69</f>
        <v>5.3552009456264766</v>
      </c>
      <c r="E69" s="88"/>
      <c r="F69" s="88"/>
      <c r="G69" s="11"/>
      <c r="H69" s="11"/>
      <c r="I69" s="14"/>
      <c r="J69" s="14"/>
      <c r="K69" s="14"/>
      <c r="L69" s="124"/>
      <c r="M69" s="124"/>
      <c r="N69" s="5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</row>
    <row r="70" spans="1:45" s="18" customFormat="1" x14ac:dyDescent="0.3">
      <c r="A70" s="79" t="s">
        <v>27</v>
      </c>
      <c r="B70" s="80">
        <f>'GERAL 2021'!K18</f>
        <v>118.87</v>
      </c>
      <c r="C70" s="82">
        <v>6</v>
      </c>
      <c r="D70" s="80">
        <f>B70/C70</f>
        <v>19.811666666666667</v>
      </c>
      <c r="E70" s="81"/>
      <c r="F70" s="82"/>
      <c r="G70" s="11"/>
      <c r="H70" s="11"/>
      <c r="I70" s="14"/>
      <c r="J70" s="14"/>
      <c r="K70" s="14"/>
      <c r="L70" s="124"/>
      <c r="M70" s="124"/>
      <c r="N70" s="5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</row>
    <row r="71" spans="1:45" s="32" customFormat="1" x14ac:dyDescent="0.3">
      <c r="A71" s="12" t="s">
        <v>28</v>
      </c>
      <c r="B71" s="2">
        <f>'GERAL 2021'!I18</f>
        <v>1.0710401891252954</v>
      </c>
      <c r="C71" s="88">
        <v>7</v>
      </c>
      <c r="D71" s="2">
        <f>B71*C71</f>
        <v>7.4972813238770684</v>
      </c>
      <c r="E71" s="88"/>
      <c r="F71" s="90"/>
      <c r="G71" s="11"/>
      <c r="H71" s="11"/>
      <c r="I71" s="20"/>
      <c r="J71" s="20"/>
      <c r="K71" s="20"/>
      <c r="L71" s="15"/>
      <c r="M71" s="14"/>
      <c r="N71" s="57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</row>
    <row r="72" spans="1:45" s="32" customFormat="1" x14ac:dyDescent="0.3">
      <c r="A72" s="79" t="s">
        <v>18</v>
      </c>
      <c r="B72" s="80">
        <f>'GERAL 2021'!K19</f>
        <v>118.87</v>
      </c>
      <c r="C72" s="82">
        <v>6</v>
      </c>
      <c r="D72" s="80">
        <f>B72/C72</f>
        <v>19.811666666666667</v>
      </c>
      <c r="E72" s="82"/>
      <c r="F72" s="80"/>
      <c r="G72" s="18"/>
      <c r="H72" s="18"/>
      <c r="I72" s="20"/>
      <c r="J72" s="20"/>
      <c r="K72" s="20"/>
      <c r="L72" s="11"/>
      <c r="M72" s="15"/>
      <c r="N72" s="65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</row>
    <row r="73" spans="1:45" s="32" customFormat="1" x14ac:dyDescent="0.3">
      <c r="A73" s="12" t="s">
        <v>19</v>
      </c>
      <c r="B73" s="2">
        <f>'GERAL 2021'!I19</f>
        <v>1.0710401891252954</v>
      </c>
      <c r="C73" s="88">
        <v>6</v>
      </c>
      <c r="D73" s="2">
        <f>B73*C73</f>
        <v>6.4262411347517725</v>
      </c>
      <c r="E73" s="88"/>
      <c r="F73" s="88"/>
      <c r="G73" s="18"/>
      <c r="H73" s="18"/>
      <c r="I73" s="20"/>
      <c r="J73" s="20"/>
      <c r="K73" s="20"/>
      <c r="L73" s="11"/>
      <c r="M73" s="11"/>
      <c r="N73" s="65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</row>
    <row r="74" spans="1:45" s="32" customFormat="1" x14ac:dyDescent="0.3">
      <c r="A74" s="79" t="s">
        <v>37</v>
      </c>
      <c r="B74" s="80">
        <f>'GERAL 2021'!K20</f>
        <v>119.02</v>
      </c>
      <c r="C74" s="82">
        <v>6</v>
      </c>
      <c r="D74" s="80">
        <f>B74/C74</f>
        <v>19.836666666666666</v>
      </c>
      <c r="E74" s="81"/>
      <c r="F74" s="82"/>
      <c r="G74" s="18"/>
      <c r="H74" s="18"/>
      <c r="I74" s="20"/>
      <c r="J74" s="20"/>
      <c r="K74" s="20"/>
      <c r="L74" s="14"/>
      <c r="M74" s="14"/>
      <c r="N74" s="65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</row>
    <row r="75" spans="1:45" s="32" customFormat="1" x14ac:dyDescent="0.3">
      <c r="A75" s="12" t="s">
        <v>38</v>
      </c>
      <c r="B75" s="2">
        <f>'GERAL 2021'!I20</f>
        <v>1.0710401891252954</v>
      </c>
      <c r="C75" s="88">
        <v>7</v>
      </c>
      <c r="D75" s="2">
        <f>B75*C75</f>
        <v>7.4972813238770684</v>
      </c>
      <c r="E75" s="88"/>
      <c r="F75" s="88"/>
      <c r="G75" s="18"/>
      <c r="H75" s="18"/>
      <c r="I75" s="20"/>
      <c r="J75" s="20"/>
      <c r="K75" s="20"/>
      <c r="L75" s="20"/>
      <c r="M75" s="15"/>
      <c r="N75" s="65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</row>
    <row r="76" spans="1:45" s="32" customFormat="1" x14ac:dyDescent="0.3">
      <c r="A76" s="79" t="s">
        <v>45</v>
      </c>
      <c r="B76" s="80">
        <f>'GERAL 2021'!K21</f>
        <v>118.43</v>
      </c>
      <c r="C76" s="82">
        <v>6</v>
      </c>
      <c r="D76" s="80">
        <f>B76/C76</f>
        <v>19.738333333333333</v>
      </c>
      <c r="E76" s="81"/>
      <c r="F76" s="82"/>
      <c r="G76" s="18"/>
      <c r="H76" s="18"/>
      <c r="I76" s="20"/>
      <c r="J76" s="20"/>
      <c r="K76" s="20"/>
      <c r="L76" s="20"/>
      <c r="M76" s="11"/>
      <c r="N76" s="65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</row>
    <row r="77" spans="1:45" s="32" customFormat="1" x14ac:dyDescent="0.3">
      <c r="A77" s="12" t="s">
        <v>39</v>
      </c>
      <c r="B77" s="2">
        <f>'GERAL 2021'!I21</f>
        <v>1.0710401891252954</v>
      </c>
      <c r="C77" s="88">
        <v>5</v>
      </c>
      <c r="D77" s="2">
        <f>B77*C77</f>
        <v>5.3552009456264766</v>
      </c>
      <c r="E77" s="88"/>
      <c r="F77" s="88"/>
      <c r="G77" s="18"/>
      <c r="H77" s="18"/>
      <c r="I77" s="20"/>
      <c r="J77" s="20"/>
      <c r="K77" s="20"/>
      <c r="L77" s="20"/>
      <c r="M77" s="11"/>
      <c r="N77" s="65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</row>
    <row r="78" spans="1:45" s="32" customFormat="1" x14ac:dyDescent="0.3">
      <c r="A78" s="81" t="s">
        <v>49</v>
      </c>
      <c r="B78" s="80"/>
      <c r="C78" s="82"/>
      <c r="D78" s="80"/>
      <c r="E78" s="81"/>
      <c r="F78" s="82"/>
      <c r="G78" s="18"/>
      <c r="H78" s="18"/>
      <c r="I78" s="20"/>
      <c r="J78" s="20"/>
      <c r="K78" s="20"/>
      <c r="L78" s="18"/>
      <c r="M78" s="11"/>
      <c r="N78" s="65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</row>
    <row r="79" spans="1:45" s="32" customFormat="1" x14ac:dyDescent="0.3">
      <c r="A79" s="90" t="s">
        <v>50</v>
      </c>
      <c r="B79" s="2"/>
      <c r="C79" s="88"/>
      <c r="D79" s="2"/>
      <c r="E79" s="88"/>
      <c r="F79" s="88"/>
      <c r="G79" s="18"/>
      <c r="H79" s="18"/>
      <c r="I79" s="20"/>
      <c r="J79" s="20"/>
      <c r="K79" s="20"/>
      <c r="L79" s="18"/>
      <c r="M79" s="14"/>
      <c r="N79" s="65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</row>
    <row r="80" spans="1:45" s="32" customFormat="1" x14ac:dyDescent="0.3">
      <c r="A80" s="81" t="s">
        <v>43</v>
      </c>
      <c r="B80" s="80"/>
      <c r="C80" s="82"/>
      <c r="D80" s="80"/>
      <c r="E80" s="81"/>
      <c r="F80" s="82"/>
      <c r="G80" s="18"/>
      <c r="H80" s="18"/>
      <c r="I80" s="20"/>
      <c r="J80" s="20"/>
      <c r="K80" s="20"/>
      <c r="L80" s="18"/>
      <c r="M80" s="20"/>
      <c r="N80" s="65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</row>
    <row r="81" spans="1:46" s="32" customFormat="1" x14ac:dyDescent="0.3">
      <c r="A81" s="90" t="s">
        <v>44</v>
      </c>
      <c r="B81" s="2"/>
      <c r="C81" s="88"/>
      <c r="D81" s="2"/>
      <c r="E81" s="88"/>
      <c r="F81" s="88"/>
      <c r="G81" s="18"/>
      <c r="H81" s="18"/>
      <c r="I81" s="20"/>
      <c r="J81" s="20"/>
      <c r="K81" s="20"/>
      <c r="L81" s="18"/>
      <c r="M81" s="20"/>
      <c r="N81" s="65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</row>
    <row r="82" spans="1:46" s="32" customFormat="1" x14ac:dyDescent="0.3">
      <c r="A82" s="81" t="s">
        <v>51</v>
      </c>
      <c r="B82" s="80"/>
      <c r="C82" s="82"/>
      <c r="D82" s="80"/>
      <c r="E82" s="82"/>
      <c r="F82" s="80"/>
      <c r="I82" s="21"/>
      <c r="J82" s="21"/>
      <c r="K82" s="21"/>
      <c r="L82" s="18"/>
      <c r="M82" s="20"/>
      <c r="N82" s="65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</row>
    <row r="83" spans="1:46" s="22" customFormat="1" x14ac:dyDescent="0.3">
      <c r="A83" s="90" t="s">
        <v>52</v>
      </c>
      <c r="B83" s="2"/>
      <c r="C83" s="88"/>
      <c r="D83" s="2"/>
      <c r="E83" s="88"/>
      <c r="F83" s="67"/>
      <c r="G83" s="63"/>
      <c r="H83" s="63"/>
      <c r="I83" s="32"/>
      <c r="J83" s="32"/>
      <c r="K83" s="32"/>
      <c r="L83" s="18"/>
      <c r="M83" s="18"/>
      <c r="N83" s="65"/>
    </row>
    <row r="84" spans="1:46" s="22" customFormat="1" x14ac:dyDescent="0.3">
      <c r="A84" s="81" t="s">
        <v>53</v>
      </c>
      <c r="B84" s="80"/>
      <c r="C84" s="82"/>
      <c r="D84" s="80"/>
      <c r="E84" s="82"/>
      <c r="F84" s="82"/>
      <c r="G84" s="11"/>
      <c r="H84" s="63"/>
      <c r="I84" s="21"/>
      <c r="J84" s="21"/>
      <c r="K84" s="21"/>
      <c r="L84" s="18"/>
      <c r="M84" s="18"/>
      <c r="N84" s="65"/>
      <c r="AT84" s="32"/>
    </row>
    <row r="85" spans="1:46" s="22" customFormat="1" x14ac:dyDescent="0.3">
      <c r="A85" s="90" t="s">
        <v>54</v>
      </c>
      <c r="B85" s="2"/>
      <c r="C85" s="88"/>
      <c r="D85" s="2"/>
      <c r="E85" s="88"/>
      <c r="F85" s="67"/>
      <c r="G85" s="21"/>
      <c r="H85" s="21"/>
      <c r="I85" s="21"/>
      <c r="J85" s="21"/>
      <c r="K85" s="21"/>
      <c r="L85" s="32"/>
      <c r="M85" s="32"/>
      <c r="N85" s="65"/>
      <c r="AT85" s="32"/>
    </row>
    <row r="86" spans="1:46" s="22" customFormat="1" x14ac:dyDescent="0.3">
      <c r="A86" s="81" t="s">
        <v>78</v>
      </c>
      <c r="B86" s="80"/>
      <c r="C86" s="82"/>
      <c r="D86" s="80"/>
      <c r="E86" s="82"/>
      <c r="F86" s="82"/>
      <c r="G86" s="11"/>
      <c r="H86" s="63"/>
      <c r="I86" s="21"/>
      <c r="J86" s="21"/>
      <c r="K86" s="21"/>
      <c r="L86" s="32"/>
      <c r="M86" s="18"/>
      <c r="N86" s="65"/>
      <c r="AT86" s="32"/>
    </row>
    <row r="87" spans="1:46" s="22" customFormat="1" x14ac:dyDescent="0.3">
      <c r="A87" s="90" t="s">
        <v>79</v>
      </c>
      <c r="B87" s="2"/>
      <c r="C87" s="88"/>
      <c r="D87" s="2"/>
      <c r="E87" s="88"/>
      <c r="F87" s="67"/>
      <c r="G87" s="21"/>
      <c r="H87" s="21"/>
      <c r="I87" s="21"/>
      <c r="J87" s="21"/>
      <c r="K87" s="21"/>
      <c r="L87" s="21"/>
      <c r="M87" s="21"/>
      <c r="N87" s="65"/>
      <c r="AT87" s="32"/>
    </row>
    <row r="88" spans="1:46" s="22" customFormat="1" x14ac:dyDescent="0.3">
      <c r="A88" s="81" t="s">
        <v>80</v>
      </c>
      <c r="B88" s="80">
        <f>'GERAL 2021'!K27</f>
        <v>119.7</v>
      </c>
      <c r="C88" s="82">
        <v>6</v>
      </c>
      <c r="D88" s="80">
        <f>B88/C88</f>
        <v>19.95</v>
      </c>
      <c r="E88" s="82"/>
      <c r="F88" s="82"/>
      <c r="G88" s="11"/>
      <c r="H88" s="63"/>
      <c r="I88" s="21"/>
      <c r="J88" s="21"/>
      <c r="K88" s="21"/>
      <c r="L88" s="32"/>
      <c r="M88" s="18"/>
      <c r="N88" s="65"/>
      <c r="AT88" s="32"/>
    </row>
    <row r="89" spans="1:46" s="22" customFormat="1" x14ac:dyDescent="0.3">
      <c r="A89" s="90" t="s">
        <v>81</v>
      </c>
      <c r="B89" s="2">
        <f>'GERAL 2021'!I27</f>
        <v>1.0710401891252954</v>
      </c>
      <c r="C89" s="88">
        <v>6</v>
      </c>
      <c r="D89" s="2">
        <f>B89*C89</f>
        <v>6.4262411347517725</v>
      </c>
      <c r="E89" s="88"/>
      <c r="F89" s="67"/>
      <c r="G89" s="21"/>
      <c r="H89" s="21"/>
      <c r="I89" s="21"/>
      <c r="J89" s="21"/>
      <c r="K89" s="21"/>
      <c r="L89" s="21"/>
      <c r="M89" s="21"/>
      <c r="N89" s="65"/>
      <c r="AT89" s="32"/>
    </row>
    <row r="90" spans="1:46" s="22" customFormat="1" x14ac:dyDescent="0.3">
      <c r="A90" s="81" t="s">
        <v>82</v>
      </c>
      <c r="B90" s="80"/>
      <c r="C90" s="82"/>
      <c r="D90" s="80"/>
      <c r="E90" s="82"/>
      <c r="F90" s="82"/>
      <c r="G90" s="11"/>
      <c r="H90" s="63"/>
      <c r="I90" s="21"/>
      <c r="J90" s="21"/>
      <c r="K90" s="21"/>
      <c r="L90" s="32"/>
      <c r="M90" s="18"/>
      <c r="N90" s="65"/>
      <c r="AT90" s="32"/>
    </row>
    <row r="91" spans="1:46" s="22" customFormat="1" x14ac:dyDescent="0.3">
      <c r="A91" s="90" t="s">
        <v>83</v>
      </c>
      <c r="B91" s="2"/>
      <c r="C91" s="88"/>
      <c r="D91" s="2"/>
      <c r="E91" s="88"/>
      <c r="F91" s="67"/>
      <c r="G91" s="21"/>
      <c r="H91" s="21"/>
      <c r="I91" s="21"/>
      <c r="J91" s="21"/>
      <c r="K91" s="21"/>
      <c r="L91" s="21"/>
      <c r="M91" s="21"/>
      <c r="N91" s="65"/>
      <c r="AT91" s="32"/>
    </row>
    <row r="92" spans="1:46" s="22" customFormat="1" x14ac:dyDescent="0.3">
      <c r="A92" s="81" t="s">
        <v>84</v>
      </c>
      <c r="B92" s="80">
        <f>'GERAL 2021'!K29</f>
        <v>119.02</v>
      </c>
      <c r="C92" s="82"/>
      <c r="D92" s="80"/>
      <c r="E92" s="82"/>
      <c r="F92" s="82"/>
      <c r="G92" s="11"/>
      <c r="H92" s="63"/>
      <c r="I92" s="21"/>
      <c r="J92" s="21"/>
      <c r="K92" s="21"/>
      <c r="L92" s="21"/>
      <c r="M92" s="21"/>
      <c r="N92" s="18"/>
      <c r="AT92" s="32"/>
    </row>
    <row r="93" spans="1:46" s="22" customFormat="1" ht="14.4" thickBot="1" x14ac:dyDescent="0.35">
      <c r="A93" s="90" t="s">
        <v>85</v>
      </c>
      <c r="B93" s="2">
        <f>'GERAL 2021'!I29</f>
        <v>1.0710401891252954</v>
      </c>
      <c r="C93" s="88">
        <v>8</v>
      </c>
      <c r="D93" s="2">
        <f>B93*C93</f>
        <v>8.5683215130023633</v>
      </c>
      <c r="E93" s="88"/>
      <c r="F93" s="67"/>
      <c r="G93" s="66"/>
      <c r="H93" s="66"/>
      <c r="I93" s="66"/>
      <c r="J93" s="66"/>
      <c r="K93" s="66"/>
      <c r="L93" s="66"/>
      <c r="M93" s="66"/>
      <c r="N93" s="66"/>
      <c r="AT93" s="32"/>
    </row>
    <row r="94" spans="1:46" s="22" customFormat="1" x14ac:dyDescent="0.3">
      <c r="A94" s="32"/>
      <c r="B94" s="32"/>
      <c r="C94" s="32"/>
      <c r="D94" s="32"/>
      <c r="E94" s="32"/>
      <c r="F94" s="32"/>
      <c r="G94" s="32"/>
      <c r="H94" s="32"/>
      <c r="I94" s="21"/>
      <c r="J94" s="21"/>
      <c r="K94" s="21"/>
      <c r="L94" s="32"/>
      <c r="M94" s="32"/>
      <c r="N94" s="32"/>
      <c r="AT94" s="32"/>
    </row>
    <row r="95" spans="1:46" s="22" customFormat="1" x14ac:dyDescent="0.3">
      <c r="A95" s="32"/>
      <c r="B95" s="32"/>
      <c r="C95" s="32"/>
      <c r="D95" s="32"/>
      <c r="E95" s="32"/>
      <c r="F95" s="32"/>
      <c r="G95" s="32"/>
      <c r="H95" s="32"/>
      <c r="I95" s="21"/>
      <c r="J95" s="21"/>
      <c r="K95" s="21"/>
      <c r="L95" s="32"/>
      <c r="M95" s="32"/>
      <c r="N95" s="32"/>
      <c r="AT95" s="32"/>
    </row>
    <row r="96" spans="1:46" s="22" customFormat="1" x14ac:dyDescent="0.3">
      <c r="A96" s="32"/>
      <c r="B96" s="32"/>
      <c r="C96" s="32"/>
      <c r="D96" s="32"/>
      <c r="E96" s="32"/>
      <c r="F96" s="32"/>
      <c r="G96" s="32"/>
      <c r="H96" s="32"/>
      <c r="I96" s="21"/>
      <c r="J96" s="21"/>
      <c r="K96" s="21"/>
      <c r="L96" s="32"/>
      <c r="M96" s="32"/>
      <c r="N96" s="32"/>
      <c r="AT96" s="32"/>
    </row>
    <row r="97" spans="1:46" s="22" customFormat="1" x14ac:dyDescent="0.3">
      <c r="A97" s="32"/>
      <c r="B97" s="32"/>
      <c r="C97" s="32"/>
      <c r="D97" s="32"/>
      <c r="E97" s="32"/>
      <c r="F97" s="32"/>
      <c r="G97" s="32"/>
      <c r="H97" s="32"/>
      <c r="I97" s="21"/>
      <c r="J97" s="21"/>
      <c r="K97" s="21"/>
      <c r="L97" s="32"/>
      <c r="M97" s="32"/>
      <c r="N97" s="32"/>
      <c r="AT97" s="32"/>
    </row>
    <row r="98" spans="1:46" s="22" customFormat="1" x14ac:dyDescent="0.3">
      <c r="A98" s="32"/>
      <c r="B98" s="32"/>
      <c r="C98" s="32"/>
      <c r="D98" s="32"/>
      <c r="E98" s="32"/>
      <c r="F98" s="32"/>
      <c r="G98" s="32"/>
      <c r="H98" s="32"/>
      <c r="I98" s="21"/>
      <c r="J98" s="21"/>
      <c r="K98" s="21"/>
      <c r="L98" s="32"/>
      <c r="M98" s="32"/>
      <c r="N98" s="32"/>
      <c r="AT98" s="32"/>
    </row>
    <row r="99" spans="1:46" s="22" customFormat="1" x14ac:dyDescent="0.3">
      <c r="A99" s="32"/>
      <c r="B99" s="32"/>
      <c r="C99" s="32"/>
      <c r="D99" s="32"/>
      <c r="E99" s="32"/>
      <c r="F99" s="32"/>
      <c r="G99" s="32"/>
      <c r="H99" s="32"/>
      <c r="I99" s="21"/>
      <c r="J99" s="21"/>
      <c r="K99" s="21"/>
      <c r="L99" s="32"/>
      <c r="M99" s="32"/>
      <c r="N99" s="32"/>
      <c r="AT99" s="32"/>
    </row>
    <row r="100" spans="1:46" s="22" customFormat="1" x14ac:dyDescent="0.3">
      <c r="A100" s="32"/>
      <c r="B100" s="32"/>
      <c r="C100" s="32"/>
      <c r="D100" s="32"/>
      <c r="E100" s="32"/>
      <c r="F100" s="32"/>
      <c r="G100" s="32"/>
      <c r="H100" s="32"/>
      <c r="I100" s="21"/>
      <c r="J100" s="21"/>
      <c r="K100" s="21"/>
      <c r="L100" s="32"/>
      <c r="M100" s="32"/>
      <c r="N100" s="32"/>
      <c r="AT100" s="32"/>
    </row>
    <row r="101" spans="1:46" s="22" customFormat="1" x14ac:dyDescent="0.3">
      <c r="A101" s="32"/>
      <c r="B101" s="32"/>
      <c r="C101" s="32"/>
      <c r="D101" s="32"/>
      <c r="E101" s="32"/>
      <c r="F101" s="32"/>
      <c r="G101" s="32"/>
      <c r="H101" s="32"/>
      <c r="I101" s="21"/>
      <c r="J101" s="21"/>
      <c r="K101" s="21"/>
      <c r="L101" s="32"/>
      <c r="M101" s="32"/>
      <c r="N101" s="32"/>
      <c r="AT101" s="32"/>
    </row>
    <row r="102" spans="1:46" s="22" customFormat="1" x14ac:dyDescent="0.3">
      <c r="A102" s="32"/>
      <c r="B102" s="32"/>
      <c r="C102" s="32"/>
      <c r="D102" s="32"/>
      <c r="E102" s="32"/>
      <c r="F102" s="32"/>
      <c r="G102" s="32"/>
      <c r="H102" s="32"/>
      <c r="I102" s="21"/>
      <c r="J102" s="21"/>
      <c r="K102" s="21"/>
      <c r="L102" s="32"/>
      <c r="M102" s="32"/>
      <c r="N102" s="32"/>
      <c r="AT102" s="32"/>
    </row>
    <row r="103" spans="1:46" s="22" customFormat="1" x14ac:dyDescent="0.3">
      <c r="A103" s="32"/>
      <c r="B103" s="32"/>
      <c r="C103" s="32"/>
      <c r="D103" s="32"/>
      <c r="E103" s="32"/>
      <c r="F103" s="32"/>
      <c r="G103" s="32"/>
      <c r="H103" s="32"/>
      <c r="I103" s="21"/>
      <c r="J103" s="21"/>
      <c r="K103" s="21"/>
      <c r="L103" s="32"/>
      <c r="M103" s="32"/>
      <c r="N103" s="32"/>
      <c r="AT103" s="32"/>
    </row>
    <row r="104" spans="1:46" s="22" customFormat="1" x14ac:dyDescent="0.3">
      <c r="A104" s="32"/>
      <c r="B104" s="32"/>
      <c r="C104" s="32"/>
      <c r="D104" s="32"/>
      <c r="E104" s="32"/>
      <c r="F104" s="32"/>
      <c r="G104" s="32"/>
      <c r="H104" s="32"/>
      <c r="I104" s="21"/>
      <c r="J104" s="21"/>
      <c r="K104" s="21"/>
      <c r="L104" s="32"/>
      <c r="M104" s="32"/>
      <c r="N104" s="32"/>
      <c r="AT104" s="32"/>
    </row>
    <row r="105" spans="1:46" s="22" customFormat="1" x14ac:dyDescent="0.3">
      <c r="A105" s="32"/>
      <c r="B105" s="32"/>
      <c r="C105" s="32"/>
      <c r="D105" s="32"/>
      <c r="E105" s="32"/>
      <c r="F105" s="32"/>
      <c r="G105" s="32"/>
      <c r="H105" s="32"/>
      <c r="I105" s="21"/>
      <c r="J105" s="21"/>
      <c r="K105" s="21"/>
      <c r="L105" s="32"/>
      <c r="M105" s="32"/>
      <c r="N105" s="32"/>
      <c r="AT105" s="32"/>
    </row>
    <row r="106" spans="1:46" s="22" customFormat="1" x14ac:dyDescent="0.3">
      <c r="A106" s="32"/>
      <c r="B106" s="32"/>
      <c r="C106" s="32"/>
      <c r="D106" s="32"/>
      <c r="E106" s="32"/>
      <c r="F106" s="32"/>
      <c r="G106" s="32"/>
      <c r="H106" s="32"/>
      <c r="I106" s="21"/>
      <c r="J106" s="21"/>
      <c r="K106" s="21"/>
      <c r="L106" s="32"/>
      <c r="M106" s="32"/>
      <c r="N106" s="32"/>
      <c r="AT106" s="32"/>
    </row>
    <row r="107" spans="1:46" s="22" customFormat="1" x14ac:dyDescent="0.3">
      <c r="A107" s="32"/>
      <c r="B107" s="32"/>
      <c r="C107" s="32"/>
      <c r="D107" s="32"/>
      <c r="E107" s="32"/>
      <c r="F107" s="32"/>
      <c r="G107" s="32"/>
      <c r="H107" s="32"/>
      <c r="I107" s="21"/>
      <c r="J107" s="21"/>
      <c r="K107" s="21"/>
      <c r="L107" s="32"/>
      <c r="M107" s="32"/>
      <c r="N107" s="32"/>
      <c r="AT107" s="32"/>
    </row>
    <row r="108" spans="1:46" s="22" customFormat="1" x14ac:dyDescent="0.3">
      <c r="A108" s="32"/>
      <c r="B108" s="32"/>
      <c r="C108" s="32"/>
      <c r="D108" s="32"/>
      <c r="E108" s="32"/>
      <c r="F108" s="32"/>
      <c r="G108" s="32"/>
      <c r="H108" s="32"/>
      <c r="I108" s="21"/>
      <c r="J108" s="21"/>
      <c r="K108" s="21"/>
      <c r="L108" s="32"/>
      <c r="M108" s="32"/>
      <c r="N108" s="32"/>
      <c r="AT108" s="32"/>
    </row>
    <row r="109" spans="1:46" s="22" customFormat="1" x14ac:dyDescent="0.3">
      <c r="A109" s="32"/>
      <c r="B109" s="32"/>
      <c r="C109" s="32"/>
      <c r="D109" s="32"/>
      <c r="E109" s="32"/>
      <c r="F109" s="32"/>
      <c r="G109" s="32"/>
      <c r="H109" s="32"/>
      <c r="I109" s="21"/>
      <c r="J109" s="21"/>
      <c r="K109" s="21"/>
      <c r="L109" s="32"/>
      <c r="M109" s="32"/>
      <c r="N109" s="32"/>
      <c r="AT109" s="32"/>
    </row>
    <row r="110" spans="1:46" s="22" customFormat="1" x14ac:dyDescent="0.3">
      <c r="A110" s="32"/>
      <c r="B110" s="32"/>
      <c r="C110" s="32"/>
      <c r="D110" s="32"/>
      <c r="E110" s="32"/>
      <c r="F110" s="32"/>
      <c r="G110" s="32"/>
      <c r="H110" s="32"/>
      <c r="I110" s="21"/>
      <c r="J110" s="21"/>
      <c r="K110" s="21"/>
      <c r="L110" s="32"/>
      <c r="M110" s="32"/>
      <c r="N110" s="32"/>
      <c r="AT110" s="32"/>
    </row>
    <row r="111" spans="1:46" s="22" customFormat="1" x14ac:dyDescent="0.3">
      <c r="A111" s="32"/>
      <c r="B111" s="32"/>
      <c r="C111" s="32"/>
      <c r="D111" s="32"/>
      <c r="E111" s="32"/>
      <c r="F111" s="32"/>
      <c r="G111" s="32"/>
      <c r="H111" s="32"/>
      <c r="I111" s="21"/>
      <c r="J111" s="21"/>
      <c r="K111" s="21"/>
      <c r="L111" s="32"/>
      <c r="M111" s="32"/>
      <c r="N111" s="32"/>
      <c r="AT111" s="32"/>
    </row>
    <row r="112" spans="1:46" s="22" customFormat="1" x14ac:dyDescent="0.3">
      <c r="A112" s="32"/>
      <c r="B112" s="32"/>
      <c r="C112" s="32"/>
      <c r="D112" s="32"/>
      <c r="E112" s="32"/>
      <c r="F112" s="32"/>
      <c r="G112" s="32"/>
      <c r="H112" s="32"/>
      <c r="I112" s="21"/>
      <c r="J112" s="21"/>
      <c r="K112" s="21"/>
      <c r="L112" s="32"/>
      <c r="M112" s="32"/>
      <c r="N112" s="32"/>
      <c r="AT112" s="32"/>
    </row>
    <row r="113" spans="1:46" s="22" customFormat="1" x14ac:dyDescent="0.3">
      <c r="A113" s="32"/>
      <c r="B113" s="32"/>
      <c r="C113" s="32"/>
      <c r="D113" s="32"/>
      <c r="E113" s="32"/>
      <c r="F113" s="32"/>
      <c r="G113" s="32"/>
      <c r="H113" s="32"/>
      <c r="I113" s="24"/>
      <c r="J113" s="24"/>
      <c r="K113" s="24"/>
      <c r="L113" s="32"/>
      <c r="M113" s="32"/>
      <c r="N113" s="32"/>
      <c r="AT113" s="32"/>
    </row>
    <row r="114" spans="1:46" s="22" customFormat="1" x14ac:dyDescent="0.3">
      <c r="A114" s="32"/>
      <c r="B114" s="32"/>
      <c r="C114" s="32"/>
      <c r="D114" s="32"/>
      <c r="E114" s="32"/>
      <c r="F114" s="32"/>
      <c r="G114" s="32"/>
      <c r="H114" s="32"/>
      <c r="I114" s="24"/>
      <c r="J114" s="24"/>
      <c r="K114" s="24"/>
      <c r="L114" s="32"/>
      <c r="M114" s="32"/>
      <c r="N114" s="32"/>
      <c r="AT114" s="32"/>
    </row>
    <row r="115" spans="1:46" s="22" customFormat="1" x14ac:dyDescent="0.3">
      <c r="A115" s="32"/>
      <c r="B115" s="32"/>
      <c r="C115" s="32"/>
      <c r="D115" s="32"/>
      <c r="E115" s="32"/>
      <c r="F115" s="32"/>
      <c r="G115" s="32"/>
      <c r="H115" s="32"/>
      <c r="I115" s="24"/>
      <c r="J115" s="24"/>
      <c r="K115" s="24"/>
      <c r="L115" s="25"/>
      <c r="M115" s="32"/>
      <c r="N115" s="32"/>
      <c r="AT115" s="32"/>
    </row>
    <row r="116" spans="1:46" s="22" customFormat="1" x14ac:dyDescent="0.3">
      <c r="A116" s="32"/>
      <c r="B116" s="32"/>
      <c r="C116" s="32"/>
      <c r="D116" s="32"/>
      <c r="E116" s="32"/>
      <c r="F116" s="32"/>
      <c r="G116" s="32"/>
      <c r="H116" s="32"/>
      <c r="I116" s="24"/>
      <c r="J116" s="24"/>
      <c r="K116" s="24"/>
      <c r="L116" s="25"/>
      <c r="M116" s="32"/>
      <c r="N116" s="32"/>
      <c r="AT116" s="32"/>
    </row>
    <row r="117" spans="1:46" s="22" customFormat="1" x14ac:dyDescent="0.3">
      <c r="A117" s="32"/>
      <c r="B117" s="32"/>
      <c r="C117" s="32"/>
      <c r="D117" s="32"/>
      <c r="E117" s="32"/>
      <c r="F117" s="32"/>
      <c r="G117" s="32"/>
      <c r="H117" s="32"/>
      <c r="I117" s="24"/>
      <c r="J117" s="24"/>
      <c r="K117" s="24"/>
      <c r="L117" s="25"/>
      <c r="M117" s="32"/>
      <c r="AT117" s="32"/>
    </row>
    <row r="118" spans="1:46" s="22" customFormat="1" x14ac:dyDescent="0.3">
      <c r="A118" s="32"/>
      <c r="B118" s="32"/>
      <c r="C118" s="32"/>
      <c r="D118" s="32"/>
      <c r="E118" s="32"/>
      <c r="F118" s="32"/>
      <c r="G118" s="32"/>
      <c r="H118" s="32"/>
      <c r="I118" s="24"/>
      <c r="J118" s="24"/>
      <c r="K118" s="24"/>
      <c r="L118" s="25"/>
      <c r="M118" s="32"/>
      <c r="AT118" s="32"/>
    </row>
    <row r="119" spans="1:46" s="22" customFormat="1" x14ac:dyDescent="0.3">
      <c r="A119" s="32"/>
      <c r="B119" s="32"/>
      <c r="C119" s="32"/>
      <c r="D119" s="32"/>
      <c r="E119" s="32"/>
      <c r="F119" s="32"/>
      <c r="G119" s="32"/>
      <c r="H119" s="32"/>
      <c r="I119" s="24"/>
      <c r="J119" s="24"/>
      <c r="K119" s="24"/>
      <c r="L119" s="25"/>
      <c r="M119" s="32"/>
      <c r="AT119" s="32"/>
    </row>
    <row r="120" spans="1:46" s="22" customFormat="1" x14ac:dyDescent="0.3">
      <c r="A120" s="32"/>
      <c r="B120" s="32"/>
      <c r="C120" s="32"/>
      <c r="D120" s="32"/>
      <c r="E120" s="32"/>
      <c r="F120" s="32"/>
      <c r="G120" s="32"/>
      <c r="H120" s="32"/>
      <c r="I120" s="24"/>
      <c r="J120" s="24"/>
      <c r="K120" s="24"/>
      <c r="L120" s="25"/>
      <c r="M120" s="25"/>
      <c r="AT120" s="32"/>
    </row>
    <row r="121" spans="1:46" s="22" customFormat="1" x14ac:dyDescent="0.3">
      <c r="A121" s="32"/>
      <c r="B121" s="32"/>
      <c r="C121" s="32"/>
      <c r="D121" s="32"/>
      <c r="E121" s="32"/>
      <c r="F121" s="32"/>
      <c r="G121" s="32"/>
      <c r="H121" s="32"/>
      <c r="I121" s="24"/>
      <c r="J121" s="24"/>
      <c r="K121" s="24"/>
      <c r="L121" s="25"/>
      <c r="M121" s="25"/>
      <c r="AT121" s="32"/>
    </row>
    <row r="122" spans="1:46" s="22" customFormat="1" x14ac:dyDescent="0.3">
      <c r="A122" s="32"/>
      <c r="B122" s="32"/>
      <c r="C122" s="32"/>
      <c r="D122" s="32"/>
      <c r="E122" s="32"/>
      <c r="F122" s="32"/>
      <c r="G122" s="32"/>
      <c r="H122" s="32"/>
      <c r="I122" s="24"/>
      <c r="J122" s="24"/>
      <c r="K122" s="24"/>
      <c r="L122" s="25"/>
      <c r="M122" s="25"/>
      <c r="AT122" s="32"/>
    </row>
    <row r="123" spans="1:46" s="22" customFormat="1" x14ac:dyDescent="0.3">
      <c r="I123" s="24"/>
      <c r="J123" s="24"/>
      <c r="K123" s="24"/>
      <c r="L123" s="25"/>
      <c r="M123" s="25"/>
      <c r="AT123" s="32"/>
    </row>
    <row r="124" spans="1:46" s="22" customFormat="1" x14ac:dyDescent="0.3">
      <c r="I124" s="24"/>
      <c r="J124" s="24"/>
      <c r="K124" s="24"/>
      <c r="L124" s="25"/>
      <c r="M124" s="25"/>
      <c r="AT124" s="32"/>
    </row>
    <row r="125" spans="1:46" s="22" customFormat="1" x14ac:dyDescent="0.3">
      <c r="I125" s="24"/>
      <c r="J125" s="24"/>
      <c r="K125" s="24"/>
      <c r="L125" s="25"/>
      <c r="M125" s="25"/>
      <c r="AT125" s="32"/>
    </row>
    <row r="126" spans="1:46" s="22" customFormat="1" x14ac:dyDescent="0.3">
      <c r="I126" s="24"/>
      <c r="J126" s="24"/>
      <c r="K126" s="24"/>
      <c r="L126" s="25"/>
      <c r="M126" s="25"/>
      <c r="AT126" s="32"/>
    </row>
    <row r="127" spans="1:46" s="22" customFormat="1" x14ac:dyDescent="0.3">
      <c r="I127" s="24"/>
      <c r="J127" s="24"/>
      <c r="K127" s="24"/>
      <c r="L127" s="25"/>
      <c r="M127" s="25"/>
      <c r="AT127" s="32"/>
    </row>
    <row r="128" spans="1:46" s="22" customFormat="1" x14ac:dyDescent="0.3">
      <c r="I128" s="24"/>
      <c r="J128" s="24"/>
      <c r="K128" s="24"/>
      <c r="L128" s="25"/>
      <c r="M128" s="25"/>
      <c r="AT128" s="32"/>
    </row>
    <row r="129" spans="9:46" s="22" customFormat="1" x14ac:dyDescent="0.3">
      <c r="I129" s="24"/>
      <c r="J129" s="24"/>
      <c r="K129" s="24"/>
      <c r="L129" s="25"/>
      <c r="M129" s="25"/>
      <c r="AT129" s="32"/>
    </row>
    <row r="130" spans="9:46" s="22" customFormat="1" x14ac:dyDescent="0.3">
      <c r="I130" s="24"/>
      <c r="J130" s="24"/>
      <c r="K130" s="24"/>
      <c r="L130" s="25"/>
      <c r="M130" s="25"/>
      <c r="AT130" s="32"/>
    </row>
    <row r="131" spans="9:46" s="22" customFormat="1" x14ac:dyDescent="0.3">
      <c r="I131" s="24"/>
      <c r="J131" s="24"/>
      <c r="K131" s="24"/>
      <c r="L131" s="25"/>
      <c r="M131" s="25"/>
      <c r="AT131" s="32"/>
    </row>
    <row r="132" spans="9:46" s="22" customFormat="1" x14ac:dyDescent="0.3">
      <c r="I132" s="24"/>
      <c r="J132" s="24"/>
      <c r="K132" s="24"/>
      <c r="L132" s="25"/>
      <c r="M132" s="25"/>
      <c r="AT132" s="32"/>
    </row>
    <row r="133" spans="9:46" s="22" customFormat="1" x14ac:dyDescent="0.3">
      <c r="I133" s="24"/>
      <c r="J133" s="24"/>
      <c r="K133" s="24"/>
      <c r="L133" s="25"/>
      <c r="M133" s="25"/>
      <c r="AT133" s="32"/>
    </row>
    <row r="134" spans="9:46" s="22" customFormat="1" x14ac:dyDescent="0.3">
      <c r="I134" s="24"/>
      <c r="J134" s="24"/>
      <c r="K134" s="24"/>
      <c r="L134" s="25"/>
      <c r="M134" s="25"/>
      <c r="AT134" s="32"/>
    </row>
    <row r="135" spans="9:46" s="22" customFormat="1" x14ac:dyDescent="0.3">
      <c r="I135" s="24"/>
      <c r="J135" s="24"/>
      <c r="K135" s="24"/>
      <c r="L135" s="25"/>
      <c r="M135" s="25"/>
      <c r="AT135" s="32"/>
    </row>
    <row r="136" spans="9:46" s="22" customFormat="1" x14ac:dyDescent="0.3">
      <c r="I136" s="24"/>
      <c r="J136" s="24"/>
      <c r="K136" s="24"/>
      <c r="L136" s="25"/>
      <c r="M136" s="25"/>
      <c r="AT136" s="32"/>
    </row>
    <row r="137" spans="9:46" s="22" customFormat="1" x14ac:dyDescent="0.3">
      <c r="I137" s="24"/>
      <c r="J137" s="24"/>
      <c r="K137" s="24"/>
      <c r="L137" s="25"/>
      <c r="M137" s="25"/>
      <c r="AT137" s="32"/>
    </row>
    <row r="138" spans="9:46" s="22" customFormat="1" x14ac:dyDescent="0.3">
      <c r="I138" s="24"/>
      <c r="J138" s="24"/>
      <c r="K138" s="24"/>
      <c r="L138" s="25"/>
      <c r="M138" s="25"/>
      <c r="AT138" s="32"/>
    </row>
    <row r="139" spans="9:46" s="22" customFormat="1" x14ac:dyDescent="0.3">
      <c r="I139" s="24"/>
      <c r="J139" s="24"/>
      <c r="K139" s="24"/>
      <c r="L139" s="25"/>
      <c r="M139" s="25"/>
      <c r="AT139" s="32"/>
    </row>
    <row r="140" spans="9:46" s="22" customFormat="1" x14ac:dyDescent="0.3">
      <c r="I140" s="24"/>
      <c r="J140" s="24"/>
      <c r="K140" s="24"/>
      <c r="L140" s="25"/>
      <c r="M140" s="25"/>
      <c r="AT140" s="32"/>
    </row>
    <row r="141" spans="9:46" s="22" customFormat="1" x14ac:dyDescent="0.3">
      <c r="I141" s="24"/>
      <c r="J141" s="24"/>
      <c r="K141" s="24"/>
      <c r="L141" s="25"/>
      <c r="M141" s="25"/>
      <c r="AT141" s="32"/>
    </row>
    <row r="142" spans="9:46" s="22" customFormat="1" x14ac:dyDescent="0.3">
      <c r="I142" s="24"/>
      <c r="J142" s="24"/>
      <c r="K142" s="24"/>
      <c r="L142" s="25"/>
      <c r="M142" s="25"/>
      <c r="AT142" s="32"/>
    </row>
    <row r="143" spans="9:46" s="22" customFormat="1" x14ac:dyDescent="0.3">
      <c r="I143" s="24"/>
      <c r="J143" s="24"/>
      <c r="K143" s="24"/>
      <c r="L143" s="25"/>
      <c r="M143" s="25"/>
      <c r="AT143" s="32"/>
    </row>
    <row r="144" spans="9:46" s="22" customFormat="1" x14ac:dyDescent="0.3">
      <c r="I144" s="24"/>
      <c r="J144" s="24"/>
      <c r="K144" s="24"/>
      <c r="L144" s="25"/>
      <c r="M144" s="25"/>
      <c r="AT144" s="32"/>
    </row>
    <row r="145" spans="9:46" s="22" customFormat="1" x14ac:dyDescent="0.3">
      <c r="I145" s="24"/>
      <c r="J145" s="24"/>
      <c r="K145" s="24"/>
      <c r="L145" s="25"/>
      <c r="M145" s="25"/>
      <c r="AT145" s="32"/>
    </row>
    <row r="146" spans="9:46" s="22" customFormat="1" x14ac:dyDescent="0.3">
      <c r="I146" s="24"/>
      <c r="J146" s="24"/>
      <c r="K146" s="24"/>
      <c r="L146" s="25"/>
      <c r="M146" s="25"/>
      <c r="AT146" s="32"/>
    </row>
    <row r="147" spans="9:46" s="22" customFormat="1" x14ac:dyDescent="0.3">
      <c r="I147" s="24"/>
      <c r="J147" s="24"/>
      <c r="K147" s="24"/>
      <c r="L147" s="25"/>
      <c r="M147" s="25"/>
      <c r="AT147" s="32"/>
    </row>
    <row r="148" spans="9:46" s="22" customFormat="1" x14ac:dyDescent="0.3">
      <c r="I148" s="24"/>
      <c r="J148" s="24"/>
      <c r="K148" s="24"/>
      <c r="L148" s="25"/>
      <c r="M148" s="25"/>
      <c r="AT148" s="32"/>
    </row>
    <row r="149" spans="9:46" s="22" customFormat="1" x14ac:dyDescent="0.3">
      <c r="I149" s="24"/>
      <c r="J149" s="24"/>
      <c r="K149" s="24"/>
      <c r="L149" s="25"/>
      <c r="M149" s="25"/>
      <c r="AT149" s="32"/>
    </row>
    <row r="150" spans="9:46" s="22" customFormat="1" x14ac:dyDescent="0.3">
      <c r="I150" s="24"/>
      <c r="J150" s="24"/>
      <c r="K150" s="24"/>
      <c r="L150" s="25"/>
      <c r="M150" s="25"/>
      <c r="AT150" s="32"/>
    </row>
    <row r="151" spans="9:46" s="22" customFormat="1" x14ac:dyDescent="0.3">
      <c r="I151" s="24"/>
      <c r="J151" s="24"/>
      <c r="K151" s="24"/>
      <c r="L151" s="25"/>
      <c r="M151" s="25"/>
      <c r="AT151" s="32"/>
    </row>
    <row r="152" spans="9:46" s="22" customFormat="1" x14ac:dyDescent="0.3">
      <c r="I152" s="24"/>
      <c r="J152" s="24"/>
      <c r="K152" s="24"/>
      <c r="L152" s="25"/>
      <c r="M152" s="25"/>
      <c r="AT152" s="32"/>
    </row>
    <row r="153" spans="9:46" s="22" customFormat="1" x14ac:dyDescent="0.3">
      <c r="I153" s="24"/>
      <c r="J153" s="24"/>
      <c r="K153" s="24"/>
      <c r="L153" s="25"/>
      <c r="M153" s="25"/>
      <c r="AT153" s="32"/>
    </row>
    <row r="154" spans="9:46" s="22" customFormat="1" x14ac:dyDescent="0.3">
      <c r="I154" s="24"/>
      <c r="J154" s="24"/>
      <c r="K154" s="24"/>
      <c r="L154" s="25"/>
      <c r="M154" s="25"/>
      <c r="AT154" s="32"/>
    </row>
    <row r="155" spans="9:46" s="22" customFormat="1" x14ac:dyDescent="0.3">
      <c r="I155" s="24"/>
      <c r="J155" s="24"/>
      <c r="K155" s="24"/>
      <c r="L155" s="25"/>
      <c r="M155" s="25"/>
      <c r="AT155" s="32"/>
    </row>
    <row r="156" spans="9:46" s="22" customFormat="1" x14ac:dyDescent="0.3">
      <c r="I156" s="24"/>
      <c r="J156" s="24"/>
      <c r="K156" s="24"/>
      <c r="L156" s="25"/>
      <c r="M156" s="25"/>
      <c r="AT156" s="32"/>
    </row>
    <row r="157" spans="9:46" s="22" customFormat="1" x14ac:dyDescent="0.3">
      <c r="I157" s="24"/>
      <c r="J157" s="24"/>
      <c r="K157" s="24"/>
      <c r="L157" s="25"/>
      <c r="M157" s="25"/>
      <c r="AT157" s="32"/>
    </row>
    <row r="158" spans="9:46" s="22" customFormat="1" x14ac:dyDescent="0.3">
      <c r="I158" s="24"/>
      <c r="J158" s="24"/>
      <c r="K158" s="24"/>
      <c r="L158" s="25"/>
      <c r="M158" s="25"/>
      <c r="AT158" s="32"/>
    </row>
    <row r="159" spans="9:46" s="22" customFormat="1" x14ac:dyDescent="0.3">
      <c r="I159" s="24"/>
      <c r="J159" s="24"/>
      <c r="K159" s="24"/>
      <c r="L159" s="25"/>
      <c r="M159" s="25"/>
      <c r="AT159" s="32"/>
    </row>
    <row r="160" spans="9:46" s="22" customFormat="1" x14ac:dyDescent="0.3">
      <c r="I160" s="24"/>
      <c r="J160" s="24"/>
      <c r="K160" s="24"/>
      <c r="L160" s="25"/>
      <c r="M160" s="25"/>
      <c r="AT160" s="32"/>
    </row>
    <row r="161" spans="9:46" s="22" customFormat="1" x14ac:dyDescent="0.3">
      <c r="I161" s="24"/>
      <c r="J161" s="24"/>
      <c r="K161" s="24"/>
      <c r="L161" s="25"/>
      <c r="M161" s="25"/>
      <c r="AT161" s="32"/>
    </row>
    <row r="162" spans="9:46" s="22" customFormat="1" x14ac:dyDescent="0.3">
      <c r="I162" s="24"/>
      <c r="J162" s="24"/>
      <c r="K162" s="24"/>
      <c r="L162" s="25"/>
      <c r="M162" s="25"/>
      <c r="AT162" s="32"/>
    </row>
    <row r="163" spans="9:46" s="22" customFormat="1" x14ac:dyDescent="0.3">
      <c r="I163" s="24"/>
      <c r="J163" s="24"/>
      <c r="K163" s="24"/>
      <c r="L163" s="25"/>
      <c r="M163" s="25"/>
      <c r="AT163" s="32"/>
    </row>
    <row r="164" spans="9:46" s="22" customFormat="1" x14ac:dyDescent="0.3">
      <c r="I164" s="24"/>
      <c r="J164" s="24"/>
      <c r="K164" s="24"/>
      <c r="L164" s="25"/>
      <c r="M164" s="25"/>
      <c r="AT164" s="32"/>
    </row>
    <row r="165" spans="9:46" s="22" customFormat="1" x14ac:dyDescent="0.3">
      <c r="I165" s="24"/>
      <c r="J165" s="24"/>
      <c r="K165" s="24"/>
      <c r="L165" s="25"/>
      <c r="M165" s="25"/>
      <c r="AT165" s="32"/>
    </row>
    <row r="166" spans="9:46" s="22" customFormat="1" x14ac:dyDescent="0.3">
      <c r="I166" s="24"/>
      <c r="J166" s="24"/>
      <c r="K166" s="24"/>
      <c r="L166" s="25"/>
      <c r="M166" s="25"/>
      <c r="AT166" s="32"/>
    </row>
    <row r="167" spans="9:46" s="22" customFormat="1" x14ac:dyDescent="0.3">
      <c r="I167" s="24"/>
      <c r="J167" s="24"/>
      <c r="K167" s="24"/>
      <c r="L167" s="25"/>
      <c r="M167" s="25"/>
      <c r="AT167" s="32"/>
    </row>
    <row r="168" spans="9:46" s="22" customFormat="1" x14ac:dyDescent="0.3">
      <c r="I168" s="24"/>
      <c r="J168" s="24"/>
      <c r="K168" s="24"/>
      <c r="L168" s="25"/>
      <c r="M168" s="25"/>
      <c r="AT168" s="32"/>
    </row>
    <row r="169" spans="9:46" s="22" customFormat="1" x14ac:dyDescent="0.3">
      <c r="I169" s="24"/>
      <c r="J169" s="24"/>
      <c r="K169" s="24"/>
      <c r="L169" s="25"/>
      <c r="M169" s="25"/>
      <c r="AT169" s="32"/>
    </row>
    <row r="170" spans="9:46" s="22" customFormat="1" x14ac:dyDescent="0.3">
      <c r="I170" s="24"/>
      <c r="J170" s="24"/>
      <c r="K170" s="24"/>
      <c r="L170" s="25"/>
      <c r="M170" s="25"/>
      <c r="AT170" s="32"/>
    </row>
    <row r="171" spans="9:46" s="22" customFormat="1" x14ac:dyDescent="0.3">
      <c r="I171" s="24"/>
      <c r="J171" s="24"/>
      <c r="K171" s="24"/>
      <c r="L171" s="25"/>
      <c r="M171" s="25"/>
      <c r="AT171" s="32"/>
    </row>
    <row r="172" spans="9:46" s="22" customFormat="1" x14ac:dyDescent="0.3">
      <c r="I172" s="24"/>
      <c r="J172" s="24"/>
      <c r="K172" s="24"/>
      <c r="L172" s="25"/>
      <c r="M172" s="25"/>
      <c r="AT172" s="32"/>
    </row>
    <row r="173" spans="9:46" s="22" customFormat="1" x14ac:dyDescent="0.3">
      <c r="I173" s="24"/>
      <c r="J173" s="24"/>
      <c r="K173" s="24"/>
      <c r="L173" s="25"/>
      <c r="M173" s="25"/>
      <c r="AT173" s="32"/>
    </row>
    <row r="174" spans="9:46" s="22" customFormat="1" x14ac:dyDescent="0.3">
      <c r="I174" s="24"/>
      <c r="J174" s="24"/>
      <c r="K174" s="24"/>
      <c r="L174" s="25"/>
      <c r="M174" s="25"/>
      <c r="AT174" s="32"/>
    </row>
    <row r="175" spans="9:46" s="22" customFormat="1" x14ac:dyDescent="0.3">
      <c r="I175" s="24"/>
      <c r="J175" s="24"/>
      <c r="K175" s="24"/>
      <c r="L175" s="25"/>
      <c r="M175" s="25"/>
      <c r="AT175" s="32"/>
    </row>
    <row r="176" spans="9:46" s="22" customFormat="1" x14ac:dyDescent="0.3">
      <c r="I176" s="24"/>
      <c r="J176" s="24"/>
      <c r="K176" s="24"/>
      <c r="L176" s="25"/>
      <c r="M176" s="25"/>
      <c r="AT176" s="32"/>
    </row>
    <row r="177" spans="1:47" s="22" customFormat="1" x14ac:dyDescent="0.3">
      <c r="I177" s="24"/>
      <c r="J177" s="24"/>
      <c r="K177" s="24"/>
      <c r="L177" s="25"/>
      <c r="M177" s="25"/>
      <c r="AT177" s="32"/>
    </row>
    <row r="178" spans="1:47" s="22" customFormat="1" x14ac:dyDescent="0.3">
      <c r="I178" s="24"/>
      <c r="J178" s="24"/>
      <c r="K178" s="24"/>
      <c r="L178" s="25"/>
      <c r="M178" s="25"/>
      <c r="AT178" s="32"/>
    </row>
    <row r="179" spans="1:47" s="30" customFormat="1" x14ac:dyDescent="0.3">
      <c r="A179" s="22"/>
      <c r="B179" s="22"/>
      <c r="C179" s="22"/>
      <c r="D179" s="22"/>
      <c r="E179" s="22"/>
      <c r="F179" s="22"/>
      <c r="G179" s="22"/>
      <c r="H179" s="22"/>
      <c r="I179" s="24"/>
      <c r="J179" s="24"/>
      <c r="K179" s="24"/>
      <c r="L179" s="25"/>
      <c r="M179" s="25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32"/>
      <c r="AU179" s="22"/>
    </row>
    <row r="180" spans="1:47" s="30" customFormat="1" x14ac:dyDescent="0.3">
      <c r="A180" s="22"/>
      <c r="B180" s="22"/>
      <c r="C180" s="22"/>
      <c r="D180" s="22"/>
      <c r="E180" s="22"/>
      <c r="F180" s="22"/>
      <c r="G180" s="22"/>
      <c r="H180" s="22"/>
      <c r="I180" s="24"/>
      <c r="J180" s="24"/>
      <c r="K180" s="24"/>
      <c r="L180" s="25"/>
      <c r="M180" s="25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32"/>
      <c r="AU180" s="22"/>
    </row>
    <row r="181" spans="1:47" s="30" customFormat="1" x14ac:dyDescent="0.3">
      <c r="A181" s="22"/>
      <c r="B181" s="22"/>
      <c r="C181" s="22"/>
      <c r="D181" s="22"/>
      <c r="E181" s="22"/>
      <c r="F181" s="22"/>
      <c r="G181" s="22"/>
      <c r="H181" s="22"/>
      <c r="I181" s="24"/>
      <c r="J181" s="24"/>
      <c r="K181" s="24"/>
      <c r="L181" s="25"/>
      <c r="M181" s="25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32"/>
      <c r="AU181" s="22"/>
    </row>
    <row r="182" spans="1:47" s="30" customFormat="1" x14ac:dyDescent="0.3">
      <c r="A182" s="22"/>
      <c r="B182" s="22"/>
      <c r="C182" s="22"/>
      <c r="D182" s="22"/>
      <c r="E182" s="22"/>
      <c r="F182" s="22"/>
      <c r="G182" s="22"/>
      <c r="H182" s="22"/>
      <c r="I182" s="24"/>
      <c r="J182" s="24"/>
      <c r="K182" s="24"/>
      <c r="L182" s="25"/>
      <c r="M182" s="25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32"/>
      <c r="AU182" s="22"/>
    </row>
    <row r="183" spans="1:47" s="30" customFormat="1" x14ac:dyDescent="0.3">
      <c r="A183" s="22"/>
      <c r="B183" s="22"/>
      <c r="C183" s="22"/>
      <c r="D183" s="22"/>
      <c r="E183" s="22"/>
      <c r="F183" s="22"/>
      <c r="G183" s="22"/>
      <c r="H183" s="22"/>
      <c r="I183" s="24"/>
      <c r="J183" s="24"/>
      <c r="K183" s="24"/>
      <c r="L183" s="25"/>
      <c r="M183" s="25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32"/>
      <c r="AU183" s="22"/>
    </row>
    <row r="184" spans="1:47" s="30" customFormat="1" x14ac:dyDescent="0.3">
      <c r="A184" s="22"/>
      <c r="B184" s="22"/>
      <c r="C184" s="22"/>
      <c r="D184" s="22"/>
      <c r="E184" s="22"/>
      <c r="F184" s="22"/>
      <c r="G184" s="22"/>
      <c r="H184" s="22"/>
      <c r="I184" s="24"/>
      <c r="J184" s="24"/>
      <c r="K184" s="24"/>
      <c r="L184" s="25"/>
      <c r="M184" s="25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32"/>
      <c r="AU184" s="22"/>
    </row>
    <row r="185" spans="1:47" s="30" customFormat="1" x14ac:dyDescent="0.3">
      <c r="A185" s="22"/>
      <c r="B185" s="22"/>
      <c r="C185" s="22"/>
      <c r="D185" s="22"/>
      <c r="E185" s="22"/>
      <c r="F185" s="22"/>
      <c r="G185" s="22"/>
      <c r="H185" s="22"/>
      <c r="I185" s="24"/>
      <c r="J185" s="24"/>
      <c r="K185" s="24"/>
      <c r="L185" s="25"/>
      <c r="M185" s="25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32"/>
      <c r="AU185" s="22"/>
    </row>
    <row r="186" spans="1:47" s="30" customFormat="1" x14ac:dyDescent="0.3">
      <c r="A186" s="22"/>
      <c r="B186" s="22"/>
      <c r="C186" s="22"/>
      <c r="D186" s="22"/>
      <c r="E186" s="22"/>
      <c r="F186" s="22"/>
      <c r="G186" s="22"/>
      <c r="H186" s="22"/>
      <c r="I186" s="24"/>
      <c r="J186" s="24"/>
      <c r="K186" s="24"/>
      <c r="L186" s="25"/>
      <c r="M186" s="25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32"/>
      <c r="AU186" s="22"/>
    </row>
    <row r="187" spans="1:47" s="30" customFormat="1" x14ac:dyDescent="0.3">
      <c r="A187" s="22"/>
      <c r="B187" s="22"/>
      <c r="C187" s="22"/>
      <c r="D187" s="22"/>
      <c r="E187" s="22"/>
      <c r="F187" s="22"/>
      <c r="G187" s="22"/>
      <c r="H187" s="22"/>
      <c r="I187" s="24"/>
      <c r="J187" s="24"/>
      <c r="K187" s="24"/>
      <c r="L187" s="25"/>
      <c r="M187" s="25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32"/>
      <c r="AU187" s="22"/>
    </row>
    <row r="188" spans="1:47" s="30" customFormat="1" x14ac:dyDescent="0.3">
      <c r="A188" s="22"/>
      <c r="B188" s="22"/>
      <c r="C188" s="22"/>
      <c r="D188" s="22"/>
      <c r="E188" s="22"/>
      <c r="F188" s="22"/>
      <c r="G188" s="22"/>
      <c r="H188" s="22"/>
      <c r="I188" s="24"/>
      <c r="J188" s="24"/>
      <c r="K188" s="24"/>
      <c r="L188" s="25"/>
      <c r="M188" s="25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32"/>
      <c r="AU188" s="22"/>
    </row>
    <row r="189" spans="1:47" s="30" customFormat="1" x14ac:dyDescent="0.3">
      <c r="A189" s="22"/>
      <c r="B189" s="22"/>
      <c r="C189" s="22"/>
      <c r="D189" s="22"/>
      <c r="E189" s="22"/>
      <c r="F189" s="22"/>
      <c r="G189" s="22"/>
      <c r="H189" s="22"/>
      <c r="I189" s="24"/>
      <c r="J189" s="24"/>
      <c r="K189" s="24"/>
      <c r="L189" s="25"/>
      <c r="M189" s="25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32"/>
      <c r="AU189" s="22"/>
    </row>
    <row r="190" spans="1:47" s="30" customFormat="1" x14ac:dyDescent="0.3">
      <c r="A190" s="22"/>
      <c r="B190" s="22"/>
      <c r="C190" s="22"/>
      <c r="D190" s="22"/>
      <c r="E190" s="22"/>
      <c r="F190" s="22"/>
      <c r="G190" s="22"/>
      <c r="H190" s="22"/>
      <c r="I190" s="27"/>
      <c r="J190" s="27"/>
      <c r="K190" s="27"/>
      <c r="L190" s="25"/>
      <c r="M190" s="25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32"/>
      <c r="AU190" s="22"/>
    </row>
    <row r="191" spans="1:47" s="30" customFormat="1" x14ac:dyDescent="0.3">
      <c r="A191" s="22"/>
      <c r="B191" s="22"/>
      <c r="C191" s="22"/>
      <c r="D191" s="22"/>
      <c r="E191" s="22"/>
      <c r="F191" s="22"/>
      <c r="G191" s="22"/>
      <c r="H191" s="22"/>
      <c r="I191" s="27"/>
      <c r="J191" s="27"/>
      <c r="K191" s="27"/>
      <c r="L191" s="25"/>
      <c r="M191" s="25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32"/>
      <c r="AU191" s="22"/>
    </row>
    <row r="192" spans="1:47" s="30" customFormat="1" x14ac:dyDescent="0.3">
      <c r="A192" s="22"/>
      <c r="B192" s="22"/>
      <c r="C192" s="22"/>
      <c r="D192" s="22"/>
      <c r="E192" s="22"/>
      <c r="F192" s="22"/>
      <c r="G192" s="22"/>
      <c r="H192" s="22"/>
      <c r="I192" s="27"/>
      <c r="J192" s="27"/>
      <c r="K192" s="27"/>
      <c r="L192" s="28"/>
      <c r="M192" s="25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32"/>
      <c r="AU192" s="22"/>
    </row>
    <row r="193" spans="1:47" s="30" customFormat="1" x14ac:dyDescent="0.3">
      <c r="A193" s="22"/>
      <c r="B193" s="22"/>
      <c r="C193" s="22"/>
      <c r="D193" s="22"/>
      <c r="E193" s="22"/>
      <c r="F193" s="22"/>
      <c r="G193" s="22"/>
      <c r="H193" s="22"/>
      <c r="I193" s="27"/>
      <c r="J193" s="27"/>
      <c r="K193" s="27"/>
      <c r="L193" s="28"/>
      <c r="M193" s="25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32"/>
      <c r="AU193" s="22"/>
    </row>
    <row r="194" spans="1:47" s="30" customFormat="1" x14ac:dyDescent="0.3">
      <c r="A194" s="22"/>
      <c r="B194" s="22"/>
      <c r="C194" s="22"/>
      <c r="D194" s="22"/>
      <c r="E194" s="22"/>
      <c r="F194" s="22"/>
      <c r="G194" s="22"/>
      <c r="H194" s="22"/>
      <c r="I194" s="27"/>
      <c r="J194" s="27"/>
      <c r="K194" s="27"/>
      <c r="L194" s="28"/>
      <c r="M194" s="25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32"/>
      <c r="AU194" s="22"/>
    </row>
    <row r="195" spans="1:47" s="30" customFormat="1" x14ac:dyDescent="0.3">
      <c r="A195" s="22"/>
      <c r="B195" s="22"/>
      <c r="C195" s="22"/>
      <c r="D195" s="22"/>
      <c r="E195" s="22"/>
      <c r="F195" s="22"/>
      <c r="G195" s="22"/>
      <c r="H195" s="22"/>
      <c r="I195" s="27"/>
      <c r="J195" s="27"/>
      <c r="K195" s="27"/>
      <c r="L195" s="28"/>
      <c r="M195" s="25"/>
      <c r="N195" s="26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32"/>
      <c r="AU195" s="22"/>
    </row>
    <row r="196" spans="1:47" x14ac:dyDescent="0.3">
      <c r="A196" s="22"/>
      <c r="B196" s="22"/>
      <c r="C196" s="22"/>
      <c r="D196" s="22"/>
      <c r="E196" s="22"/>
      <c r="F196" s="22"/>
      <c r="G196" s="22"/>
      <c r="H196" s="22"/>
      <c r="I196" s="27"/>
      <c r="J196" s="27"/>
      <c r="K196" s="27"/>
      <c r="L196" s="28"/>
      <c r="M196" s="25"/>
      <c r="N196" s="26"/>
      <c r="AT196" s="29"/>
      <c r="AU196" s="29"/>
    </row>
    <row r="197" spans="1:47" x14ac:dyDescent="0.3">
      <c r="A197" s="22"/>
      <c r="B197" s="22"/>
      <c r="C197" s="22"/>
      <c r="D197" s="22"/>
      <c r="E197" s="22"/>
      <c r="F197" s="22"/>
      <c r="G197" s="22"/>
      <c r="H197" s="22"/>
      <c r="I197" s="27"/>
      <c r="J197" s="27"/>
      <c r="K197" s="27"/>
      <c r="L197" s="28"/>
      <c r="M197" s="28"/>
      <c r="N197" s="26"/>
      <c r="AT197" s="29"/>
      <c r="AU197" s="29"/>
    </row>
    <row r="198" spans="1:47" x14ac:dyDescent="0.3">
      <c r="A198" s="22"/>
      <c r="B198" s="22"/>
      <c r="C198" s="22"/>
      <c r="D198" s="22"/>
      <c r="E198" s="22"/>
      <c r="F198" s="22"/>
      <c r="G198" s="22"/>
      <c r="H198" s="22"/>
      <c r="I198" s="27"/>
      <c r="J198" s="27"/>
      <c r="K198" s="27"/>
      <c r="L198" s="28"/>
      <c r="M198" s="28"/>
      <c r="N198" s="26"/>
      <c r="AT198" s="29"/>
      <c r="AU198" s="29"/>
    </row>
    <row r="199" spans="1:47" x14ac:dyDescent="0.3">
      <c r="A199" s="22"/>
      <c r="B199" s="22"/>
      <c r="C199" s="22"/>
      <c r="D199" s="22"/>
      <c r="E199" s="22"/>
      <c r="F199" s="22"/>
      <c r="G199" s="22"/>
      <c r="H199" s="22"/>
      <c r="I199" s="27"/>
      <c r="J199" s="27"/>
      <c r="K199" s="27"/>
      <c r="L199" s="28"/>
      <c r="M199" s="28"/>
      <c r="N199" s="26"/>
      <c r="AT199" s="29"/>
      <c r="AU199" s="29"/>
    </row>
    <row r="200" spans="1:47" x14ac:dyDescent="0.3">
      <c r="A200" s="26"/>
      <c r="B200" s="26"/>
      <c r="C200" s="26"/>
      <c r="D200" s="26"/>
      <c r="E200" s="26"/>
      <c r="F200" s="26"/>
      <c r="G200" s="26"/>
      <c r="H200" s="26"/>
      <c r="I200" s="27"/>
      <c r="J200" s="27"/>
      <c r="K200" s="27"/>
      <c r="L200" s="28"/>
      <c r="M200" s="28"/>
      <c r="N200" s="26"/>
      <c r="AT200" s="29"/>
      <c r="AU200" s="29"/>
    </row>
    <row r="201" spans="1:47" x14ac:dyDescent="0.3">
      <c r="A201" s="26"/>
      <c r="B201" s="26"/>
      <c r="C201" s="26"/>
      <c r="D201" s="26"/>
      <c r="E201" s="26"/>
      <c r="F201" s="26"/>
      <c r="G201" s="26"/>
      <c r="H201" s="26"/>
      <c r="I201" s="27"/>
      <c r="J201" s="27"/>
      <c r="K201" s="27"/>
      <c r="L201" s="28"/>
      <c r="M201" s="28"/>
      <c r="N201" s="26"/>
      <c r="AT201" s="29"/>
      <c r="AU201" s="29"/>
    </row>
    <row r="202" spans="1:47" x14ac:dyDescent="0.3">
      <c r="A202" s="26"/>
      <c r="B202" s="26"/>
      <c r="C202" s="26"/>
      <c r="D202" s="26"/>
      <c r="E202" s="26"/>
      <c r="F202" s="26"/>
      <c r="G202" s="26"/>
      <c r="H202" s="26"/>
      <c r="I202" s="27"/>
      <c r="J202" s="27"/>
      <c r="K202" s="27"/>
      <c r="L202" s="28"/>
      <c r="M202" s="28"/>
      <c r="N202" s="26"/>
      <c r="AT202" s="29"/>
      <c r="AU202" s="29"/>
    </row>
    <row r="203" spans="1:47" x14ac:dyDescent="0.3">
      <c r="A203" s="26"/>
      <c r="B203" s="26"/>
      <c r="C203" s="26"/>
      <c r="D203" s="26"/>
      <c r="E203" s="26"/>
      <c r="F203" s="26"/>
      <c r="G203" s="26"/>
      <c r="H203" s="26"/>
      <c r="I203" s="27"/>
      <c r="J203" s="27"/>
      <c r="K203" s="27"/>
      <c r="L203" s="28"/>
      <c r="M203" s="28"/>
      <c r="N203" s="26"/>
      <c r="AT203" s="29"/>
      <c r="AU203" s="29"/>
    </row>
    <row r="204" spans="1:47" x14ac:dyDescent="0.3">
      <c r="A204" s="26"/>
      <c r="B204" s="26"/>
      <c r="C204" s="26"/>
      <c r="D204" s="26"/>
      <c r="E204" s="26"/>
      <c r="F204" s="26"/>
      <c r="G204" s="26"/>
      <c r="H204" s="26"/>
      <c r="I204" s="27"/>
      <c r="J204" s="27"/>
      <c r="K204" s="27"/>
      <c r="L204" s="28"/>
      <c r="M204" s="28"/>
      <c r="N204" s="26"/>
      <c r="AT204" s="29"/>
      <c r="AU204" s="29"/>
    </row>
    <row r="205" spans="1:47" x14ac:dyDescent="0.3">
      <c r="A205" s="26"/>
      <c r="B205" s="26"/>
      <c r="C205" s="26"/>
      <c r="D205" s="26"/>
      <c r="E205" s="26"/>
      <c r="F205" s="26"/>
      <c r="G205" s="26"/>
      <c r="H205" s="26"/>
      <c r="I205" s="27"/>
      <c r="J205" s="27"/>
      <c r="K205" s="27"/>
      <c r="L205" s="28"/>
      <c r="M205" s="28"/>
      <c r="N205" s="26"/>
      <c r="AT205" s="29"/>
      <c r="AU205" s="29"/>
    </row>
    <row r="206" spans="1:47" x14ac:dyDescent="0.3">
      <c r="A206" s="26"/>
      <c r="B206" s="26"/>
      <c r="C206" s="26"/>
      <c r="D206" s="26"/>
      <c r="E206" s="26"/>
      <c r="F206" s="26"/>
      <c r="G206" s="26"/>
      <c r="H206" s="26"/>
      <c r="I206" s="27"/>
      <c r="J206" s="27"/>
      <c r="K206" s="27"/>
      <c r="L206" s="28"/>
      <c r="M206" s="28"/>
      <c r="N206" s="26"/>
      <c r="AT206" s="29"/>
      <c r="AU206" s="29"/>
    </row>
    <row r="207" spans="1:47" x14ac:dyDescent="0.3">
      <c r="A207" s="26"/>
      <c r="B207" s="26"/>
      <c r="C207" s="26"/>
      <c r="D207" s="26"/>
      <c r="E207" s="26"/>
      <c r="F207" s="26"/>
      <c r="G207" s="26"/>
      <c r="H207" s="26"/>
      <c r="L207" s="28"/>
      <c r="M207" s="28"/>
      <c r="AT207" s="29"/>
      <c r="AU207" s="29"/>
    </row>
    <row r="208" spans="1:47" x14ac:dyDescent="0.3">
      <c r="A208" s="26"/>
      <c r="B208" s="26"/>
      <c r="C208" s="26"/>
      <c r="D208" s="26"/>
      <c r="E208" s="26"/>
      <c r="F208" s="26"/>
      <c r="G208" s="26"/>
      <c r="H208" s="26"/>
      <c r="L208" s="28"/>
      <c r="M208" s="28"/>
    </row>
    <row r="209" spans="1:47" x14ac:dyDescent="0.3">
      <c r="A209" s="26"/>
      <c r="B209" s="26"/>
      <c r="C209" s="26"/>
      <c r="D209" s="26"/>
      <c r="E209" s="26"/>
      <c r="F209" s="26"/>
      <c r="G209" s="26"/>
      <c r="H209" s="26"/>
      <c r="M209" s="28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29"/>
      <c r="AU209" s="29"/>
    </row>
    <row r="210" spans="1:47" x14ac:dyDescent="0.3">
      <c r="A210" s="26"/>
      <c r="B210" s="26"/>
      <c r="C210" s="26"/>
      <c r="D210" s="26"/>
      <c r="E210" s="26"/>
      <c r="F210" s="26"/>
      <c r="G210" s="26"/>
      <c r="H210" s="26"/>
      <c r="M210" s="28"/>
    </row>
    <row r="211" spans="1:47" x14ac:dyDescent="0.3">
      <c r="A211" s="26"/>
      <c r="B211" s="26"/>
      <c r="C211" s="26"/>
      <c r="D211" s="26"/>
      <c r="E211" s="26"/>
      <c r="F211" s="26"/>
      <c r="G211" s="26"/>
      <c r="H211" s="26"/>
      <c r="M211" s="28"/>
    </row>
    <row r="212" spans="1:47" x14ac:dyDescent="0.3">
      <c r="A212" s="26"/>
      <c r="B212" s="26"/>
      <c r="C212" s="26"/>
      <c r="D212" s="26"/>
      <c r="E212" s="26"/>
      <c r="F212" s="26"/>
      <c r="G212" s="26"/>
      <c r="H212" s="26"/>
      <c r="M212" s="28"/>
    </row>
    <row r="213" spans="1:47" x14ac:dyDescent="0.3">
      <c r="A213" s="26"/>
      <c r="B213" s="26"/>
      <c r="C213" s="26"/>
      <c r="D213" s="26"/>
      <c r="E213" s="26"/>
      <c r="F213" s="26"/>
      <c r="G213" s="26"/>
      <c r="H213" s="26"/>
      <c r="L213" s="29"/>
      <c r="M213" s="28"/>
    </row>
    <row r="214" spans="1:47" x14ac:dyDescent="0.3">
      <c r="A214" s="26"/>
      <c r="B214" s="26"/>
      <c r="C214" s="26"/>
      <c r="D214" s="26"/>
      <c r="E214" s="26"/>
      <c r="F214" s="26"/>
      <c r="G214" s="26"/>
      <c r="H214" s="26"/>
    </row>
    <row r="215" spans="1:47" x14ac:dyDescent="0.3">
      <c r="A215" s="26"/>
      <c r="B215" s="26"/>
      <c r="C215" s="26"/>
      <c r="D215" s="26"/>
      <c r="E215" s="26"/>
      <c r="F215" s="26"/>
      <c r="G215" s="26"/>
      <c r="H215" s="26"/>
    </row>
    <row r="216" spans="1:47" x14ac:dyDescent="0.3">
      <c r="A216" s="26"/>
      <c r="B216" s="26"/>
      <c r="C216" s="26"/>
      <c r="D216" s="26"/>
      <c r="E216" s="26"/>
      <c r="F216" s="26"/>
      <c r="G216" s="26"/>
      <c r="H216" s="26"/>
    </row>
    <row r="220" spans="1:47" x14ac:dyDescent="0.3">
      <c r="I220" s="29"/>
      <c r="J220" s="29"/>
      <c r="K220" s="29"/>
    </row>
    <row r="1048551" spans="14:14" x14ac:dyDescent="0.3">
      <c r="N1048551" s="65"/>
    </row>
  </sheetData>
  <mergeCells count="36">
    <mergeCell ref="L60:M60"/>
    <mergeCell ref="L61:N61"/>
    <mergeCell ref="L62:N62"/>
    <mergeCell ref="L63:N63"/>
    <mergeCell ref="L64:M64"/>
    <mergeCell ref="L47:M47"/>
    <mergeCell ref="L53:M53"/>
    <mergeCell ref="L54:M54"/>
    <mergeCell ref="L55:M55"/>
    <mergeCell ref="L50:M50"/>
    <mergeCell ref="L51:M51"/>
    <mergeCell ref="L56:M56"/>
    <mergeCell ref="L57:M57"/>
    <mergeCell ref="L58:M58"/>
    <mergeCell ref="L59:M59"/>
    <mergeCell ref="L48:M48"/>
    <mergeCell ref="L52:M52"/>
    <mergeCell ref="L49:M49"/>
    <mergeCell ref="L41:M41"/>
    <mergeCell ref="L42:N43"/>
    <mergeCell ref="L44:N44"/>
    <mergeCell ref="L45:M45"/>
    <mergeCell ref="L46:M46"/>
    <mergeCell ref="L40:M40"/>
    <mergeCell ref="A1:N1"/>
    <mergeCell ref="A2:N2"/>
    <mergeCell ref="A31:B31"/>
    <mergeCell ref="A32:N32"/>
    <mergeCell ref="D33:H33"/>
    <mergeCell ref="D34:H34"/>
    <mergeCell ref="D35:H35"/>
    <mergeCell ref="A37:H37"/>
    <mergeCell ref="A38:N38"/>
    <mergeCell ref="A39:F39"/>
    <mergeCell ref="L39:N39"/>
    <mergeCell ref="D36:H36"/>
  </mergeCells>
  <pageMargins left="0" right="0" top="0" bottom="0" header="0.31496062992125984" footer="0.31496062992125984"/>
  <pageSetup paperSize="9" scale="1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1A1CB-6033-4316-A635-3682FD9A8FC1}">
  <dimension ref="A1:BF1048552"/>
  <sheetViews>
    <sheetView zoomScale="60" zoomScaleNormal="60" workbookViewId="0">
      <selection activeCell="A28" sqref="A28:XFD28"/>
    </sheetView>
  </sheetViews>
  <sheetFormatPr defaultColWidth="9.109375" defaultRowHeight="13.8" x14ac:dyDescent="0.3"/>
  <cols>
    <col min="1" max="1" width="23.109375" style="29" customWidth="1"/>
    <col min="2" max="2" width="12" style="29" bestFit="1" customWidth="1"/>
    <col min="3" max="3" width="18" style="29" bestFit="1" customWidth="1"/>
    <col min="4" max="4" width="19" style="29" customWidth="1"/>
    <col min="5" max="5" width="18.44140625" style="29" customWidth="1"/>
    <col min="6" max="6" width="17.6640625" style="29" bestFit="1" customWidth="1"/>
    <col min="7" max="7" width="17" style="29" customWidth="1"/>
    <col min="8" max="8" width="20.33203125" style="29" customWidth="1"/>
    <col min="9" max="9" width="19.109375" style="31" bestFit="1" customWidth="1"/>
    <col min="10" max="10" width="17.109375" style="31" bestFit="1" customWidth="1"/>
    <col min="11" max="11" width="18" style="31" bestFit="1" customWidth="1"/>
    <col min="12" max="12" width="106.88671875" style="31" bestFit="1" customWidth="1"/>
    <col min="13" max="13" width="9.5546875" style="31" customWidth="1"/>
    <col min="14" max="14" width="17.5546875" style="29" bestFit="1" customWidth="1"/>
    <col min="15" max="15" width="10.5546875" style="22" bestFit="1" customWidth="1"/>
    <col min="16" max="45" width="9.109375" style="22"/>
    <col min="46" max="47" width="9.109375" style="32"/>
    <col min="48" max="16384" width="9.109375" style="29"/>
  </cols>
  <sheetData>
    <row r="1" spans="1:47" s="10" customFormat="1" ht="29.25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47" s="52" customFormat="1" ht="29.25" customHeight="1" x14ac:dyDescent="0.3">
      <c r="A2" s="521" t="s">
        <v>230</v>
      </c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1"/>
      <c r="AH2" s="11"/>
      <c r="AI2" s="11"/>
      <c r="AJ2" s="11"/>
      <c r="AK2" s="11"/>
      <c r="AL2" s="11"/>
      <c r="AM2" s="11"/>
    </row>
    <row r="3" spans="1:47" s="11" customFormat="1" ht="27.6" x14ac:dyDescent="0.3">
      <c r="A3" s="83" t="s">
        <v>3</v>
      </c>
      <c r="B3" s="83" t="s">
        <v>0</v>
      </c>
      <c r="C3" s="84" t="s">
        <v>1</v>
      </c>
      <c r="D3" s="84" t="s">
        <v>68</v>
      </c>
      <c r="E3" s="84" t="s">
        <v>69</v>
      </c>
      <c r="F3" s="85" t="s">
        <v>2</v>
      </c>
      <c r="G3" s="84" t="s">
        <v>6</v>
      </c>
      <c r="H3" s="84" t="s">
        <v>7</v>
      </c>
      <c r="I3" s="84" t="s">
        <v>4</v>
      </c>
      <c r="J3" s="84" t="s">
        <v>5</v>
      </c>
      <c r="K3" s="84" t="s">
        <v>70</v>
      </c>
      <c r="L3" s="83" t="s">
        <v>59</v>
      </c>
      <c r="M3" s="86" t="s">
        <v>8</v>
      </c>
      <c r="N3" s="86" t="s">
        <v>10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</row>
    <row r="4" spans="1:47" s="15" customFormat="1" ht="14.25" customHeight="1" x14ac:dyDescent="0.3">
      <c r="A4" s="88" t="s">
        <v>132</v>
      </c>
      <c r="B4" s="90">
        <v>1</v>
      </c>
      <c r="C4" s="2">
        <v>0</v>
      </c>
      <c r="D4" s="2">
        <f>10%*C4</f>
        <v>0</v>
      </c>
      <c r="E4" s="2">
        <f>C4-D4</f>
        <v>0</v>
      </c>
      <c r="F4" s="5">
        <v>0</v>
      </c>
      <c r="G4" s="2">
        <v>0</v>
      </c>
      <c r="H4" s="2">
        <v>0</v>
      </c>
      <c r="I4" s="109">
        <f>SUM(E4:H4)</f>
        <v>0</v>
      </c>
      <c r="J4" s="2">
        <f>7%*I4</f>
        <v>0</v>
      </c>
      <c r="K4" s="2">
        <f>I4-J4</f>
        <v>0</v>
      </c>
      <c r="L4" s="47" t="s">
        <v>179</v>
      </c>
      <c r="M4" s="3">
        <v>10</v>
      </c>
      <c r="N4" s="3">
        <v>11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</row>
    <row r="5" spans="1:47" s="50" customFormat="1" x14ac:dyDescent="0.3">
      <c r="A5" s="90"/>
      <c r="B5" s="4">
        <v>2</v>
      </c>
      <c r="C5" s="5"/>
      <c r="D5" s="5"/>
      <c r="E5" s="5"/>
      <c r="F5" s="5"/>
      <c r="G5" s="5"/>
      <c r="H5" s="5"/>
      <c r="I5" s="109"/>
      <c r="J5" s="2">
        <f t="shared" ref="J5:J11" si="0">7%*I5</f>
        <v>0</v>
      </c>
      <c r="K5" s="2"/>
      <c r="L5" s="90"/>
      <c r="M5" s="3"/>
      <c r="N5" s="3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16"/>
      <c r="AK5" s="17"/>
      <c r="AL5" s="17"/>
      <c r="AM5" s="17"/>
      <c r="AN5" s="17"/>
      <c r="AO5" s="96"/>
      <c r="AP5" s="96"/>
      <c r="AQ5" s="96"/>
      <c r="AR5" s="96"/>
      <c r="AS5" s="96"/>
      <c r="AT5" s="96"/>
      <c r="AU5" s="96"/>
    </row>
    <row r="6" spans="1:47" s="73" customFormat="1" x14ac:dyDescent="0.3">
      <c r="A6" s="90"/>
      <c r="B6" s="4">
        <v>3</v>
      </c>
      <c r="C6" s="5"/>
      <c r="D6" s="5"/>
      <c r="E6" s="5"/>
      <c r="F6" s="5"/>
      <c r="G6" s="5"/>
      <c r="H6" s="5"/>
      <c r="I6" s="109"/>
      <c r="J6" s="2">
        <f t="shared" si="0"/>
        <v>0</v>
      </c>
      <c r="K6" s="2"/>
      <c r="L6" s="90"/>
      <c r="M6" s="3"/>
      <c r="N6" s="3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6"/>
      <c r="AP6" s="6"/>
      <c r="AQ6" s="6"/>
      <c r="AR6" s="6"/>
      <c r="AS6" s="6"/>
      <c r="AT6" s="6"/>
      <c r="AU6" s="6"/>
    </row>
    <row r="7" spans="1:47" s="51" customFormat="1" x14ac:dyDescent="0.3">
      <c r="A7" s="90"/>
      <c r="B7" s="90">
        <v>4</v>
      </c>
      <c r="C7" s="1"/>
      <c r="D7" s="1"/>
      <c r="E7" s="1"/>
      <c r="F7" s="2"/>
      <c r="G7" s="1"/>
      <c r="H7" s="1"/>
      <c r="I7" s="111"/>
      <c r="J7" s="2">
        <f t="shared" si="0"/>
        <v>0</v>
      </c>
      <c r="K7" s="2"/>
      <c r="L7" s="90"/>
      <c r="M7" s="3"/>
      <c r="N7" s="67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15"/>
      <c r="AP7" s="15"/>
      <c r="AQ7" s="15"/>
      <c r="AR7" s="15"/>
      <c r="AS7" s="15"/>
      <c r="AT7" s="15"/>
      <c r="AU7" s="15"/>
    </row>
    <row r="8" spans="1:47" s="51" customFormat="1" ht="15.75" customHeight="1" x14ac:dyDescent="0.3">
      <c r="A8" s="90"/>
      <c r="B8" s="90">
        <v>5</v>
      </c>
      <c r="C8" s="2"/>
      <c r="D8" s="2"/>
      <c r="E8" s="2"/>
      <c r="F8" s="2"/>
      <c r="G8" s="2"/>
      <c r="H8" s="2"/>
      <c r="I8" s="109"/>
      <c r="J8" s="2">
        <f t="shared" si="0"/>
        <v>0</v>
      </c>
      <c r="K8" s="2"/>
      <c r="L8" s="90"/>
      <c r="M8" s="3"/>
      <c r="N8" s="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15"/>
      <c r="AP8" s="15"/>
      <c r="AQ8" s="15"/>
      <c r="AR8" s="15"/>
      <c r="AS8" s="15"/>
      <c r="AT8" s="15"/>
      <c r="AU8" s="15"/>
    </row>
    <row r="9" spans="1:47" s="52" customFormat="1" x14ac:dyDescent="0.3">
      <c r="A9" s="90"/>
      <c r="B9" s="90">
        <v>6</v>
      </c>
      <c r="C9" s="5"/>
      <c r="D9" s="5"/>
      <c r="E9" s="5"/>
      <c r="F9" s="2"/>
      <c r="G9" s="2"/>
      <c r="H9" s="2"/>
      <c r="I9" s="109"/>
      <c r="J9" s="2">
        <f t="shared" si="0"/>
        <v>0</v>
      </c>
      <c r="K9" s="2"/>
      <c r="L9" s="90"/>
      <c r="M9" s="3"/>
      <c r="N9" s="3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1"/>
      <c r="AP9" s="11"/>
      <c r="AQ9" s="11"/>
      <c r="AR9" s="11"/>
      <c r="AS9" s="11"/>
      <c r="AT9" s="11"/>
      <c r="AU9" s="11"/>
    </row>
    <row r="10" spans="1:47" s="51" customFormat="1" ht="14.25" customHeight="1" x14ac:dyDescent="0.3">
      <c r="A10" s="90"/>
      <c r="B10" s="90">
        <v>7</v>
      </c>
      <c r="C10" s="2"/>
      <c r="D10" s="2"/>
      <c r="E10" s="5"/>
      <c r="F10" s="2"/>
      <c r="G10" s="2"/>
      <c r="H10" s="2"/>
      <c r="I10" s="109"/>
      <c r="J10" s="2">
        <f t="shared" si="0"/>
        <v>0</v>
      </c>
      <c r="K10" s="2"/>
      <c r="L10" s="90"/>
      <c r="M10" s="3"/>
      <c r="N10" s="3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15"/>
      <c r="AP10" s="15"/>
      <c r="AQ10" s="15"/>
      <c r="AR10" s="15"/>
      <c r="AS10" s="15"/>
      <c r="AT10" s="15"/>
      <c r="AU10" s="15"/>
    </row>
    <row r="11" spans="1:47" s="51" customFormat="1" x14ac:dyDescent="0.3">
      <c r="A11" s="90"/>
      <c r="B11" s="90">
        <v>8</v>
      </c>
      <c r="C11" s="2"/>
      <c r="D11" s="2"/>
      <c r="E11" s="5"/>
      <c r="F11" s="2"/>
      <c r="G11" s="2"/>
      <c r="H11" s="2"/>
      <c r="I11" s="109"/>
      <c r="J11" s="2">
        <f t="shared" si="0"/>
        <v>0</v>
      </c>
      <c r="K11" s="2"/>
      <c r="L11" s="90"/>
      <c r="M11" s="3"/>
      <c r="N11" s="3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15"/>
      <c r="AP11" s="15"/>
      <c r="AQ11" s="15"/>
      <c r="AR11" s="15"/>
      <c r="AS11" s="15"/>
      <c r="AT11" s="15"/>
      <c r="AU11" s="15"/>
    </row>
    <row r="12" spans="1:47" s="51" customFormat="1" ht="15.75" customHeight="1" x14ac:dyDescent="0.3">
      <c r="A12" s="95" t="s">
        <v>246</v>
      </c>
      <c r="B12" s="90">
        <v>9</v>
      </c>
      <c r="C12" s="2">
        <f>'GERAL 2022'!G11/31*12</f>
        <v>224.51612903225808</v>
      </c>
      <c r="D12" s="2">
        <v>0</v>
      </c>
      <c r="E12" s="5">
        <f>C12-D12</f>
        <v>224.51612903225808</v>
      </c>
      <c r="F12" s="2">
        <f>75/31*12</f>
        <v>29.032258064516128</v>
      </c>
      <c r="G12" s="2">
        <f>D58/31*12</f>
        <v>1.0981194234728895</v>
      </c>
      <c r="H12" s="2">
        <f>D57</f>
        <v>19.696666666666669</v>
      </c>
      <c r="I12" s="109">
        <f>SUM(E12:H12)</f>
        <v>274.34317318691376</v>
      </c>
      <c r="J12" s="2">
        <f>7%*I12</f>
        <v>19.204022123083966</v>
      </c>
      <c r="K12" s="2">
        <f>I12-J12</f>
        <v>255.13915106382979</v>
      </c>
      <c r="L12" s="90" t="s">
        <v>240</v>
      </c>
      <c r="M12" s="125">
        <v>10</v>
      </c>
      <c r="N12" s="3">
        <v>11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15"/>
      <c r="AP12" s="15"/>
      <c r="AQ12" s="15"/>
      <c r="AR12" s="15"/>
      <c r="AS12" s="15"/>
      <c r="AT12" s="15"/>
      <c r="AU12" s="15"/>
    </row>
    <row r="13" spans="1:47" s="32" customFormat="1" x14ac:dyDescent="0.3">
      <c r="A13" s="67" t="s">
        <v>92</v>
      </c>
      <c r="B13" s="67">
        <v>10</v>
      </c>
      <c r="C13" s="2">
        <f>'GERAL 2022'!G12</f>
        <v>600</v>
      </c>
      <c r="D13" s="2">
        <f>10%*C13</f>
        <v>60</v>
      </c>
      <c r="E13" s="5">
        <f>C13-D13</f>
        <v>540</v>
      </c>
      <c r="F13" s="2">
        <v>0</v>
      </c>
      <c r="G13" s="2">
        <f>D60</f>
        <v>2.8368085106382979</v>
      </c>
      <c r="H13" s="2">
        <v>0</v>
      </c>
      <c r="I13" s="109">
        <f>SUM(E13:H13)</f>
        <v>542.83680851063832</v>
      </c>
      <c r="J13" s="2">
        <f>7%*I13</f>
        <v>37.998576595744687</v>
      </c>
      <c r="K13" s="2">
        <f>I13-J13</f>
        <v>504.83823191489364</v>
      </c>
      <c r="L13" s="47" t="s">
        <v>234</v>
      </c>
      <c r="M13" s="3">
        <v>10</v>
      </c>
      <c r="N13" s="67">
        <v>11</v>
      </c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69"/>
      <c r="AU13" s="69"/>
    </row>
    <row r="14" spans="1:47" s="32" customFormat="1" x14ac:dyDescent="0.3">
      <c r="A14" s="67"/>
      <c r="B14" s="67">
        <v>11</v>
      </c>
      <c r="C14" s="2"/>
      <c r="D14" s="2"/>
      <c r="E14" s="5"/>
      <c r="F14" s="2"/>
      <c r="G14" s="2"/>
      <c r="H14" s="2"/>
      <c r="I14" s="109"/>
      <c r="J14" s="2">
        <f t="shared" ref="J14:J30" si="1">7%*I14</f>
        <v>0</v>
      </c>
      <c r="K14" s="2"/>
      <c r="L14" s="47"/>
      <c r="M14" s="3"/>
      <c r="N14" s="67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69"/>
      <c r="AU14" s="69"/>
    </row>
    <row r="15" spans="1:47" s="51" customFormat="1" x14ac:dyDescent="0.3">
      <c r="A15" s="90"/>
      <c r="B15" s="90">
        <v>12</v>
      </c>
      <c r="C15" s="2"/>
      <c r="D15" s="2"/>
      <c r="E15" s="5"/>
      <c r="F15" s="5"/>
      <c r="G15" s="5"/>
      <c r="H15" s="5"/>
      <c r="I15" s="109"/>
      <c r="J15" s="2">
        <f t="shared" si="1"/>
        <v>0</v>
      </c>
      <c r="K15" s="2"/>
      <c r="L15" s="90"/>
      <c r="M15" s="3"/>
      <c r="N15" s="3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15"/>
      <c r="AP15" s="15"/>
      <c r="AQ15" s="15"/>
      <c r="AR15" s="15"/>
      <c r="AS15" s="15"/>
      <c r="AT15" s="15"/>
      <c r="AU15" s="15"/>
    </row>
    <row r="16" spans="1:47" s="32" customFormat="1" x14ac:dyDescent="0.3">
      <c r="A16" s="67"/>
      <c r="B16" s="67">
        <v>13</v>
      </c>
      <c r="C16" s="2"/>
      <c r="D16" s="2"/>
      <c r="E16" s="5"/>
      <c r="F16" s="2"/>
      <c r="G16" s="2"/>
      <c r="H16" s="2"/>
      <c r="I16" s="109"/>
      <c r="J16" s="2">
        <f t="shared" si="1"/>
        <v>0</v>
      </c>
      <c r="K16" s="2"/>
      <c r="L16" s="90"/>
      <c r="M16" s="3"/>
      <c r="N16" s="67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69"/>
      <c r="AU16" s="69"/>
    </row>
    <row r="17" spans="1:47" s="32" customFormat="1" x14ac:dyDescent="0.3">
      <c r="A17" s="67"/>
      <c r="B17" s="67">
        <v>14</v>
      </c>
      <c r="C17" s="2"/>
      <c r="D17" s="2"/>
      <c r="E17" s="5"/>
      <c r="F17" s="2"/>
      <c r="G17" s="2"/>
      <c r="H17" s="2"/>
      <c r="I17" s="109"/>
      <c r="J17" s="2">
        <f t="shared" si="1"/>
        <v>0</v>
      </c>
      <c r="K17" s="2"/>
      <c r="L17" s="90"/>
      <c r="M17" s="3"/>
      <c r="N17" s="67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69"/>
      <c r="AU17" s="69"/>
    </row>
    <row r="18" spans="1:47" s="32" customFormat="1" x14ac:dyDescent="0.3">
      <c r="A18" s="67" t="s">
        <v>141</v>
      </c>
      <c r="B18" s="67">
        <v>15</v>
      </c>
      <c r="C18" s="2">
        <v>730</v>
      </c>
      <c r="D18" s="2">
        <v>60</v>
      </c>
      <c r="E18" s="5">
        <f>(C18-D18)</f>
        <v>670</v>
      </c>
      <c r="F18" s="2">
        <f>50</f>
        <v>50</v>
      </c>
      <c r="G18" s="2">
        <f>D70</f>
        <v>3.9715319148936166</v>
      </c>
      <c r="H18" s="2">
        <f>D69</f>
        <v>19.989999999999998</v>
      </c>
      <c r="I18" s="109">
        <f>SUM(E18:H18)</f>
        <v>743.96153191489361</v>
      </c>
      <c r="J18" s="2">
        <f t="shared" si="1"/>
        <v>52.077307234042557</v>
      </c>
      <c r="K18" s="2">
        <f>I18-J18</f>
        <v>691.88422468085105</v>
      </c>
      <c r="L18" s="90" t="s">
        <v>235</v>
      </c>
      <c r="M18" s="3">
        <v>10</v>
      </c>
      <c r="N18" s="67">
        <v>11</v>
      </c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69"/>
      <c r="AU18" s="69"/>
    </row>
    <row r="19" spans="1:47" s="52" customFormat="1" x14ac:dyDescent="0.3">
      <c r="A19" s="3" t="s">
        <v>100</v>
      </c>
      <c r="B19" s="3">
        <v>16</v>
      </c>
      <c r="C19" s="2">
        <f>'GERAL 2022'!G18</f>
        <v>640</v>
      </c>
      <c r="D19" s="2">
        <f>10%*C19</f>
        <v>64</v>
      </c>
      <c r="E19" s="5">
        <f>C19-D19</f>
        <v>576</v>
      </c>
      <c r="F19" s="2">
        <f>60</f>
        <v>60</v>
      </c>
      <c r="G19" s="2">
        <f>D72</f>
        <v>2.8368085106382979</v>
      </c>
      <c r="H19" s="2">
        <v>0</v>
      </c>
      <c r="I19" s="109">
        <f>SUM(E19:H19)</f>
        <v>638.83680851063832</v>
      </c>
      <c r="J19" s="2">
        <f t="shared" si="1"/>
        <v>44.718576595744686</v>
      </c>
      <c r="K19" s="2">
        <f>I19-J19</f>
        <v>594.11823191489361</v>
      </c>
      <c r="L19" s="90" t="s">
        <v>231</v>
      </c>
      <c r="M19" s="3">
        <v>10</v>
      </c>
      <c r="N19" s="3">
        <v>11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1"/>
      <c r="AP19" s="11"/>
      <c r="AQ19" s="11"/>
      <c r="AR19" s="11"/>
      <c r="AS19" s="11"/>
      <c r="AT19" s="11"/>
      <c r="AU19" s="11"/>
    </row>
    <row r="20" spans="1:47" s="52" customFormat="1" x14ac:dyDescent="0.3">
      <c r="A20" s="88" t="s">
        <v>119</v>
      </c>
      <c r="B20" s="88">
        <v>17</v>
      </c>
      <c r="C20" s="2">
        <f>'GERAL 2022'!G19</f>
        <v>640</v>
      </c>
      <c r="D20" s="2">
        <f>10%*C20</f>
        <v>64</v>
      </c>
      <c r="E20" s="5">
        <f>(C20-D20)</f>
        <v>576</v>
      </c>
      <c r="F20" s="2">
        <v>0</v>
      </c>
      <c r="G20" s="2">
        <f>D74</f>
        <v>2.8368085106382979</v>
      </c>
      <c r="H20" s="2">
        <v>0</v>
      </c>
      <c r="I20" s="109">
        <f>SUM(E20:H20)</f>
        <v>578.83680851063832</v>
      </c>
      <c r="J20" s="2">
        <f t="shared" si="1"/>
        <v>40.518576595744683</v>
      </c>
      <c r="K20" s="2">
        <f>I20-J20</f>
        <v>538.31823191489366</v>
      </c>
      <c r="L20" s="47" t="s">
        <v>232</v>
      </c>
      <c r="M20" s="3">
        <v>10</v>
      </c>
      <c r="N20" s="3">
        <v>11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1"/>
      <c r="AP20" s="11"/>
      <c r="AQ20" s="11"/>
      <c r="AR20" s="11"/>
      <c r="AS20" s="11"/>
      <c r="AT20" s="11"/>
      <c r="AU20" s="11"/>
    </row>
    <row r="21" spans="1:47" s="52" customFormat="1" ht="14.25" customHeight="1" x14ac:dyDescent="0.3">
      <c r="A21" s="88" t="s">
        <v>103</v>
      </c>
      <c r="B21" s="90">
        <v>18</v>
      </c>
      <c r="C21" s="2">
        <f>'GERAL 2022'!G20</f>
        <v>650</v>
      </c>
      <c r="D21" s="2">
        <f>10%*C21</f>
        <v>65</v>
      </c>
      <c r="E21" s="5">
        <f>C21-D21</f>
        <v>585</v>
      </c>
      <c r="F21" s="2">
        <f>30</f>
        <v>30</v>
      </c>
      <c r="G21" s="2">
        <f>D76</f>
        <v>2.8368085106382979</v>
      </c>
      <c r="H21" s="2">
        <v>0</v>
      </c>
      <c r="I21" s="109">
        <f>SUM(E21:H21)</f>
        <v>617.83680851063832</v>
      </c>
      <c r="J21" s="2">
        <f t="shared" si="1"/>
        <v>43.248576595744687</v>
      </c>
      <c r="K21" s="2">
        <f>I21-J21</f>
        <v>574.58823191489364</v>
      </c>
      <c r="L21" s="90" t="s">
        <v>231</v>
      </c>
      <c r="M21" s="3">
        <v>10</v>
      </c>
      <c r="N21" s="3">
        <v>11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1"/>
      <c r="AP21" s="11"/>
      <c r="AQ21" s="11"/>
      <c r="AR21" s="11"/>
      <c r="AS21" s="11"/>
      <c r="AT21" s="11"/>
      <c r="AU21" s="11"/>
    </row>
    <row r="22" spans="1:47" s="18" customFormat="1" x14ac:dyDescent="0.3">
      <c r="A22" s="90" t="s">
        <v>142</v>
      </c>
      <c r="B22" s="90">
        <v>19</v>
      </c>
      <c r="C22" s="2">
        <f>'GERAL 2022'!G21</f>
        <v>600</v>
      </c>
      <c r="D22" s="2">
        <f>10%*C22</f>
        <v>60</v>
      </c>
      <c r="E22" s="5">
        <f>(C22-D22)</f>
        <v>540</v>
      </c>
      <c r="F22" s="2">
        <f>50</f>
        <v>50</v>
      </c>
      <c r="G22" s="2">
        <f>D78</f>
        <v>2.8368085106382979</v>
      </c>
      <c r="H22" s="2">
        <f>D77</f>
        <v>19.738333333333333</v>
      </c>
      <c r="I22" s="109">
        <f>SUM(E22:H22)</f>
        <v>612.57514184397166</v>
      </c>
      <c r="J22" s="2">
        <f t="shared" si="1"/>
        <v>42.880259929078022</v>
      </c>
      <c r="K22" s="2">
        <f>I22-J22</f>
        <v>569.69488191489359</v>
      </c>
      <c r="L22" s="90" t="s">
        <v>233</v>
      </c>
      <c r="M22" s="3">
        <v>10</v>
      </c>
      <c r="N22" s="3">
        <v>11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1"/>
      <c r="AP22" s="11"/>
      <c r="AQ22" s="11"/>
      <c r="AR22" s="11"/>
      <c r="AS22" s="11"/>
      <c r="AT22" s="11"/>
      <c r="AU22" s="11"/>
    </row>
    <row r="23" spans="1:47" s="52" customFormat="1" x14ac:dyDescent="0.3">
      <c r="A23" s="88"/>
      <c r="B23" s="90">
        <v>20</v>
      </c>
      <c r="C23" s="2"/>
      <c r="D23" s="2"/>
      <c r="E23" s="5"/>
      <c r="F23" s="2"/>
      <c r="G23" s="2"/>
      <c r="H23" s="2"/>
      <c r="I23" s="109"/>
      <c r="J23" s="2">
        <f t="shared" si="1"/>
        <v>0</v>
      </c>
      <c r="K23" s="2"/>
      <c r="L23" s="90"/>
      <c r="M23" s="125"/>
      <c r="N23" s="3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1"/>
      <c r="AP23" s="11"/>
      <c r="AQ23" s="11"/>
      <c r="AR23" s="11"/>
      <c r="AS23" s="11"/>
      <c r="AT23" s="11"/>
      <c r="AU23" s="11"/>
    </row>
    <row r="24" spans="1:47" s="52" customFormat="1" ht="15" customHeight="1" x14ac:dyDescent="0.3">
      <c r="A24" s="88"/>
      <c r="B24" s="90">
        <v>21</v>
      </c>
      <c r="C24" s="2"/>
      <c r="D24" s="2"/>
      <c r="E24" s="5"/>
      <c r="F24" s="2"/>
      <c r="G24" s="2"/>
      <c r="H24" s="2"/>
      <c r="I24" s="109"/>
      <c r="J24" s="2">
        <f t="shared" si="1"/>
        <v>0</v>
      </c>
      <c r="K24" s="2"/>
      <c r="L24" s="90"/>
      <c r="M24" s="125"/>
      <c r="N24" s="3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1"/>
      <c r="AP24" s="11"/>
      <c r="AQ24" s="11"/>
      <c r="AR24" s="11"/>
      <c r="AS24" s="11"/>
      <c r="AT24" s="11"/>
      <c r="AU24" s="11"/>
    </row>
    <row r="25" spans="1:47" s="52" customFormat="1" ht="15.75" customHeight="1" x14ac:dyDescent="0.3">
      <c r="A25" s="88"/>
      <c r="B25" s="90">
        <v>22</v>
      </c>
      <c r="C25" s="2"/>
      <c r="D25" s="2"/>
      <c r="E25" s="5"/>
      <c r="F25" s="2"/>
      <c r="G25" s="2"/>
      <c r="H25" s="2"/>
      <c r="I25" s="109"/>
      <c r="J25" s="2">
        <f t="shared" si="1"/>
        <v>0</v>
      </c>
      <c r="K25" s="2"/>
      <c r="L25" s="90"/>
      <c r="M25" s="125"/>
      <c r="N25" s="3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1"/>
      <c r="AP25" s="11"/>
      <c r="AQ25" s="11"/>
      <c r="AR25" s="11"/>
      <c r="AS25" s="11"/>
      <c r="AT25" s="11"/>
      <c r="AU25" s="11"/>
    </row>
    <row r="26" spans="1:47" s="52" customFormat="1" x14ac:dyDescent="0.3">
      <c r="A26" s="88"/>
      <c r="B26" s="90">
        <v>23</v>
      </c>
      <c r="C26" s="2"/>
      <c r="D26" s="2"/>
      <c r="E26" s="5"/>
      <c r="F26" s="2"/>
      <c r="G26" s="2"/>
      <c r="H26" s="2"/>
      <c r="I26" s="109"/>
      <c r="J26" s="2">
        <f t="shared" si="1"/>
        <v>0</v>
      </c>
      <c r="K26" s="2"/>
      <c r="L26" s="90"/>
      <c r="M26" s="3"/>
      <c r="N26" s="3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1"/>
      <c r="AP26" s="11"/>
      <c r="AQ26" s="11"/>
      <c r="AR26" s="11"/>
      <c r="AS26" s="11"/>
      <c r="AT26" s="11"/>
      <c r="AU26" s="11"/>
    </row>
    <row r="27" spans="1:47" s="52" customFormat="1" x14ac:dyDescent="0.3">
      <c r="A27" s="88"/>
      <c r="B27" s="90">
        <v>24</v>
      </c>
      <c r="C27" s="2">
        <f>'VIGÊNCIA FEVEREIRO 2022'!C31</f>
        <v>0</v>
      </c>
      <c r="D27" s="2"/>
      <c r="E27" s="5"/>
      <c r="F27" s="2"/>
      <c r="G27" s="2"/>
      <c r="H27" s="2"/>
      <c r="I27" s="109"/>
      <c r="J27" s="2">
        <f t="shared" si="1"/>
        <v>0</v>
      </c>
      <c r="K27" s="2"/>
      <c r="L27" s="90"/>
      <c r="M27" s="3"/>
      <c r="N27" s="3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1"/>
      <c r="AP27" s="11"/>
      <c r="AQ27" s="11"/>
      <c r="AR27" s="11"/>
      <c r="AS27" s="11"/>
      <c r="AT27" s="11"/>
      <c r="AU27" s="11"/>
    </row>
    <row r="28" spans="1:47" s="52" customFormat="1" x14ac:dyDescent="0.3">
      <c r="A28" s="11" t="s">
        <v>87</v>
      </c>
      <c r="B28" s="90">
        <v>25</v>
      </c>
      <c r="C28" s="2">
        <f>'GERAL 2022'!G27</f>
        <v>704</v>
      </c>
      <c r="D28" s="2">
        <f>10%*C28</f>
        <v>70.400000000000006</v>
      </c>
      <c r="E28" s="5">
        <f>C28-D28</f>
        <v>633.6</v>
      </c>
      <c r="F28" s="2">
        <f>30</f>
        <v>30</v>
      </c>
      <c r="G28" s="2">
        <f>D90</f>
        <v>2.8368085106382979</v>
      </c>
      <c r="H28" s="2">
        <v>0</v>
      </c>
      <c r="I28" s="109">
        <f>SUM(E28:H28)</f>
        <v>666.43680851063834</v>
      </c>
      <c r="J28" s="2">
        <f t="shared" si="1"/>
        <v>46.650576595744688</v>
      </c>
      <c r="K28" s="2">
        <f>I28-J28</f>
        <v>619.78623191489362</v>
      </c>
      <c r="L28" s="71" t="s">
        <v>234</v>
      </c>
      <c r="M28" s="98">
        <v>10</v>
      </c>
      <c r="N28" s="3">
        <v>11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1"/>
      <c r="AP28" s="11"/>
      <c r="AQ28" s="11"/>
      <c r="AR28" s="11"/>
      <c r="AS28" s="11"/>
      <c r="AT28" s="11"/>
      <c r="AU28" s="11"/>
    </row>
    <row r="29" spans="1:47" s="52" customFormat="1" x14ac:dyDescent="0.3">
      <c r="A29" s="88"/>
      <c r="B29" s="90">
        <v>26</v>
      </c>
      <c r="C29" s="2"/>
      <c r="D29" s="2"/>
      <c r="E29" s="5"/>
      <c r="F29" s="2"/>
      <c r="G29" s="2"/>
      <c r="H29" s="2"/>
      <c r="I29" s="109"/>
      <c r="J29" s="2">
        <f t="shared" si="1"/>
        <v>0</v>
      </c>
      <c r="K29" s="2"/>
      <c r="L29" s="90"/>
      <c r="M29" s="3"/>
      <c r="N29" s="3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1"/>
      <c r="AP29" s="11"/>
      <c r="AQ29" s="11"/>
      <c r="AR29" s="11"/>
      <c r="AS29" s="11"/>
      <c r="AT29" s="11"/>
      <c r="AU29" s="11"/>
    </row>
    <row r="30" spans="1:47" s="52" customFormat="1" x14ac:dyDescent="0.3">
      <c r="A30" s="88" t="s">
        <v>86</v>
      </c>
      <c r="B30" s="90">
        <v>27</v>
      </c>
      <c r="C30" s="72">
        <f>'GERAL 2022'!G29</f>
        <v>650</v>
      </c>
      <c r="D30" s="72">
        <f>10%*C30</f>
        <v>65</v>
      </c>
      <c r="E30" s="5">
        <f>C30-D30</f>
        <v>585</v>
      </c>
      <c r="F30" s="72">
        <f>60</f>
        <v>60</v>
      </c>
      <c r="G30" s="72">
        <f>D94</f>
        <v>2.8368085106382979</v>
      </c>
      <c r="H30" s="72">
        <v>0</v>
      </c>
      <c r="I30" s="112">
        <f>SUM(E30:H30)</f>
        <v>647.83680851063832</v>
      </c>
      <c r="J30" s="2">
        <f t="shared" si="1"/>
        <v>45.348576595744689</v>
      </c>
      <c r="K30" s="72">
        <f>I30-J30</f>
        <v>602.48823191489362</v>
      </c>
      <c r="L30" s="71" t="s">
        <v>234</v>
      </c>
      <c r="M30" s="98">
        <v>10</v>
      </c>
      <c r="N30" s="3">
        <v>11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1"/>
      <c r="AP30" s="11"/>
      <c r="AQ30" s="11"/>
      <c r="AR30" s="11"/>
      <c r="AS30" s="11"/>
      <c r="AT30" s="11"/>
      <c r="AU30" s="11"/>
    </row>
    <row r="31" spans="1:47" s="52" customFormat="1" ht="14.4" thickBot="1" x14ac:dyDescent="0.35">
      <c r="A31" s="518" t="s">
        <v>4</v>
      </c>
      <c r="B31" s="518"/>
      <c r="C31" s="109">
        <f>SUM(C4:C30)</f>
        <v>5438.5161290322576</v>
      </c>
      <c r="D31" s="109">
        <f t="shared" ref="D31:K31" si="2">SUM(D4:D30)</f>
        <v>508.4</v>
      </c>
      <c r="E31" s="109">
        <f t="shared" si="2"/>
        <v>4930.116129032258</v>
      </c>
      <c r="F31" s="109">
        <f t="shared" si="2"/>
        <v>309.0322580645161</v>
      </c>
      <c r="G31" s="109">
        <f t="shared" si="2"/>
        <v>24.927310912834596</v>
      </c>
      <c r="H31" s="109">
        <f t="shared" si="2"/>
        <v>59.424999999999997</v>
      </c>
      <c r="I31" s="109">
        <f t="shared" si="2"/>
        <v>5323.5006980096096</v>
      </c>
      <c r="J31" s="109">
        <f t="shared" si="2"/>
        <v>372.64504886067266</v>
      </c>
      <c r="K31" s="109">
        <f t="shared" si="2"/>
        <v>4950.8556491489362</v>
      </c>
      <c r="L31" s="90"/>
      <c r="M31" s="120"/>
      <c r="N31" s="56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1"/>
      <c r="AP31" s="11"/>
      <c r="AQ31" s="11"/>
      <c r="AR31" s="11"/>
      <c r="AS31" s="11"/>
      <c r="AT31" s="11"/>
      <c r="AU31" s="11"/>
    </row>
    <row r="32" spans="1:47" s="11" customFormat="1" ht="28.5" customHeight="1" x14ac:dyDescent="0.3">
      <c r="A32" s="521" t="s">
        <v>177</v>
      </c>
      <c r="B32" s="521"/>
      <c r="C32" s="521"/>
      <c r="D32" s="521"/>
      <c r="E32" s="521"/>
      <c r="F32" s="521"/>
      <c r="G32" s="521"/>
      <c r="H32" s="521"/>
      <c r="I32" s="521"/>
      <c r="J32" s="521"/>
      <c r="K32" s="521"/>
      <c r="L32" s="521"/>
      <c r="M32" s="521"/>
      <c r="N32" s="521"/>
      <c r="O32" s="7"/>
      <c r="P32" s="7"/>
      <c r="Q32" s="7"/>
      <c r="R32" s="7"/>
      <c r="S32" s="7"/>
      <c r="T32" s="7"/>
      <c r="U32" s="7"/>
      <c r="V32" s="7"/>
      <c r="W32" s="10"/>
      <c r="X32" s="10"/>
      <c r="Y32" s="10"/>
      <c r="Z32" s="10"/>
      <c r="AA32" s="10"/>
      <c r="AB32" s="10"/>
    </row>
    <row r="33" spans="1:58" s="11" customFormat="1" ht="25.5" customHeight="1" x14ac:dyDescent="0.3">
      <c r="A33" s="126" t="s">
        <v>173</v>
      </c>
      <c r="B33" s="126" t="s">
        <v>0</v>
      </c>
      <c r="C33" s="126" t="s">
        <v>174</v>
      </c>
      <c r="D33" s="521" t="s">
        <v>175</v>
      </c>
      <c r="E33" s="521"/>
      <c r="F33" s="521"/>
      <c r="G33" s="521"/>
      <c r="H33" s="521"/>
      <c r="I33" s="129" t="s">
        <v>4</v>
      </c>
      <c r="J33" s="128"/>
      <c r="K33" s="128"/>
      <c r="L33" s="127" t="s">
        <v>59</v>
      </c>
      <c r="M33" s="130" t="s">
        <v>8</v>
      </c>
      <c r="N33" s="130" t="s">
        <v>10</v>
      </c>
      <c r="O33" s="7"/>
      <c r="P33" s="7"/>
      <c r="Q33" s="7"/>
      <c r="R33" s="7"/>
      <c r="S33" s="7"/>
      <c r="T33" s="7"/>
      <c r="U33" s="7"/>
      <c r="V33" s="7"/>
      <c r="W33" s="10"/>
      <c r="X33" s="10"/>
      <c r="Y33" s="10"/>
      <c r="Z33" s="10"/>
      <c r="AA33" s="10"/>
      <c r="AB33" s="10"/>
    </row>
    <row r="34" spans="1:58" s="32" customFormat="1" ht="15" customHeight="1" x14ac:dyDescent="0.3">
      <c r="A34" s="67" t="s">
        <v>132</v>
      </c>
      <c r="B34" s="67">
        <v>1</v>
      </c>
      <c r="C34" s="47">
        <f>600+50+19.74</f>
        <v>669.74</v>
      </c>
      <c r="D34" s="546" t="s">
        <v>211</v>
      </c>
      <c r="E34" s="547"/>
      <c r="F34" s="547"/>
      <c r="G34" s="547"/>
      <c r="H34" s="548"/>
      <c r="I34" s="47">
        <f>600+50+19.74</f>
        <v>669.74</v>
      </c>
      <c r="J34" s="47"/>
      <c r="K34" s="47"/>
      <c r="L34" s="47" t="s">
        <v>242</v>
      </c>
      <c r="M34" s="131">
        <v>10</v>
      </c>
      <c r="N34" s="67">
        <v>11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</row>
    <row r="35" spans="1:58" s="32" customFormat="1" ht="15" customHeight="1" x14ac:dyDescent="0.3">
      <c r="A35" s="67" t="s">
        <v>132</v>
      </c>
      <c r="B35" s="67">
        <v>1</v>
      </c>
      <c r="C35" s="47">
        <f>600+50+19.74</f>
        <v>669.74</v>
      </c>
      <c r="D35" s="546" t="s">
        <v>212</v>
      </c>
      <c r="E35" s="547"/>
      <c r="F35" s="547"/>
      <c r="G35" s="547"/>
      <c r="H35" s="548"/>
      <c r="I35" s="47">
        <f>600+50+19.74</f>
        <v>669.74</v>
      </c>
      <c r="J35" s="47"/>
      <c r="K35" s="47"/>
      <c r="L35" s="47" t="s">
        <v>243</v>
      </c>
      <c r="M35" s="131">
        <v>10</v>
      </c>
      <c r="N35" s="67">
        <v>11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</row>
    <row r="36" spans="1:58" s="32" customFormat="1" ht="15" customHeight="1" x14ac:dyDescent="0.3">
      <c r="A36" s="67" t="s">
        <v>132</v>
      </c>
      <c r="B36" s="67">
        <v>1</v>
      </c>
      <c r="C36" s="47">
        <f>600+50+19.74</f>
        <v>669.74</v>
      </c>
      <c r="D36" s="546" t="s">
        <v>241</v>
      </c>
      <c r="E36" s="547"/>
      <c r="F36" s="547"/>
      <c r="G36" s="547"/>
      <c r="H36" s="548"/>
      <c r="I36" s="47">
        <f>600+50+19.74</f>
        <v>669.74</v>
      </c>
      <c r="J36" s="47"/>
      <c r="K36" s="47"/>
      <c r="L36" s="47" t="s">
        <v>244</v>
      </c>
      <c r="M36" s="131">
        <v>10</v>
      </c>
      <c r="N36" s="67">
        <v>11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</row>
    <row r="37" spans="1:58" s="32" customFormat="1" ht="15" customHeight="1" x14ac:dyDescent="0.3">
      <c r="A37" s="67" t="s">
        <v>132</v>
      </c>
      <c r="B37" s="67">
        <v>1</v>
      </c>
      <c r="C37" s="47">
        <f>600+50+19.74+2.84</f>
        <v>672.58</v>
      </c>
      <c r="D37" s="546" t="s">
        <v>280</v>
      </c>
      <c r="E37" s="547"/>
      <c r="F37" s="547"/>
      <c r="G37" s="547"/>
      <c r="H37" s="548"/>
      <c r="I37" s="47">
        <f>600+50+19.74+2.84</f>
        <v>672.58</v>
      </c>
      <c r="J37" s="47"/>
      <c r="K37" s="47"/>
      <c r="L37" s="47" t="s">
        <v>245</v>
      </c>
      <c r="M37" s="131">
        <v>10</v>
      </c>
      <c r="N37" s="67">
        <v>11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</row>
    <row r="38" spans="1:58" s="40" customFormat="1" ht="15" customHeight="1" thickBot="1" x14ac:dyDescent="0.35">
      <c r="A38" s="518" t="s">
        <v>4</v>
      </c>
      <c r="B38" s="518"/>
      <c r="C38" s="518"/>
      <c r="D38" s="518"/>
      <c r="E38" s="518"/>
      <c r="F38" s="518"/>
      <c r="G38" s="518"/>
      <c r="H38" s="518"/>
      <c r="I38" s="114">
        <f>SUM(I34:I37)</f>
        <v>2681.8</v>
      </c>
      <c r="J38" s="90"/>
      <c r="K38" s="90"/>
      <c r="L38" s="90"/>
      <c r="M38" s="90"/>
      <c r="N38" s="90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11"/>
      <c r="AS38" s="11"/>
      <c r="AT38" s="11"/>
      <c r="AU38" s="11"/>
    </row>
    <row r="39" spans="1:58" s="19" customFormat="1" x14ac:dyDescent="0.3">
      <c r="A39" s="536"/>
      <c r="B39" s="537"/>
      <c r="C39" s="537"/>
      <c r="D39" s="537"/>
      <c r="E39" s="537"/>
      <c r="F39" s="537"/>
      <c r="G39" s="537"/>
      <c r="H39" s="537"/>
      <c r="I39" s="537"/>
      <c r="J39" s="537"/>
      <c r="K39" s="537"/>
      <c r="L39" s="537"/>
      <c r="M39" s="524"/>
      <c r="N39" s="525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</row>
    <row r="40" spans="1:58" s="40" customFormat="1" x14ac:dyDescent="0.3">
      <c r="A40" s="543" t="s">
        <v>9</v>
      </c>
      <c r="B40" s="543"/>
      <c r="C40" s="543"/>
      <c r="D40" s="543"/>
      <c r="E40" s="543"/>
      <c r="F40" s="543"/>
      <c r="G40" s="46"/>
      <c r="H40" s="46"/>
      <c r="I40" s="46"/>
      <c r="J40" s="46"/>
      <c r="K40" s="46"/>
      <c r="L40" s="544" t="s">
        <v>20</v>
      </c>
      <c r="M40" s="544"/>
      <c r="N40" s="545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11"/>
      <c r="AS40" s="11"/>
      <c r="AT40" s="11"/>
      <c r="AU40" s="11"/>
    </row>
    <row r="41" spans="1:58" s="40" customFormat="1" x14ac:dyDescent="0.3">
      <c r="A41" s="76" t="s">
        <v>40</v>
      </c>
      <c r="B41" s="77">
        <f>'GERAL 2022'!J3</f>
        <v>118.43</v>
      </c>
      <c r="C41" s="78">
        <v>6</v>
      </c>
      <c r="D41" s="77">
        <f>B41/C41</f>
        <v>19.738333333333333</v>
      </c>
      <c r="E41" s="78"/>
      <c r="F41" s="77"/>
      <c r="G41" s="11"/>
      <c r="H41" s="11"/>
      <c r="I41" s="87"/>
      <c r="J41" s="87"/>
      <c r="K41" s="87"/>
      <c r="L41" s="527" t="s">
        <v>94</v>
      </c>
      <c r="M41" s="527"/>
      <c r="N41" s="49">
        <f>J31</f>
        <v>372.64504886067266</v>
      </c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11"/>
      <c r="AS41" s="11"/>
      <c r="AT41" s="11"/>
      <c r="AU41" s="11"/>
    </row>
    <row r="42" spans="1:58" s="40" customFormat="1" x14ac:dyDescent="0.3">
      <c r="A42" s="12" t="s">
        <v>46</v>
      </c>
      <c r="B42" s="2">
        <f>'GERAL 2022'!H3</f>
        <v>14.184042553191489</v>
      </c>
      <c r="C42" s="88">
        <v>5</v>
      </c>
      <c r="D42" s="2">
        <f>B42/C42</f>
        <v>2.8368085106382979</v>
      </c>
      <c r="E42" s="88"/>
      <c r="F42" s="88"/>
      <c r="G42" s="11"/>
      <c r="H42" s="11"/>
      <c r="I42" s="14"/>
      <c r="J42" s="14"/>
      <c r="K42" s="14"/>
      <c r="L42" s="534"/>
      <c r="M42" s="535"/>
      <c r="N42" s="114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11"/>
      <c r="AS42" s="11"/>
      <c r="AT42" s="11"/>
      <c r="AU42" s="11"/>
    </row>
    <row r="43" spans="1:58" s="40" customFormat="1" x14ac:dyDescent="0.3">
      <c r="A43" s="79" t="s">
        <v>29</v>
      </c>
      <c r="B43" s="80"/>
      <c r="C43" s="82"/>
      <c r="D43" s="80"/>
      <c r="E43" s="78"/>
      <c r="F43" s="77"/>
      <c r="G43" s="11"/>
      <c r="H43" s="11"/>
      <c r="I43" s="14"/>
      <c r="J43" s="14"/>
      <c r="K43" s="14"/>
      <c r="L43" s="520"/>
      <c r="M43" s="520"/>
      <c r="N43" s="520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11"/>
      <c r="AS43" s="11"/>
      <c r="AT43" s="11"/>
      <c r="AU43" s="11"/>
    </row>
    <row r="44" spans="1:58" s="40" customFormat="1" x14ac:dyDescent="0.3">
      <c r="A44" s="12" t="s">
        <v>30</v>
      </c>
      <c r="B44" s="2"/>
      <c r="C44" s="88"/>
      <c r="D44" s="2"/>
      <c r="E44" s="53"/>
      <c r="F44" s="53"/>
      <c r="G44" s="11"/>
      <c r="H44" s="11"/>
      <c r="I44" s="62"/>
      <c r="J44" s="62"/>
      <c r="K44" s="62"/>
      <c r="L44" s="520"/>
      <c r="M44" s="520"/>
      <c r="N44" s="520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11"/>
      <c r="AS44" s="11"/>
      <c r="AT44" s="11"/>
      <c r="AU44" s="11"/>
    </row>
    <row r="45" spans="1:58" s="40" customFormat="1" x14ac:dyDescent="0.3">
      <c r="A45" s="79" t="s">
        <v>65</v>
      </c>
      <c r="B45" s="80"/>
      <c r="C45" s="82"/>
      <c r="D45" s="80"/>
      <c r="E45" s="78"/>
      <c r="F45" s="77"/>
      <c r="G45" s="11"/>
      <c r="H45" s="11"/>
      <c r="I45" s="14"/>
      <c r="J45" s="14"/>
      <c r="K45" s="14"/>
      <c r="L45" s="529" t="s">
        <v>12</v>
      </c>
      <c r="M45" s="529"/>
      <c r="N45" s="529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11"/>
      <c r="AS45" s="11"/>
      <c r="AT45" s="11"/>
      <c r="AU45" s="11"/>
    </row>
    <row r="46" spans="1:58" s="11" customFormat="1" ht="15" customHeight="1" x14ac:dyDescent="0.3">
      <c r="A46" s="12" t="s">
        <v>62</v>
      </c>
      <c r="B46" s="2"/>
      <c r="C46" s="88"/>
      <c r="D46" s="2"/>
      <c r="E46" s="88"/>
      <c r="F46" s="88"/>
      <c r="I46" s="63"/>
      <c r="J46" s="63"/>
      <c r="K46" s="63"/>
      <c r="L46" s="514" t="s">
        <v>236</v>
      </c>
      <c r="M46" s="514"/>
      <c r="N46" s="2">
        <v>19.739999999999998</v>
      </c>
    </row>
    <row r="47" spans="1:58" s="11" customFormat="1" x14ac:dyDescent="0.3">
      <c r="A47" s="79" t="s">
        <v>60</v>
      </c>
      <c r="B47" s="80"/>
      <c r="C47" s="82"/>
      <c r="D47" s="80"/>
      <c r="E47" s="78"/>
      <c r="F47" s="77"/>
      <c r="I47" s="14"/>
      <c r="J47" s="14"/>
      <c r="K47" s="14"/>
      <c r="L47" s="514" t="s">
        <v>239</v>
      </c>
      <c r="M47" s="514"/>
      <c r="N47" s="2">
        <v>19.68</v>
      </c>
    </row>
    <row r="48" spans="1:58" s="11" customFormat="1" ht="15" customHeight="1" x14ac:dyDescent="0.3">
      <c r="A48" s="12" t="s">
        <v>61</v>
      </c>
      <c r="B48" s="2"/>
      <c r="C48" s="88"/>
      <c r="D48" s="2"/>
      <c r="E48" s="88"/>
      <c r="F48" s="88"/>
      <c r="I48" s="63"/>
      <c r="J48" s="63"/>
      <c r="K48" s="63"/>
      <c r="L48" s="514" t="s">
        <v>237</v>
      </c>
      <c r="M48" s="514"/>
      <c r="N48" s="2">
        <v>19.989999999999998</v>
      </c>
    </row>
    <row r="49" spans="1:46" s="11" customFormat="1" x14ac:dyDescent="0.3">
      <c r="A49" s="79" t="s">
        <v>31</v>
      </c>
      <c r="B49" s="80"/>
      <c r="C49" s="82"/>
      <c r="D49" s="80"/>
      <c r="E49" s="78"/>
      <c r="F49" s="77"/>
      <c r="I49" s="14"/>
      <c r="J49" s="14"/>
      <c r="K49" s="14"/>
      <c r="L49" s="520" t="s">
        <v>238</v>
      </c>
      <c r="M49" s="520"/>
      <c r="N49" s="2">
        <v>19.739999999999998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</row>
    <row r="50" spans="1:46" s="11" customFormat="1" x14ac:dyDescent="0.3">
      <c r="A50" s="12" t="s">
        <v>32</v>
      </c>
      <c r="B50" s="2"/>
      <c r="C50" s="88"/>
      <c r="D50" s="2"/>
      <c r="E50" s="88"/>
      <c r="F50" s="88"/>
      <c r="I50" s="63"/>
      <c r="J50" s="63"/>
      <c r="K50" s="63"/>
      <c r="L50" s="551" t="s">
        <v>247</v>
      </c>
      <c r="M50" s="552"/>
      <c r="N50" s="2">
        <f>120*5</f>
        <v>600</v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</row>
    <row r="51" spans="1:46" s="11" customFormat="1" x14ac:dyDescent="0.3">
      <c r="A51" s="79" t="s">
        <v>57</v>
      </c>
      <c r="B51" s="80"/>
      <c r="C51" s="82"/>
      <c r="D51" s="80"/>
      <c r="E51" s="78"/>
      <c r="F51" s="77"/>
      <c r="I51" s="14"/>
      <c r="J51" s="14"/>
      <c r="K51" s="14"/>
      <c r="L51" s="520" t="s">
        <v>126</v>
      </c>
      <c r="M51" s="520"/>
      <c r="N51" s="2">
        <v>139.15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</row>
    <row r="52" spans="1:46" s="11" customFormat="1" ht="12.75" customHeight="1" x14ac:dyDescent="0.3">
      <c r="A52" s="12" t="s">
        <v>58</v>
      </c>
      <c r="B52" s="2"/>
      <c r="C52" s="88"/>
      <c r="D52" s="2"/>
      <c r="E52" s="88"/>
      <c r="F52" s="88"/>
      <c r="I52" s="63"/>
      <c r="J52" s="63"/>
      <c r="K52" s="63"/>
      <c r="L52" s="520" t="s">
        <v>127</v>
      </c>
      <c r="M52" s="520"/>
      <c r="N52" s="2">
        <v>387.36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</row>
    <row r="53" spans="1:46" s="11" customFormat="1" ht="14.4" x14ac:dyDescent="0.3">
      <c r="A53" s="79" t="s">
        <v>63</v>
      </c>
      <c r="B53" s="80"/>
      <c r="C53" s="82"/>
      <c r="D53" s="80"/>
      <c r="E53" s="78"/>
      <c r="F53" s="77"/>
      <c r="I53" s="14"/>
      <c r="J53" s="14"/>
      <c r="K53" s="14"/>
      <c r="L53" s="553" t="s">
        <v>248</v>
      </c>
      <c r="M53" s="554"/>
      <c r="N53" s="137">
        <v>36.99</v>
      </c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</row>
    <row r="54" spans="1:46" s="11" customFormat="1" ht="15" customHeight="1" x14ac:dyDescent="0.3">
      <c r="A54" s="12" t="s">
        <v>64</v>
      </c>
      <c r="B54" s="2"/>
      <c r="C54" s="88"/>
      <c r="D54" s="2"/>
      <c r="E54" s="88"/>
      <c r="F54" s="88"/>
      <c r="I54" s="63"/>
      <c r="J54" s="63"/>
      <c r="K54" s="63"/>
      <c r="L54" s="516" t="s">
        <v>249</v>
      </c>
      <c r="M54" s="517"/>
      <c r="N54" s="2">
        <v>7.92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</row>
    <row r="55" spans="1:46" s="11" customFormat="1" x14ac:dyDescent="0.3">
      <c r="A55" s="79" t="s">
        <v>33</v>
      </c>
      <c r="B55" s="80"/>
      <c r="C55" s="82"/>
      <c r="D55" s="80"/>
      <c r="E55" s="78"/>
      <c r="F55" s="77"/>
      <c r="I55" s="14"/>
      <c r="J55" s="14"/>
      <c r="K55" s="14"/>
      <c r="L55" s="516"/>
      <c r="M55" s="517"/>
      <c r="N55" s="90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</row>
    <row r="56" spans="1:46" s="11" customFormat="1" ht="13.5" customHeight="1" x14ac:dyDescent="0.3">
      <c r="A56" s="12" t="s">
        <v>34</v>
      </c>
      <c r="B56" s="2"/>
      <c r="C56" s="88"/>
      <c r="D56" s="2"/>
      <c r="E56" s="88"/>
      <c r="F56" s="88"/>
      <c r="I56" s="63"/>
      <c r="J56" s="63"/>
      <c r="K56" s="63"/>
      <c r="L56" s="516"/>
      <c r="M56" s="517"/>
      <c r="N56" s="90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</row>
    <row r="57" spans="1:46" s="11" customFormat="1" x14ac:dyDescent="0.3">
      <c r="A57" s="79" t="s">
        <v>41</v>
      </c>
      <c r="B57" s="80">
        <f>'GERAL 2022'!J11</f>
        <v>118.18</v>
      </c>
      <c r="C57" s="82">
        <v>6</v>
      </c>
      <c r="D57" s="80">
        <f>B57/C57</f>
        <v>19.696666666666669</v>
      </c>
      <c r="E57" s="78"/>
      <c r="F57" s="77"/>
      <c r="L57" s="520"/>
      <c r="M57" s="520"/>
      <c r="N57" s="2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</row>
    <row r="58" spans="1:46" s="11" customFormat="1" x14ac:dyDescent="0.3">
      <c r="A58" s="12" t="s">
        <v>42</v>
      </c>
      <c r="B58" s="2">
        <f>'GERAL 2022'!H11</f>
        <v>14.184042553191489</v>
      </c>
      <c r="C58" s="88">
        <v>5</v>
      </c>
      <c r="D58" s="2">
        <f>B58/C58</f>
        <v>2.8368085106382979</v>
      </c>
      <c r="E58" s="88"/>
      <c r="F58" s="88"/>
      <c r="I58" s="63"/>
      <c r="J58" s="63"/>
      <c r="K58" s="63"/>
      <c r="L58" s="520"/>
      <c r="M58" s="520"/>
      <c r="N58" s="90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</row>
    <row r="59" spans="1:46" s="11" customFormat="1" x14ac:dyDescent="0.3">
      <c r="A59" s="79" t="s">
        <v>66</v>
      </c>
      <c r="B59" s="80">
        <f>'GERAL 2022'!J12</f>
        <v>106.95</v>
      </c>
      <c r="C59" s="81">
        <v>6</v>
      </c>
      <c r="D59" s="80">
        <f>B59/C59</f>
        <v>17.824999999999999</v>
      </c>
      <c r="E59" s="82"/>
      <c r="F59" s="80"/>
      <c r="I59" s="14"/>
      <c r="J59" s="14"/>
      <c r="K59" s="14"/>
      <c r="L59" s="518"/>
      <c r="M59" s="518"/>
      <c r="N59" s="109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</row>
    <row r="60" spans="1:46" s="11" customFormat="1" x14ac:dyDescent="0.3">
      <c r="A60" s="12" t="s">
        <v>67</v>
      </c>
      <c r="B60" s="2">
        <f>'GERAL 2022'!H12</f>
        <v>14.184042553191489</v>
      </c>
      <c r="C60" s="88">
        <v>5</v>
      </c>
      <c r="D60" s="2">
        <f>B60/C60</f>
        <v>2.8368085106382979</v>
      </c>
      <c r="E60" s="88"/>
      <c r="F60" s="88"/>
      <c r="I60" s="63"/>
      <c r="J60" s="63"/>
      <c r="K60" s="63"/>
      <c r="L60" s="550" t="s">
        <v>26</v>
      </c>
      <c r="M60" s="550"/>
      <c r="N60" s="136">
        <f>SUM(N41:N59)</f>
        <v>1623.2150488606728</v>
      </c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</row>
    <row r="61" spans="1:46" s="11" customFormat="1" x14ac:dyDescent="0.3">
      <c r="A61" s="79" t="s">
        <v>14</v>
      </c>
      <c r="B61" s="80"/>
      <c r="C61" s="82"/>
      <c r="D61" s="80"/>
      <c r="E61" s="82"/>
      <c r="F61" s="80"/>
      <c r="I61" s="14"/>
      <c r="J61" s="14"/>
      <c r="K61" s="14"/>
      <c r="L61" s="543"/>
      <c r="M61" s="543"/>
      <c r="N61" s="135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</row>
    <row r="62" spans="1:46" s="18" customFormat="1" x14ac:dyDescent="0.3">
      <c r="A62" s="12" t="s">
        <v>15</v>
      </c>
      <c r="B62" s="2"/>
      <c r="C62" s="88"/>
      <c r="D62" s="2"/>
      <c r="E62" s="88"/>
      <c r="F62" s="88"/>
      <c r="G62" s="11"/>
      <c r="H62" s="11"/>
      <c r="I62" s="87"/>
      <c r="J62" s="87"/>
      <c r="K62" s="87"/>
      <c r="L62" s="513" t="s">
        <v>11</v>
      </c>
      <c r="M62" s="513"/>
      <c r="N62" s="526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</row>
    <row r="63" spans="1:46" s="18" customFormat="1" x14ac:dyDescent="0.3">
      <c r="A63" s="79" t="s">
        <v>55</v>
      </c>
      <c r="B63" s="80"/>
      <c r="C63" s="82"/>
      <c r="D63" s="80"/>
      <c r="E63" s="82"/>
      <c r="F63" s="80"/>
      <c r="G63" s="11"/>
      <c r="H63" s="11"/>
      <c r="I63" s="11"/>
      <c r="J63" s="11"/>
      <c r="K63" s="11"/>
      <c r="L63" s="532">
        <f>I31</f>
        <v>5323.5006980096096</v>
      </c>
      <c r="M63" s="532"/>
      <c r="N63" s="533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</row>
    <row r="64" spans="1:46" s="18" customFormat="1" x14ac:dyDescent="0.3">
      <c r="A64" s="12" t="s">
        <v>56</v>
      </c>
      <c r="B64" s="2"/>
      <c r="C64" s="88"/>
      <c r="D64" s="2"/>
      <c r="E64" s="88"/>
      <c r="F64" s="88"/>
      <c r="G64" s="11"/>
      <c r="H64" s="11"/>
      <c r="I64" s="11"/>
      <c r="J64" s="11"/>
      <c r="K64" s="11"/>
      <c r="L64" s="518"/>
      <c r="M64" s="518"/>
      <c r="N64" s="519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</row>
    <row r="65" spans="1:45" s="18" customFormat="1" x14ac:dyDescent="0.3">
      <c r="A65" s="79" t="s">
        <v>35</v>
      </c>
      <c r="B65" s="80"/>
      <c r="C65" s="82"/>
      <c r="D65" s="80"/>
      <c r="E65" s="82"/>
      <c r="F65" s="80"/>
      <c r="G65" s="11"/>
      <c r="H65" s="11"/>
      <c r="I65" s="11"/>
      <c r="J65" s="11"/>
      <c r="K65" s="11"/>
      <c r="L65" s="513" t="s">
        <v>13</v>
      </c>
      <c r="M65" s="513"/>
      <c r="N65" s="49">
        <f>L63-N60</f>
        <v>3700.2856491489365</v>
      </c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</row>
    <row r="66" spans="1:45" s="18" customFormat="1" x14ac:dyDescent="0.3">
      <c r="A66" s="12" t="s">
        <v>36</v>
      </c>
      <c r="B66" s="2"/>
      <c r="C66" s="88"/>
      <c r="D66" s="2"/>
      <c r="E66" s="88"/>
      <c r="F66" s="88"/>
      <c r="G66" s="11"/>
      <c r="H66" s="11"/>
      <c r="I66" s="14"/>
      <c r="J66" s="14"/>
      <c r="K66" s="14"/>
      <c r="L66" s="123"/>
      <c r="M66" s="123"/>
      <c r="N66" s="133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</row>
    <row r="67" spans="1:45" s="18" customFormat="1" x14ac:dyDescent="0.3">
      <c r="A67" s="79" t="s">
        <v>47</v>
      </c>
      <c r="B67" s="80"/>
      <c r="C67" s="82"/>
      <c r="D67" s="80"/>
      <c r="E67" s="82"/>
      <c r="F67" s="80"/>
      <c r="G67" s="11"/>
      <c r="H67" s="11"/>
      <c r="I67" s="15"/>
      <c r="J67" s="15"/>
      <c r="K67" s="15"/>
      <c r="L67" s="124"/>
      <c r="M67" s="124"/>
      <c r="N67" s="134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</row>
    <row r="68" spans="1:45" s="18" customFormat="1" x14ac:dyDescent="0.3">
      <c r="A68" s="12" t="s">
        <v>48</v>
      </c>
      <c r="B68" s="2"/>
      <c r="C68" s="88"/>
      <c r="D68" s="2"/>
      <c r="E68" s="88"/>
      <c r="F68" s="88"/>
      <c r="G68" s="11"/>
      <c r="H68" s="11"/>
      <c r="I68" s="14"/>
      <c r="J68" s="14"/>
      <c r="K68" s="14"/>
      <c r="L68" s="124"/>
      <c r="M68" s="124"/>
      <c r="N68" s="5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</row>
    <row r="69" spans="1:45" s="18" customFormat="1" x14ac:dyDescent="0.3">
      <c r="A69" s="79" t="s">
        <v>16</v>
      </c>
      <c r="B69" s="80">
        <f>'GERAL 2022'!J17</f>
        <v>119.94</v>
      </c>
      <c r="C69" s="82">
        <v>6</v>
      </c>
      <c r="D69" s="80">
        <f t="shared" ref="D69:D78" si="3">B69/C69</f>
        <v>19.989999999999998</v>
      </c>
      <c r="E69" s="81"/>
      <c r="F69" s="81"/>
      <c r="G69" s="11"/>
      <c r="H69" s="11"/>
      <c r="I69" s="14"/>
      <c r="J69" s="14"/>
      <c r="K69" s="14"/>
      <c r="L69" s="124"/>
      <c r="M69" s="124"/>
      <c r="N69" s="5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</row>
    <row r="70" spans="1:45" s="18" customFormat="1" x14ac:dyDescent="0.3">
      <c r="A70" s="12" t="s">
        <v>17</v>
      </c>
      <c r="B70" s="2">
        <f>'GERAL 2022'!H17</f>
        <v>19.857659574468084</v>
      </c>
      <c r="C70" s="88">
        <v>5</v>
      </c>
      <c r="D70" s="2">
        <f t="shared" si="3"/>
        <v>3.9715319148936166</v>
      </c>
      <c r="E70" s="88"/>
      <c r="F70" s="88"/>
      <c r="G70" s="11"/>
      <c r="H70" s="11"/>
      <c r="I70" s="14"/>
      <c r="J70" s="14"/>
      <c r="K70" s="14"/>
      <c r="L70" s="124"/>
      <c r="M70" s="124"/>
      <c r="N70" s="5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</row>
    <row r="71" spans="1:45" s="18" customFormat="1" x14ac:dyDescent="0.3">
      <c r="A71" s="79" t="s">
        <v>27</v>
      </c>
      <c r="B71" s="80">
        <f>'GERAL 2022'!J18</f>
        <v>118.87</v>
      </c>
      <c r="C71" s="82">
        <v>6</v>
      </c>
      <c r="D71" s="80">
        <f t="shared" si="3"/>
        <v>19.811666666666667</v>
      </c>
      <c r="E71" s="81"/>
      <c r="F71" s="82"/>
      <c r="G71" s="11"/>
      <c r="H71" s="11"/>
      <c r="I71" s="14"/>
      <c r="J71" s="14"/>
      <c r="K71" s="14"/>
      <c r="L71" s="124"/>
      <c r="M71" s="124"/>
      <c r="N71" s="5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</row>
    <row r="72" spans="1:45" s="32" customFormat="1" x14ac:dyDescent="0.3">
      <c r="A72" s="12" t="s">
        <v>28</v>
      </c>
      <c r="B72" s="2">
        <f>'GERAL 2022'!H18</f>
        <v>14.184042553191489</v>
      </c>
      <c r="C72" s="88">
        <v>5</v>
      </c>
      <c r="D72" s="2">
        <f t="shared" si="3"/>
        <v>2.8368085106382979</v>
      </c>
      <c r="E72" s="88"/>
      <c r="F72" s="90"/>
      <c r="G72" s="11"/>
      <c r="H72" s="11"/>
      <c r="I72" s="20"/>
      <c r="J72" s="20"/>
      <c r="K72" s="20"/>
      <c r="L72" s="15"/>
      <c r="M72" s="14"/>
      <c r="N72" s="57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</row>
    <row r="73" spans="1:45" s="32" customFormat="1" x14ac:dyDescent="0.3">
      <c r="A73" s="79" t="s">
        <v>18</v>
      </c>
      <c r="B73" s="80">
        <f>'GERAL 2022'!J19</f>
        <v>118.87</v>
      </c>
      <c r="C73" s="82">
        <v>6</v>
      </c>
      <c r="D73" s="80">
        <f t="shared" si="3"/>
        <v>19.811666666666667</v>
      </c>
      <c r="E73" s="82"/>
      <c r="F73" s="80"/>
      <c r="G73" s="18"/>
      <c r="H73" s="18"/>
      <c r="I73" s="20"/>
      <c r="J73" s="20"/>
      <c r="K73" s="20"/>
      <c r="L73" s="11"/>
      <c r="M73" s="15"/>
      <c r="N73" s="65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</row>
    <row r="74" spans="1:45" s="32" customFormat="1" x14ac:dyDescent="0.3">
      <c r="A74" s="12" t="s">
        <v>19</v>
      </c>
      <c r="B74" s="2">
        <f>'GERAL 2022'!H19</f>
        <v>14.184042553191489</v>
      </c>
      <c r="C74" s="88">
        <v>5</v>
      </c>
      <c r="D74" s="2">
        <f t="shared" si="3"/>
        <v>2.8368085106382979</v>
      </c>
      <c r="E74" s="88"/>
      <c r="F74" s="88"/>
      <c r="G74" s="18"/>
      <c r="H74" s="18"/>
      <c r="I74" s="20"/>
      <c r="J74" s="20"/>
      <c r="K74" s="20"/>
      <c r="L74" s="11"/>
      <c r="M74" s="11"/>
      <c r="N74" s="65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</row>
    <row r="75" spans="1:45" s="32" customFormat="1" x14ac:dyDescent="0.3">
      <c r="A75" s="79" t="s">
        <v>37</v>
      </c>
      <c r="B75" s="80">
        <f>'GERAL 2022'!J20</f>
        <v>119.02</v>
      </c>
      <c r="C75" s="82">
        <v>6</v>
      </c>
      <c r="D75" s="80">
        <f t="shared" si="3"/>
        <v>19.836666666666666</v>
      </c>
      <c r="E75" s="81"/>
      <c r="F75" s="82"/>
      <c r="G75" s="18"/>
      <c r="H75" s="18"/>
      <c r="I75" s="20"/>
      <c r="J75" s="20"/>
      <c r="K75" s="20"/>
      <c r="L75" s="14"/>
      <c r="M75" s="14"/>
      <c r="N75" s="65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</row>
    <row r="76" spans="1:45" s="32" customFormat="1" x14ac:dyDescent="0.3">
      <c r="A76" s="12" t="s">
        <v>38</v>
      </c>
      <c r="B76" s="2">
        <f>'GERAL 2022'!H20</f>
        <v>14.184042553191489</v>
      </c>
      <c r="C76" s="88">
        <v>5</v>
      </c>
      <c r="D76" s="2">
        <f t="shared" si="3"/>
        <v>2.8368085106382979</v>
      </c>
      <c r="E76" s="88"/>
      <c r="F76" s="88"/>
      <c r="G76" s="18"/>
      <c r="H76" s="18"/>
      <c r="I76" s="20"/>
      <c r="J76" s="20"/>
      <c r="K76" s="20"/>
      <c r="L76" s="20"/>
      <c r="M76" s="15"/>
      <c r="N76" s="65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</row>
    <row r="77" spans="1:45" s="32" customFormat="1" x14ac:dyDescent="0.3">
      <c r="A77" s="79" t="s">
        <v>45</v>
      </c>
      <c r="B77" s="80">
        <f>'GERAL 2022'!J21</f>
        <v>118.43</v>
      </c>
      <c r="C77" s="82">
        <v>6</v>
      </c>
      <c r="D77" s="80">
        <f t="shared" si="3"/>
        <v>19.738333333333333</v>
      </c>
      <c r="E77" s="81"/>
      <c r="F77" s="82"/>
      <c r="G77" s="18"/>
      <c r="H77" s="18"/>
      <c r="I77" s="20"/>
      <c r="J77" s="20"/>
      <c r="K77" s="20"/>
      <c r="L77" s="20"/>
      <c r="M77" s="11"/>
      <c r="N77" s="65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</row>
    <row r="78" spans="1:45" s="32" customFormat="1" x14ac:dyDescent="0.3">
      <c r="A78" s="12" t="s">
        <v>39</v>
      </c>
      <c r="B78" s="2">
        <f>'GERAL 2022'!H21</f>
        <v>14.184042553191489</v>
      </c>
      <c r="C78" s="88">
        <v>5</v>
      </c>
      <c r="D78" s="2">
        <f t="shared" si="3"/>
        <v>2.8368085106382979</v>
      </c>
      <c r="E78" s="88"/>
      <c r="F78" s="88"/>
      <c r="G78" s="18"/>
      <c r="H78" s="18"/>
      <c r="I78" s="20"/>
      <c r="J78" s="20"/>
      <c r="K78" s="20"/>
      <c r="L78" s="20"/>
      <c r="M78" s="11"/>
      <c r="N78" s="65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</row>
    <row r="79" spans="1:45" s="32" customFormat="1" x14ac:dyDescent="0.3">
      <c r="A79" s="81" t="s">
        <v>49</v>
      </c>
      <c r="B79" s="80"/>
      <c r="C79" s="82"/>
      <c r="D79" s="80"/>
      <c r="E79" s="81"/>
      <c r="F79" s="82"/>
      <c r="G79" s="18"/>
      <c r="H79" s="18"/>
      <c r="I79" s="20"/>
      <c r="J79" s="20"/>
      <c r="K79" s="20"/>
      <c r="L79" s="18"/>
      <c r="M79" s="11"/>
      <c r="N79" s="65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</row>
    <row r="80" spans="1:45" s="32" customFormat="1" x14ac:dyDescent="0.3">
      <c r="A80" s="90" t="s">
        <v>50</v>
      </c>
      <c r="B80" s="2"/>
      <c r="C80" s="88"/>
      <c r="D80" s="2"/>
      <c r="E80" s="88"/>
      <c r="F80" s="88"/>
      <c r="G80" s="18"/>
      <c r="H80" s="18"/>
      <c r="I80" s="20"/>
      <c r="J80" s="20"/>
      <c r="K80" s="20"/>
      <c r="L80" s="18"/>
      <c r="M80" s="14"/>
      <c r="N80" s="65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</row>
    <row r="81" spans="1:46" s="32" customFormat="1" x14ac:dyDescent="0.3">
      <c r="A81" s="81" t="s">
        <v>43</v>
      </c>
      <c r="B81" s="80"/>
      <c r="C81" s="82"/>
      <c r="D81" s="80"/>
      <c r="E81" s="81"/>
      <c r="F81" s="82"/>
      <c r="G81" s="18"/>
      <c r="H81" s="18"/>
      <c r="I81" s="20"/>
      <c r="J81" s="20"/>
      <c r="K81" s="20"/>
      <c r="L81" s="18"/>
      <c r="M81" s="20"/>
      <c r="N81" s="65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</row>
    <row r="82" spans="1:46" s="32" customFormat="1" x14ac:dyDescent="0.3">
      <c r="A82" s="90" t="s">
        <v>44</v>
      </c>
      <c r="B82" s="2"/>
      <c r="C82" s="88"/>
      <c r="D82" s="2"/>
      <c r="E82" s="88"/>
      <c r="F82" s="88"/>
      <c r="G82" s="18"/>
      <c r="H82" s="18"/>
      <c r="I82" s="20"/>
      <c r="J82" s="20"/>
      <c r="K82" s="20"/>
      <c r="L82" s="18"/>
      <c r="M82" s="20"/>
      <c r="N82" s="65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</row>
    <row r="83" spans="1:46" s="32" customFormat="1" x14ac:dyDescent="0.3">
      <c r="A83" s="81" t="s">
        <v>51</v>
      </c>
      <c r="B83" s="80"/>
      <c r="C83" s="82"/>
      <c r="D83" s="80"/>
      <c r="E83" s="82"/>
      <c r="F83" s="80"/>
      <c r="I83" s="21"/>
      <c r="J83" s="21"/>
      <c r="K83" s="21"/>
      <c r="L83" s="18"/>
      <c r="M83" s="20"/>
      <c r="N83" s="65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</row>
    <row r="84" spans="1:46" s="22" customFormat="1" x14ac:dyDescent="0.3">
      <c r="A84" s="90" t="s">
        <v>52</v>
      </c>
      <c r="B84" s="2"/>
      <c r="C84" s="88"/>
      <c r="D84" s="2"/>
      <c r="E84" s="88"/>
      <c r="F84" s="67"/>
      <c r="G84" s="63"/>
      <c r="H84" s="63"/>
      <c r="I84" s="32"/>
      <c r="J84" s="32"/>
      <c r="K84" s="32"/>
      <c r="L84" s="18"/>
      <c r="M84" s="18"/>
      <c r="N84" s="65"/>
    </row>
    <row r="85" spans="1:46" s="22" customFormat="1" x14ac:dyDescent="0.3">
      <c r="A85" s="81" t="s">
        <v>53</v>
      </c>
      <c r="B85" s="80"/>
      <c r="C85" s="82"/>
      <c r="D85" s="80"/>
      <c r="E85" s="82"/>
      <c r="F85" s="82"/>
      <c r="G85" s="11"/>
      <c r="H85" s="63"/>
      <c r="I85" s="21"/>
      <c r="J85" s="21"/>
      <c r="K85" s="21"/>
      <c r="L85" s="18"/>
      <c r="M85" s="18"/>
      <c r="N85" s="65"/>
      <c r="AT85" s="32"/>
    </row>
    <row r="86" spans="1:46" s="22" customFormat="1" x14ac:dyDescent="0.3">
      <c r="A86" s="90" t="s">
        <v>54</v>
      </c>
      <c r="B86" s="2"/>
      <c r="C86" s="88"/>
      <c r="D86" s="2"/>
      <c r="E86" s="88"/>
      <c r="F86" s="67"/>
      <c r="G86" s="21"/>
      <c r="H86" s="21"/>
      <c r="I86" s="21"/>
      <c r="J86" s="21"/>
      <c r="K86" s="21"/>
      <c r="L86" s="32"/>
      <c r="M86" s="32"/>
      <c r="N86" s="65"/>
      <c r="AT86" s="32"/>
    </row>
    <row r="87" spans="1:46" s="22" customFormat="1" x14ac:dyDescent="0.3">
      <c r="A87" s="81" t="s">
        <v>78</v>
      </c>
      <c r="B87" s="80"/>
      <c r="C87" s="82"/>
      <c r="D87" s="80"/>
      <c r="E87" s="82"/>
      <c r="F87" s="82"/>
      <c r="G87" s="11"/>
      <c r="H87" s="63"/>
      <c r="I87" s="21"/>
      <c r="J87" s="21"/>
      <c r="K87" s="21"/>
      <c r="L87" s="32"/>
      <c r="M87" s="18"/>
      <c r="N87" s="65"/>
      <c r="AT87" s="32"/>
    </row>
    <row r="88" spans="1:46" s="22" customFormat="1" x14ac:dyDescent="0.3">
      <c r="A88" s="90" t="s">
        <v>79</v>
      </c>
      <c r="B88" s="2"/>
      <c r="C88" s="88"/>
      <c r="D88" s="2"/>
      <c r="E88" s="88"/>
      <c r="F88" s="67"/>
      <c r="G88" s="21"/>
      <c r="H88" s="21"/>
      <c r="I88" s="21"/>
      <c r="J88" s="21"/>
      <c r="K88" s="21"/>
      <c r="L88" s="21"/>
      <c r="M88" s="21"/>
      <c r="N88" s="65"/>
      <c r="AT88" s="32"/>
    </row>
    <row r="89" spans="1:46" s="22" customFormat="1" x14ac:dyDescent="0.3">
      <c r="A89" s="81" t="s">
        <v>80</v>
      </c>
      <c r="B89" s="80">
        <f>'GERAL 2022'!J27</f>
        <v>119.7</v>
      </c>
      <c r="C89" s="82">
        <v>6</v>
      </c>
      <c r="D89" s="80">
        <f>B89/C89</f>
        <v>19.95</v>
      </c>
      <c r="E89" s="82"/>
      <c r="F89" s="82"/>
      <c r="G89" s="11"/>
      <c r="H89" s="63"/>
      <c r="I89" s="21"/>
      <c r="J89" s="21"/>
      <c r="K89" s="21"/>
      <c r="L89" s="32"/>
      <c r="M89" s="18"/>
      <c r="N89" s="65"/>
      <c r="AT89" s="32"/>
    </row>
    <row r="90" spans="1:46" s="22" customFormat="1" x14ac:dyDescent="0.3">
      <c r="A90" s="90" t="s">
        <v>81</v>
      </c>
      <c r="B90" s="2">
        <f>'GERAL 2022'!H27</f>
        <v>14.184042553191489</v>
      </c>
      <c r="C90" s="88">
        <v>5</v>
      </c>
      <c r="D90" s="2">
        <f>B90/C90</f>
        <v>2.8368085106382979</v>
      </c>
      <c r="E90" s="88"/>
      <c r="F90" s="67"/>
      <c r="G90" s="21"/>
      <c r="H90" s="21"/>
      <c r="I90" s="21"/>
      <c r="J90" s="21"/>
      <c r="K90" s="21"/>
      <c r="L90" s="21"/>
      <c r="M90" s="21"/>
      <c r="N90" s="65"/>
      <c r="AT90" s="32"/>
    </row>
    <row r="91" spans="1:46" s="22" customFormat="1" x14ac:dyDescent="0.3">
      <c r="A91" s="81" t="s">
        <v>82</v>
      </c>
      <c r="B91" s="80"/>
      <c r="C91" s="82"/>
      <c r="D91" s="80"/>
      <c r="E91" s="82"/>
      <c r="F91" s="82"/>
      <c r="G91" s="11"/>
      <c r="H91" s="63"/>
      <c r="I91" s="21"/>
      <c r="J91" s="21"/>
      <c r="K91" s="21"/>
      <c r="L91" s="32"/>
      <c r="M91" s="18"/>
      <c r="N91" s="65"/>
      <c r="AT91" s="32"/>
    </row>
    <row r="92" spans="1:46" s="22" customFormat="1" x14ac:dyDescent="0.3">
      <c r="A92" s="90" t="s">
        <v>83</v>
      </c>
      <c r="B92" s="2"/>
      <c r="C92" s="88"/>
      <c r="D92" s="2"/>
      <c r="E92" s="88"/>
      <c r="F92" s="67"/>
      <c r="G92" s="21"/>
      <c r="H92" s="21"/>
      <c r="I92" s="21"/>
      <c r="J92" s="21"/>
      <c r="K92" s="21"/>
      <c r="L92" s="21"/>
      <c r="M92" s="21"/>
      <c r="N92" s="65"/>
      <c r="AT92" s="32"/>
    </row>
    <row r="93" spans="1:46" s="22" customFormat="1" x14ac:dyDescent="0.3">
      <c r="A93" s="81" t="s">
        <v>84</v>
      </c>
      <c r="B93" s="80">
        <f>'GERAL 2022'!J29</f>
        <v>119.02</v>
      </c>
      <c r="C93" s="82">
        <v>6</v>
      </c>
      <c r="D93" s="80">
        <f>B93/C93</f>
        <v>19.836666666666666</v>
      </c>
      <c r="E93" s="82"/>
      <c r="F93" s="82"/>
      <c r="G93" s="11"/>
      <c r="H93" s="63"/>
      <c r="I93" s="21"/>
      <c r="J93" s="21"/>
      <c r="K93" s="21"/>
      <c r="L93" s="21"/>
      <c r="M93" s="21"/>
      <c r="N93" s="18"/>
      <c r="AT93" s="32"/>
    </row>
    <row r="94" spans="1:46" s="22" customFormat="1" ht="14.4" thickBot="1" x14ac:dyDescent="0.35">
      <c r="A94" s="90" t="s">
        <v>85</v>
      </c>
      <c r="B94" s="2">
        <f>'GERAL 2022'!H29</f>
        <v>14.184042553191489</v>
      </c>
      <c r="C94" s="88">
        <v>5</v>
      </c>
      <c r="D94" s="2">
        <f>B94/C94</f>
        <v>2.8368085106382979</v>
      </c>
      <c r="E94" s="88"/>
      <c r="F94" s="67"/>
      <c r="G94" s="66"/>
      <c r="H94" s="66"/>
      <c r="I94" s="66"/>
      <c r="J94" s="66"/>
      <c r="K94" s="66"/>
      <c r="L94" s="66"/>
      <c r="M94" s="66"/>
      <c r="N94" s="66"/>
      <c r="AT94" s="32"/>
    </row>
    <row r="95" spans="1:46" s="22" customFormat="1" x14ac:dyDescent="0.3">
      <c r="A95" s="32"/>
      <c r="B95" s="32"/>
      <c r="C95" s="32"/>
      <c r="D95" s="32"/>
      <c r="E95" s="32"/>
      <c r="F95" s="32"/>
      <c r="G95" s="32"/>
      <c r="H95" s="32"/>
      <c r="I95" s="21"/>
      <c r="J95" s="21"/>
      <c r="K95" s="21"/>
      <c r="L95" s="32"/>
      <c r="M95" s="32"/>
      <c r="N95" s="32"/>
      <c r="AT95" s="32"/>
    </row>
    <row r="96" spans="1:46" s="22" customFormat="1" x14ac:dyDescent="0.3">
      <c r="A96" s="32"/>
      <c r="B96" s="32"/>
      <c r="C96" s="32"/>
      <c r="D96" s="32"/>
      <c r="E96" s="32"/>
      <c r="F96" s="32"/>
      <c r="G96" s="32"/>
      <c r="H96" s="32"/>
      <c r="I96" s="21"/>
      <c r="J96" s="21"/>
      <c r="K96" s="21"/>
      <c r="L96" s="32"/>
      <c r="M96" s="32"/>
      <c r="N96" s="32"/>
      <c r="AT96" s="32"/>
    </row>
    <row r="97" spans="1:46" s="22" customFormat="1" x14ac:dyDescent="0.3">
      <c r="A97" s="32"/>
      <c r="B97" s="32"/>
      <c r="C97" s="32"/>
      <c r="D97" s="32"/>
      <c r="E97" s="32"/>
      <c r="F97" s="32"/>
      <c r="G97" s="32"/>
      <c r="H97" s="32"/>
      <c r="I97" s="21"/>
      <c r="J97" s="21"/>
      <c r="K97" s="21"/>
      <c r="L97" s="32"/>
      <c r="M97" s="32"/>
      <c r="N97" s="32"/>
      <c r="AT97" s="32"/>
    </row>
    <row r="98" spans="1:46" s="22" customFormat="1" x14ac:dyDescent="0.3">
      <c r="A98" s="32"/>
      <c r="B98" s="32"/>
      <c r="C98" s="32"/>
      <c r="D98" s="32"/>
      <c r="E98" s="32"/>
      <c r="F98" s="32"/>
      <c r="G98" s="32"/>
      <c r="H98" s="32"/>
      <c r="I98" s="21"/>
      <c r="J98" s="21"/>
      <c r="K98" s="21"/>
      <c r="L98" s="32"/>
      <c r="M98" s="32"/>
      <c r="N98" s="32"/>
      <c r="AT98" s="32"/>
    </row>
    <row r="99" spans="1:46" s="22" customFormat="1" x14ac:dyDescent="0.3">
      <c r="A99" s="32"/>
      <c r="B99" s="32"/>
      <c r="C99" s="32"/>
      <c r="D99" s="32"/>
      <c r="E99" s="32"/>
      <c r="F99" s="32"/>
      <c r="G99" s="32"/>
      <c r="H99" s="32"/>
      <c r="I99" s="21"/>
      <c r="J99" s="21"/>
      <c r="K99" s="21"/>
      <c r="L99" s="32"/>
      <c r="M99" s="32"/>
      <c r="N99" s="32"/>
      <c r="AT99" s="32"/>
    </row>
    <row r="100" spans="1:46" s="22" customFormat="1" x14ac:dyDescent="0.3">
      <c r="A100" s="32"/>
      <c r="B100" s="32"/>
      <c r="C100" s="32"/>
      <c r="D100" s="32"/>
      <c r="E100" s="32"/>
      <c r="F100" s="32"/>
      <c r="G100" s="32"/>
      <c r="H100" s="32"/>
      <c r="I100" s="21"/>
      <c r="J100" s="21"/>
      <c r="K100" s="21"/>
      <c r="L100" s="32"/>
      <c r="M100" s="32"/>
      <c r="N100" s="32"/>
      <c r="AT100" s="32"/>
    </row>
    <row r="101" spans="1:46" s="22" customFormat="1" x14ac:dyDescent="0.3">
      <c r="A101" s="32"/>
      <c r="B101" s="32"/>
      <c r="C101" s="32"/>
      <c r="D101" s="32"/>
      <c r="E101" s="32"/>
      <c r="F101" s="32"/>
      <c r="G101" s="32"/>
      <c r="H101" s="32"/>
      <c r="I101" s="21"/>
      <c r="J101" s="21"/>
      <c r="K101" s="21"/>
      <c r="L101" s="32"/>
      <c r="M101" s="32"/>
      <c r="N101" s="32"/>
      <c r="AT101" s="32"/>
    </row>
    <row r="102" spans="1:46" s="22" customFormat="1" x14ac:dyDescent="0.3">
      <c r="A102" s="32"/>
      <c r="B102" s="32"/>
      <c r="C102" s="32"/>
      <c r="D102" s="32"/>
      <c r="E102" s="32"/>
      <c r="F102" s="32"/>
      <c r="G102" s="32"/>
      <c r="H102" s="32"/>
      <c r="I102" s="21"/>
      <c r="J102" s="21"/>
      <c r="K102" s="21"/>
      <c r="L102" s="32"/>
      <c r="M102" s="32"/>
      <c r="N102" s="32"/>
      <c r="AT102" s="32"/>
    </row>
    <row r="103" spans="1:46" s="22" customFormat="1" x14ac:dyDescent="0.3">
      <c r="A103" s="32"/>
      <c r="B103" s="32"/>
      <c r="C103" s="32"/>
      <c r="D103" s="32"/>
      <c r="E103" s="32"/>
      <c r="F103" s="32"/>
      <c r="G103" s="32"/>
      <c r="H103" s="32"/>
      <c r="I103" s="21"/>
      <c r="J103" s="21"/>
      <c r="K103" s="21"/>
      <c r="L103" s="32"/>
      <c r="M103" s="32"/>
      <c r="N103" s="32"/>
      <c r="AT103" s="32"/>
    </row>
    <row r="104" spans="1:46" s="22" customFormat="1" x14ac:dyDescent="0.3">
      <c r="A104" s="32"/>
      <c r="B104" s="32"/>
      <c r="C104" s="32"/>
      <c r="D104" s="32"/>
      <c r="E104" s="32"/>
      <c r="F104" s="32"/>
      <c r="G104" s="32"/>
      <c r="H104" s="32"/>
      <c r="I104" s="21"/>
      <c r="J104" s="21"/>
      <c r="K104" s="21"/>
      <c r="L104" s="32"/>
      <c r="M104" s="32"/>
      <c r="N104" s="32"/>
      <c r="AT104" s="32"/>
    </row>
    <row r="105" spans="1:46" s="22" customFormat="1" x14ac:dyDescent="0.3">
      <c r="A105" s="32"/>
      <c r="B105" s="32"/>
      <c r="C105" s="32"/>
      <c r="D105" s="32"/>
      <c r="E105" s="32"/>
      <c r="F105" s="32"/>
      <c r="G105" s="32"/>
      <c r="H105" s="32"/>
      <c r="I105" s="21"/>
      <c r="J105" s="21"/>
      <c r="K105" s="21"/>
      <c r="L105" s="32"/>
      <c r="M105" s="32"/>
      <c r="N105" s="32"/>
      <c r="AT105" s="32"/>
    </row>
    <row r="106" spans="1:46" s="22" customFormat="1" x14ac:dyDescent="0.3">
      <c r="A106" s="32"/>
      <c r="B106" s="32"/>
      <c r="C106" s="32"/>
      <c r="D106" s="32"/>
      <c r="E106" s="32"/>
      <c r="F106" s="32"/>
      <c r="G106" s="32"/>
      <c r="H106" s="32"/>
      <c r="I106" s="21"/>
      <c r="J106" s="21"/>
      <c r="K106" s="21"/>
      <c r="L106" s="32"/>
      <c r="M106" s="32"/>
      <c r="N106" s="32"/>
      <c r="AT106" s="32"/>
    </row>
    <row r="107" spans="1:46" s="22" customFormat="1" x14ac:dyDescent="0.3">
      <c r="A107" s="32"/>
      <c r="B107" s="32"/>
      <c r="C107" s="32"/>
      <c r="D107" s="32"/>
      <c r="E107" s="32"/>
      <c r="F107" s="32"/>
      <c r="G107" s="32"/>
      <c r="H107" s="32"/>
      <c r="I107" s="21"/>
      <c r="J107" s="21"/>
      <c r="K107" s="21"/>
      <c r="L107" s="32"/>
      <c r="M107" s="32"/>
      <c r="N107" s="32"/>
      <c r="AT107" s="32"/>
    </row>
    <row r="108" spans="1:46" s="22" customFormat="1" x14ac:dyDescent="0.3">
      <c r="A108" s="32"/>
      <c r="B108" s="32"/>
      <c r="C108" s="32"/>
      <c r="D108" s="32"/>
      <c r="E108" s="32"/>
      <c r="F108" s="32"/>
      <c r="G108" s="32"/>
      <c r="H108" s="32"/>
      <c r="I108" s="21"/>
      <c r="J108" s="21"/>
      <c r="K108" s="21"/>
      <c r="L108" s="32"/>
      <c r="M108" s="32"/>
      <c r="N108" s="32"/>
      <c r="AT108" s="32"/>
    </row>
    <row r="109" spans="1:46" s="22" customFormat="1" x14ac:dyDescent="0.3">
      <c r="A109" s="32"/>
      <c r="B109" s="32"/>
      <c r="C109" s="32"/>
      <c r="D109" s="32"/>
      <c r="E109" s="32"/>
      <c r="F109" s="32"/>
      <c r="G109" s="32"/>
      <c r="H109" s="32"/>
      <c r="I109" s="21"/>
      <c r="J109" s="21"/>
      <c r="K109" s="21"/>
      <c r="L109" s="32"/>
      <c r="M109" s="32"/>
      <c r="N109" s="32"/>
      <c r="AT109" s="32"/>
    </row>
    <row r="110" spans="1:46" s="22" customFormat="1" x14ac:dyDescent="0.3">
      <c r="A110" s="32"/>
      <c r="B110" s="32"/>
      <c r="C110" s="32"/>
      <c r="D110" s="32"/>
      <c r="E110" s="32"/>
      <c r="F110" s="32"/>
      <c r="G110" s="32"/>
      <c r="H110" s="32"/>
      <c r="I110" s="21"/>
      <c r="J110" s="21"/>
      <c r="K110" s="21"/>
      <c r="L110" s="32"/>
      <c r="M110" s="32"/>
      <c r="N110" s="32"/>
      <c r="AT110" s="32"/>
    </row>
    <row r="111" spans="1:46" s="22" customFormat="1" x14ac:dyDescent="0.3">
      <c r="A111" s="32"/>
      <c r="B111" s="32"/>
      <c r="C111" s="32"/>
      <c r="D111" s="32"/>
      <c r="E111" s="32"/>
      <c r="F111" s="32"/>
      <c r="G111" s="32"/>
      <c r="H111" s="32"/>
      <c r="I111" s="21"/>
      <c r="J111" s="21"/>
      <c r="K111" s="21"/>
      <c r="L111" s="32"/>
      <c r="M111" s="32"/>
      <c r="N111" s="32"/>
      <c r="AT111" s="32"/>
    </row>
    <row r="112" spans="1:46" s="22" customFormat="1" x14ac:dyDescent="0.3">
      <c r="A112" s="32"/>
      <c r="B112" s="32"/>
      <c r="C112" s="32"/>
      <c r="D112" s="32"/>
      <c r="E112" s="32"/>
      <c r="F112" s="32"/>
      <c r="G112" s="32"/>
      <c r="H112" s="32"/>
      <c r="I112" s="21"/>
      <c r="J112" s="21"/>
      <c r="K112" s="21"/>
      <c r="L112" s="32"/>
      <c r="M112" s="32"/>
      <c r="N112" s="32"/>
      <c r="AT112" s="32"/>
    </row>
    <row r="113" spans="1:46" s="22" customFormat="1" x14ac:dyDescent="0.3">
      <c r="A113" s="32"/>
      <c r="B113" s="32"/>
      <c r="C113" s="32"/>
      <c r="D113" s="32"/>
      <c r="E113" s="32"/>
      <c r="F113" s="32"/>
      <c r="G113" s="32"/>
      <c r="H113" s="32"/>
      <c r="I113" s="21"/>
      <c r="J113" s="21"/>
      <c r="K113" s="21"/>
      <c r="L113" s="32"/>
      <c r="M113" s="32"/>
      <c r="N113" s="32"/>
      <c r="AT113" s="32"/>
    </row>
    <row r="114" spans="1:46" s="22" customFormat="1" x14ac:dyDescent="0.3">
      <c r="A114" s="32"/>
      <c r="B114" s="32"/>
      <c r="C114" s="32"/>
      <c r="D114" s="32"/>
      <c r="E114" s="32"/>
      <c r="F114" s="32"/>
      <c r="G114" s="32"/>
      <c r="H114" s="32"/>
      <c r="I114" s="24"/>
      <c r="J114" s="24"/>
      <c r="K114" s="24"/>
      <c r="L114" s="32"/>
      <c r="M114" s="32"/>
      <c r="N114" s="32"/>
      <c r="AT114" s="32"/>
    </row>
    <row r="115" spans="1:46" s="22" customFormat="1" x14ac:dyDescent="0.3">
      <c r="A115" s="32"/>
      <c r="B115" s="32"/>
      <c r="C115" s="32"/>
      <c r="D115" s="32"/>
      <c r="E115" s="32"/>
      <c r="F115" s="32"/>
      <c r="G115" s="32"/>
      <c r="H115" s="32"/>
      <c r="I115" s="24"/>
      <c r="J115" s="24"/>
      <c r="K115" s="24"/>
      <c r="L115" s="32"/>
      <c r="M115" s="32"/>
      <c r="N115" s="32"/>
      <c r="AT115" s="32"/>
    </row>
    <row r="116" spans="1:46" s="22" customFormat="1" x14ac:dyDescent="0.3">
      <c r="A116" s="32"/>
      <c r="B116" s="32"/>
      <c r="C116" s="32"/>
      <c r="D116" s="32"/>
      <c r="E116" s="32"/>
      <c r="F116" s="32"/>
      <c r="G116" s="32"/>
      <c r="H116" s="32"/>
      <c r="I116" s="24"/>
      <c r="J116" s="24"/>
      <c r="K116" s="24"/>
      <c r="L116" s="25"/>
      <c r="M116" s="32"/>
      <c r="N116" s="32"/>
      <c r="AT116" s="32"/>
    </row>
    <row r="117" spans="1:46" s="22" customFormat="1" x14ac:dyDescent="0.3">
      <c r="A117" s="32"/>
      <c r="B117" s="32"/>
      <c r="C117" s="32"/>
      <c r="D117" s="32"/>
      <c r="E117" s="32"/>
      <c r="F117" s="32"/>
      <c r="G117" s="32"/>
      <c r="H117" s="32"/>
      <c r="I117" s="24"/>
      <c r="J117" s="24"/>
      <c r="K117" s="24"/>
      <c r="L117" s="25"/>
      <c r="M117" s="32"/>
      <c r="N117" s="32"/>
      <c r="AT117" s="32"/>
    </row>
    <row r="118" spans="1:46" s="22" customFormat="1" x14ac:dyDescent="0.3">
      <c r="A118" s="32"/>
      <c r="B118" s="32"/>
      <c r="C118" s="32"/>
      <c r="D118" s="32"/>
      <c r="E118" s="32"/>
      <c r="F118" s="32"/>
      <c r="G118" s="32"/>
      <c r="H118" s="32"/>
      <c r="I118" s="24"/>
      <c r="J118" s="24"/>
      <c r="K118" s="24"/>
      <c r="L118" s="25"/>
      <c r="M118" s="32"/>
      <c r="AT118" s="32"/>
    </row>
    <row r="119" spans="1:46" s="22" customFormat="1" x14ac:dyDescent="0.3">
      <c r="A119" s="32"/>
      <c r="B119" s="32"/>
      <c r="C119" s="32"/>
      <c r="D119" s="32"/>
      <c r="E119" s="32"/>
      <c r="F119" s="32"/>
      <c r="G119" s="32"/>
      <c r="H119" s="32"/>
      <c r="I119" s="24"/>
      <c r="J119" s="24"/>
      <c r="K119" s="24"/>
      <c r="L119" s="25"/>
      <c r="M119" s="32"/>
      <c r="AT119" s="32"/>
    </row>
    <row r="120" spans="1:46" s="22" customFormat="1" x14ac:dyDescent="0.3">
      <c r="A120" s="32"/>
      <c r="B120" s="32"/>
      <c r="C120" s="32"/>
      <c r="D120" s="32"/>
      <c r="E120" s="32"/>
      <c r="F120" s="32"/>
      <c r="G120" s="32"/>
      <c r="H120" s="32"/>
      <c r="I120" s="24"/>
      <c r="J120" s="24"/>
      <c r="K120" s="24"/>
      <c r="L120" s="25"/>
      <c r="M120" s="32"/>
      <c r="AT120" s="32"/>
    </row>
    <row r="121" spans="1:46" s="22" customFormat="1" x14ac:dyDescent="0.3">
      <c r="A121" s="32"/>
      <c r="B121" s="32"/>
      <c r="C121" s="32"/>
      <c r="D121" s="32"/>
      <c r="E121" s="32"/>
      <c r="F121" s="32"/>
      <c r="G121" s="32"/>
      <c r="H121" s="32"/>
      <c r="I121" s="24"/>
      <c r="J121" s="24"/>
      <c r="K121" s="24"/>
      <c r="L121" s="25"/>
      <c r="M121" s="25"/>
      <c r="AT121" s="32"/>
    </row>
    <row r="122" spans="1:46" s="22" customFormat="1" x14ac:dyDescent="0.3">
      <c r="A122" s="32"/>
      <c r="B122" s="32"/>
      <c r="C122" s="32"/>
      <c r="D122" s="32"/>
      <c r="E122" s="32"/>
      <c r="F122" s="32"/>
      <c r="G122" s="32"/>
      <c r="H122" s="32"/>
      <c r="I122" s="24"/>
      <c r="J122" s="24"/>
      <c r="K122" s="24"/>
      <c r="L122" s="25"/>
      <c r="M122" s="25"/>
      <c r="AT122" s="32"/>
    </row>
    <row r="123" spans="1:46" s="22" customFormat="1" x14ac:dyDescent="0.3">
      <c r="A123" s="32"/>
      <c r="B123" s="32"/>
      <c r="C123" s="32"/>
      <c r="D123" s="32"/>
      <c r="E123" s="32"/>
      <c r="F123" s="32"/>
      <c r="G123" s="32"/>
      <c r="H123" s="32"/>
      <c r="I123" s="24"/>
      <c r="J123" s="24"/>
      <c r="K123" s="24"/>
      <c r="L123" s="25"/>
      <c r="M123" s="25"/>
      <c r="AT123" s="32"/>
    </row>
    <row r="124" spans="1:46" s="22" customFormat="1" x14ac:dyDescent="0.3">
      <c r="I124" s="24"/>
      <c r="J124" s="24"/>
      <c r="K124" s="24"/>
      <c r="L124" s="25"/>
      <c r="M124" s="25"/>
      <c r="AT124" s="32"/>
    </row>
    <row r="125" spans="1:46" s="22" customFormat="1" x14ac:dyDescent="0.3">
      <c r="I125" s="24"/>
      <c r="J125" s="24"/>
      <c r="K125" s="24"/>
      <c r="L125" s="25"/>
      <c r="M125" s="25"/>
      <c r="AT125" s="32"/>
    </row>
    <row r="126" spans="1:46" s="22" customFormat="1" x14ac:dyDescent="0.3">
      <c r="I126" s="24"/>
      <c r="J126" s="24"/>
      <c r="K126" s="24"/>
      <c r="L126" s="25"/>
      <c r="M126" s="25"/>
      <c r="AT126" s="32"/>
    </row>
    <row r="127" spans="1:46" s="22" customFormat="1" x14ac:dyDescent="0.3">
      <c r="I127" s="24"/>
      <c r="J127" s="24"/>
      <c r="K127" s="24"/>
      <c r="L127" s="25"/>
      <c r="M127" s="25"/>
      <c r="AT127" s="32"/>
    </row>
    <row r="128" spans="1:46" s="22" customFormat="1" x14ac:dyDescent="0.3">
      <c r="I128" s="24"/>
      <c r="J128" s="24"/>
      <c r="K128" s="24"/>
      <c r="L128" s="25"/>
      <c r="M128" s="25"/>
      <c r="AT128" s="32"/>
    </row>
    <row r="129" spans="9:46" s="22" customFormat="1" x14ac:dyDescent="0.3">
      <c r="I129" s="24"/>
      <c r="J129" s="24"/>
      <c r="K129" s="24"/>
      <c r="L129" s="25"/>
      <c r="M129" s="25"/>
      <c r="AT129" s="32"/>
    </row>
    <row r="130" spans="9:46" s="22" customFormat="1" x14ac:dyDescent="0.3">
      <c r="I130" s="24"/>
      <c r="J130" s="24"/>
      <c r="K130" s="24"/>
      <c r="L130" s="25"/>
      <c r="M130" s="25"/>
      <c r="AT130" s="32"/>
    </row>
    <row r="131" spans="9:46" s="22" customFormat="1" x14ac:dyDescent="0.3">
      <c r="I131" s="24"/>
      <c r="J131" s="24"/>
      <c r="K131" s="24"/>
      <c r="L131" s="25"/>
      <c r="M131" s="25"/>
      <c r="AT131" s="32"/>
    </row>
    <row r="132" spans="9:46" s="22" customFormat="1" x14ac:dyDescent="0.3">
      <c r="I132" s="24"/>
      <c r="J132" s="24"/>
      <c r="K132" s="24"/>
      <c r="L132" s="25"/>
      <c r="M132" s="25"/>
      <c r="AT132" s="32"/>
    </row>
    <row r="133" spans="9:46" s="22" customFormat="1" x14ac:dyDescent="0.3">
      <c r="I133" s="24"/>
      <c r="J133" s="24"/>
      <c r="K133" s="24"/>
      <c r="L133" s="25"/>
      <c r="M133" s="25"/>
      <c r="AT133" s="32"/>
    </row>
    <row r="134" spans="9:46" s="22" customFormat="1" x14ac:dyDescent="0.3">
      <c r="I134" s="24"/>
      <c r="J134" s="24"/>
      <c r="K134" s="24"/>
      <c r="L134" s="25"/>
      <c r="M134" s="25"/>
      <c r="AT134" s="32"/>
    </row>
    <row r="135" spans="9:46" s="22" customFormat="1" x14ac:dyDescent="0.3">
      <c r="I135" s="24"/>
      <c r="J135" s="24"/>
      <c r="K135" s="24"/>
      <c r="L135" s="25"/>
      <c r="M135" s="25"/>
      <c r="AT135" s="32"/>
    </row>
    <row r="136" spans="9:46" s="22" customFormat="1" x14ac:dyDescent="0.3">
      <c r="I136" s="24"/>
      <c r="J136" s="24"/>
      <c r="K136" s="24"/>
      <c r="L136" s="25"/>
      <c r="M136" s="25"/>
      <c r="AT136" s="32"/>
    </row>
    <row r="137" spans="9:46" s="22" customFormat="1" x14ac:dyDescent="0.3">
      <c r="I137" s="24"/>
      <c r="J137" s="24"/>
      <c r="K137" s="24"/>
      <c r="L137" s="25"/>
      <c r="M137" s="25"/>
      <c r="AT137" s="32"/>
    </row>
    <row r="138" spans="9:46" s="22" customFormat="1" x14ac:dyDescent="0.3">
      <c r="I138" s="24"/>
      <c r="J138" s="24"/>
      <c r="K138" s="24"/>
      <c r="L138" s="25"/>
      <c r="M138" s="25"/>
      <c r="AT138" s="32"/>
    </row>
    <row r="139" spans="9:46" s="22" customFormat="1" x14ac:dyDescent="0.3">
      <c r="I139" s="24"/>
      <c r="J139" s="24"/>
      <c r="K139" s="24"/>
      <c r="L139" s="25"/>
      <c r="M139" s="25"/>
      <c r="AT139" s="32"/>
    </row>
    <row r="140" spans="9:46" s="22" customFormat="1" x14ac:dyDescent="0.3">
      <c r="I140" s="24"/>
      <c r="J140" s="24"/>
      <c r="K140" s="24"/>
      <c r="L140" s="25"/>
      <c r="M140" s="25"/>
      <c r="AT140" s="32"/>
    </row>
    <row r="141" spans="9:46" s="22" customFormat="1" x14ac:dyDescent="0.3">
      <c r="I141" s="24"/>
      <c r="J141" s="24"/>
      <c r="K141" s="24"/>
      <c r="L141" s="25"/>
      <c r="M141" s="25"/>
      <c r="AT141" s="32"/>
    </row>
    <row r="142" spans="9:46" s="22" customFormat="1" x14ac:dyDescent="0.3">
      <c r="I142" s="24"/>
      <c r="J142" s="24"/>
      <c r="K142" s="24"/>
      <c r="L142" s="25"/>
      <c r="M142" s="25"/>
      <c r="AT142" s="32"/>
    </row>
    <row r="143" spans="9:46" s="22" customFormat="1" x14ac:dyDescent="0.3">
      <c r="I143" s="24"/>
      <c r="J143" s="24"/>
      <c r="K143" s="24"/>
      <c r="L143" s="25"/>
      <c r="M143" s="25"/>
      <c r="AT143" s="32"/>
    </row>
    <row r="144" spans="9:46" s="22" customFormat="1" x14ac:dyDescent="0.3">
      <c r="I144" s="24"/>
      <c r="J144" s="24"/>
      <c r="K144" s="24"/>
      <c r="L144" s="25"/>
      <c r="M144" s="25"/>
      <c r="AT144" s="32"/>
    </row>
    <row r="145" spans="9:46" s="22" customFormat="1" x14ac:dyDescent="0.3">
      <c r="I145" s="24"/>
      <c r="J145" s="24"/>
      <c r="K145" s="24"/>
      <c r="L145" s="25"/>
      <c r="M145" s="25"/>
      <c r="AT145" s="32"/>
    </row>
    <row r="146" spans="9:46" s="22" customFormat="1" x14ac:dyDescent="0.3">
      <c r="I146" s="24"/>
      <c r="J146" s="24"/>
      <c r="K146" s="24"/>
      <c r="L146" s="25"/>
      <c r="M146" s="25"/>
      <c r="AT146" s="32"/>
    </row>
    <row r="147" spans="9:46" s="22" customFormat="1" x14ac:dyDescent="0.3">
      <c r="I147" s="24"/>
      <c r="J147" s="24"/>
      <c r="K147" s="24"/>
      <c r="L147" s="25"/>
      <c r="M147" s="25"/>
      <c r="AT147" s="32"/>
    </row>
    <row r="148" spans="9:46" s="22" customFormat="1" x14ac:dyDescent="0.3">
      <c r="I148" s="24"/>
      <c r="J148" s="24"/>
      <c r="K148" s="24"/>
      <c r="L148" s="25"/>
      <c r="M148" s="25"/>
      <c r="AT148" s="32"/>
    </row>
    <row r="149" spans="9:46" s="22" customFormat="1" x14ac:dyDescent="0.3">
      <c r="I149" s="24"/>
      <c r="J149" s="24"/>
      <c r="K149" s="24"/>
      <c r="L149" s="25"/>
      <c r="M149" s="25"/>
      <c r="AT149" s="32"/>
    </row>
    <row r="150" spans="9:46" s="22" customFormat="1" x14ac:dyDescent="0.3">
      <c r="I150" s="24"/>
      <c r="J150" s="24"/>
      <c r="K150" s="24"/>
      <c r="L150" s="25"/>
      <c r="M150" s="25"/>
      <c r="AT150" s="32"/>
    </row>
    <row r="151" spans="9:46" s="22" customFormat="1" x14ac:dyDescent="0.3">
      <c r="I151" s="24"/>
      <c r="J151" s="24"/>
      <c r="K151" s="24"/>
      <c r="L151" s="25"/>
      <c r="M151" s="25"/>
      <c r="AT151" s="32"/>
    </row>
    <row r="152" spans="9:46" s="22" customFormat="1" x14ac:dyDescent="0.3">
      <c r="I152" s="24"/>
      <c r="J152" s="24"/>
      <c r="K152" s="24"/>
      <c r="L152" s="25"/>
      <c r="M152" s="25"/>
      <c r="AT152" s="32"/>
    </row>
    <row r="153" spans="9:46" s="22" customFormat="1" x14ac:dyDescent="0.3">
      <c r="I153" s="24"/>
      <c r="J153" s="24"/>
      <c r="K153" s="24"/>
      <c r="L153" s="25"/>
      <c r="M153" s="25"/>
      <c r="AT153" s="32"/>
    </row>
    <row r="154" spans="9:46" s="22" customFormat="1" x14ac:dyDescent="0.3">
      <c r="I154" s="24"/>
      <c r="J154" s="24"/>
      <c r="K154" s="24"/>
      <c r="L154" s="25"/>
      <c r="M154" s="25"/>
      <c r="AT154" s="32"/>
    </row>
    <row r="155" spans="9:46" s="22" customFormat="1" x14ac:dyDescent="0.3">
      <c r="I155" s="24"/>
      <c r="J155" s="24"/>
      <c r="K155" s="24"/>
      <c r="L155" s="25"/>
      <c r="M155" s="25"/>
      <c r="AT155" s="32"/>
    </row>
    <row r="156" spans="9:46" s="22" customFormat="1" x14ac:dyDescent="0.3">
      <c r="I156" s="24"/>
      <c r="J156" s="24"/>
      <c r="K156" s="24"/>
      <c r="L156" s="25"/>
      <c r="M156" s="25"/>
      <c r="AT156" s="32"/>
    </row>
    <row r="157" spans="9:46" s="22" customFormat="1" x14ac:dyDescent="0.3">
      <c r="I157" s="24"/>
      <c r="J157" s="24"/>
      <c r="K157" s="24"/>
      <c r="L157" s="25"/>
      <c r="M157" s="25"/>
      <c r="AT157" s="32"/>
    </row>
    <row r="158" spans="9:46" s="22" customFormat="1" x14ac:dyDescent="0.3">
      <c r="I158" s="24"/>
      <c r="J158" s="24"/>
      <c r="K158" s="24"/>
      <c r="L158" s="25"/>
      <c r="M158" s="25"/>
      <c r="AT158" s="32"/>
    </row>
    <row r="159" spans="9:46" s="22" customFormat="1" x14ac:dyDescent="0.3">
      <c r="I159" s="24"/>
      <c r="J159" s="24"/>
      <c r="K159" s="24"/>
      <c r="L159" s="25"/>
      <c r="M159" s="25"/>
      <c r="AT159" s="32"/>
    </row>
    <row r="160" spans="9:46" s="22" customFormat="1" x14ac:dyDescent="0.3">
      <c r="I160" s="24"/>
      <c r="J160" s="24"/>
      <c r="K160" s="24"/>
      <c r="L160" s="25"/>
      <c r="M160" s="25"/>
      <c r="AT160" s="32"/>
    </row>
    <row r="161" spans="9:46" s="22" customFormat="1" x14ac:dyDescent="0.3">
      <c r="I161" s="24"/>
      <c r="J161" s="24"/>
      <c r="K161" s="24"/>
      <c r="L161" s="25"/>
      <c r="M161" s="25"/>
      <c r="AT161" s="32"/>
    </row>
    <row r="162" spans="9:46" s="22" customFormat="1" x14ac:dyDescent="0.3">
      <c r="I162" s="24"/>
      <c r="J162" s="24"/>
      <c r="K162" s="24"/>
      <c r="L162" s="25"/>
      <c r="M162" s="25"/>
      <c r="AT162" s="32"/>
    </row>
    <row r="163" spans="9:46" s="22" customFormat="1" x14ac:dyDescent="0.3">
      <c r="I163" s="24"/>
      <c r="J163" s="24"/>
      <c r="K163" s="24"/>
      <c r="L163" s="25"/>
      <c r="M163" s="25"/>
      <c r="AT163" s="32"/>
    </row>
    <row r="164" spans="9:46" s="22" customFormat="1" x14ac:dyDescent="0.3">
      <c r="I164" s="24"/>
      <c r="J164" s="24"/>
      <c r="K164" s="24"/>
      <c r="L164" s="25"/>
      <c r="M164" s="25"/>
      <c r="AT164" s="32"/>
    </row>
    <row r="165" spans="9:46" s="22" customFormat="1" x14ac:dyDescent="0.3">
      <c r="I165" s="24"/>
      <c r="J165" s="24"/>
      <c r="K165" s="24"/>
      <c r="L165" s="25"/>
      <c r="M165" s="25"/>
      <c r="AT165" s="32"/>
    </row>
    <row r="166" spans="9:46" s="22" customFormat="1" x14ac:dyDescent="0.3">
      <c r="I166" s="24"/>
      <c r="J166" s="24"/>
      <c r="K166" s="24"/>
      <c r="L166" s="25"/>
      <c r="M166" s="25"/>
      <c r="AT166" s="32"/>
    </row>
    <row r="167" spans="9:46" s="22" customFormat="1" x14ac:dyDescent="0.3">
      <c r="I167" s="24"/>
      <c r="J167" s="24"/>
      <c r="K167" s="24"/>
      <c r="L167" s="25"/>
      <c r="M167" s="25"/>
      <c r="AT167" s="32"/>
    </row>
    <row r="168" spans="9:46" s="22" customFormat="1" x14ac:dyDescent="0.3">
      <c r="I168" s="24"/>
      <c r="J168" s="24"/>
      <c r="K168" s="24"/>
      <c r="L168" s="25"/>
      <c r="M168" s="25"/>
      <c r="AT168" s="32"/>
    </row>
    <row r="169" spans="9:46" s="22" customFormat="1" x14ac:dyDescent="0.3">
      <c r="I169" s="24"/>
      <c r="J169" s="24"/>
      <c r="K169" s="24"/>
      <c r="L169" s="25"/>
      <c r="M169" s="25"/>
      <c r="AT169" s="32"/>
    </row>
    <row r="170" spans="9:46" s="22" customFormat="1" x14ac:dyDescent="0.3">
      <c r="I170" s="24"/>
      <c r="J170" s="24"/>
      <c r="K170" s="24"/>
      <c r="L170" s="25"/>
      <c r="M170" s="25"/>
      <c r="AT170" s="32"/>
    </row>
    <row r="171" spans="9:46" s="22" customFormat="1" x14ac:dyDescent="0.3">
      <c r="I171" s="24"/>
      <c r="J171" s="24"/>
      <c r="K171" s="24"/>
      <c r="L171" s="25"/>
      <c r="M171" s="25"/>
      <c r="AT171" s="32"/>
    </row>
    <row r="172" spans="9:46" s="22" customFormat="1" x14ac:dyDescent="0.3">
      <c r="I172" s="24"/>
      <c r="J172" s="24"/>
      <c r="K172" s="24"/>
      <c r="L172" s="25"/>
      <c r="M172" s="25"/>
      <c r="AT172" s="32"/>
    </row>
    <row r="173" spans="9:46" s="22" customFormat="1" x14ac:dyDescent="0.3">
      <c r="I173" s="24"/>
      <c r="J173" s="24"/>
      <c r="K173" s="24"/>
      <c r="L173" s="25"/>
      <c r="M173" s="25"/>
      <c r="AT173" s="32"/>
    </row>
    <row r="174" spans="9:46" s="22" customFormat="1" x14ac:dyDescent="0.3">
      <c r="I174" s="24"/>
      <c r="J174" s="24"/>
      <c r="K174" s="24"/>
      <c r="L174" s="25"/>
      <c r="M174" s="25"/>
      <c r="AT174" s="32"/>
    </row>
    <row r="175" spans="9:46" s="22" customFormat="1" x14ac:dyDescent="0.3">
      <c r="I175" s="24"/>
      <c r="J175" s="24"/>
      <c r="K175" s="24"/>
      <c r="L175" s="25"/>
      <c r="M175" s="25"/>
      <c r="AT175" s="32"/>
    </row>
    <row r="176" spans="9:46" s="22" customFormat="1" x14ac:dyDescent="0.3">
      <c r="I176" s="24"/>
      <c r="J176" s="24"/>
      <c r="K176" s="24"/>
      <c r="L176" s="25"/>
      <c r="M176" s="25"/>
      <c r="AT176" s="32"/>
    </row>
    <row r="177" spans="1:47" s="22" customFormat="1" x14ac:dyDescent="0.3">
      <c r="I177" s="24"/>
      <c r="J177" s="24"/>
      <c r="K177" s="24"/>
      <c r="L177" s="25"/>
      <c r="M177" s="25"/>
      <c r="AT177" s="32"/>
    </row>
    <row r="178" spans="1:47" s="22" customFormat="1" x14ac:dyDescent="0.3">
      <c r="I178" s="24"/>
      <c r="J178" s="24"/>
      <c r="K178" s="24"/>
      <c r="L178" s="25"/>
      <c r="M178" s="25"/>
      <c r="AT178" s="32"/>
    </row>
    <row r="179" spans="1:47" s="22" customFormat="1" x14ac:dyDescent="0.3">
      <c r="I179" s="24"/>
      <c r="J179" s="24"/>
      <c r="K179" s="24"/>
      <c r="L179" s="25"/>
      <c r="M179" s="25"/>
      <c r="AT179" s="32"/>
    </row>
    <row r="180" spans="1:47" s="30" customFormat="1" x14ac:dyDescent="0.3">
      <c r="A180" s="22"/>
      <c r="B180" s="22"/>
      <c r="C180" s="22"/>
      <c r="D180" s="22"/>
      <c r="E180" s="22"/>
      <c r="F180" s="22"/>
      <c r="G180" s="22"/>
      <c r="H180" s="22"/>
      <c r="I180" s="24"/>
      <c r="J180" s="24"/>
      <c r="K180" s="24"/>
      <c r="L180" s="25"/>
      <c r="M180" s="25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32"/>
      <c r="AU180" s="22"/>
    </row>
    <row r="181" spans="1:47" s="30" customFormat="1" x14ac:dyDescent="0.3">
      <c r="A181" s="22"/>
      <c r="B181" s="22"/>
      <c r="C181" s="22"/>
      <c r="D181" s="22"/>
      <c r="E181" s="22"/>
      <c r="F181" s="22"/>
      <c r="G181" s="22"/>
      <c r="H181" s="22"/>
      <c r="I181" s="24"/>
      <c r="J181" s="24"/>
      <c r="K181" s="24"/>
      <c r="L181" s="25"/>
      <c r="M181" s="25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32"/>
      <c r="AU181" s="22"/>
    </row>
    <row r="182" spans="1:47" s="30" customFormat="1" x14ac:dyDescent="0.3">
      <c r="A182" s="22"/>
      <c r="B182" s="22"/>
      <c r="C182" s="22"/>
      <c r="D182" s="22"/>
      <c r="E182" s="22"/>
      <c r="F182" s="22"/>
      <c r="G182" s="22"/>
      <c r="H182" s="22"/>
      <c r="I182" s="24"/>
      <c r="J182" s="24"/>
      <c r="K182" s="24"/>
      <c r="L182" s="25"/>
      <c r="M182" s="25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32"/>
      <c r="AU182" s="22"/>
    </row>
    <row r="183" spans="1:47" s="30" customFormat="1" x14ac:dyDescent="0.3">
      <c r="A183" s="22"/>
      <c r="B183" s="22"/>
      <c r="C183" s="22"/>
      <c r="D183" s="22"/>
      <c r="E183" s="22"/>
      <c r="F183" s="22"/>
      <c r="G183" s="22"/>
      <c r="H183" s="22"/>
      <c r="I183" s="24"/>
      <c r="J183" s="24"/>
      <c r="K183" s="24"/>
      <c r="L183" s="25"/>
      <c r="M183" s="25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32"/>
      <c r="AU183" s="22"/>
    </row>
    <row r="184" spans="1:47" s="30" customFormat="1" x14ac:dyDescent="0.3">
      <c r="A184" s="22"/>
      <c r="B184" s="22"/>
      <c r="C184" s="22"/>
      <c r="D184" s="22"/>
      <c r="E184" s="22"/>
      <c r="F184" s="22"/>
      <c r="G184" s="22"/>
      <c r="H184" s="22"/>
      <c r="I184" s="24"/>
      <c r="J184" s="24"/>
      <c r="K184" s="24"/>
      <c r="L184" s="25"/>
      <c r="M184" s="25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32"/>
      <c r="AU184" s="22"/>
    </row>
    <row r="185" spans="1:47" s="30" customFormat="1" x14ac:dyDescent="0.3">
      <c r="A185" s="22"/>
      <c r="B185" s="22"/>
      <c r="C185" s="22"/>
      <c r="D185" s="22"/>
      <c r="E185" s="22"/>
      <c r="F185" s="22"/>
      <c r="G185" s="22"/>
      <c r="H185" s="22"/>
      <c r="I185" s="24"/>
      <c r="J185" s="24"/>
      <c r="K185" s="24"/>
      <c r="L185" s="25"/>
      <c r="M185" s="25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32"/>
      <c r="AU185" s="22"/>
    </row>
    <row r="186" spans="1:47" s="30" customFormat="1" x14ac:dyDescent="0.3">
      <c r="A186" s="22"/>
      <c r="B186" s="22"/>
      <c r="C186" s="22"/>
      <c r="D186" s="22"/>
      <c r="E186" s="22"/>
      <c r="F186" s="22"/>
      <c r="G186" s="22"/>
      <c r="H186" s="22"/>
      <c r="I186" s="24"/>
      <c r="J186" s="24"/>
      <c r="K186" s="24"/>
      <c r="L186" s="25"/>
      <c r="M186" s="25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32"/>
      <c r="AU186" s="22"/>
    </row>
    <row r="187" spans="1:47" s="30" customFormat="1" x14ac:dyDescent="0.3">
      <c r="A187" s="22"/>
      <c r="B187" s="22"/>
      <c r="C187" s="22"/>
      <c r="D187" s="22"/>
      <c r="E187" s="22"/>
      <c r="F187" s="22"/>
      <c r="G187" s="22"/>
      <c r="H187" s="22"/>
      <c r="I187" s="24"/>
      <c r="J187" s="24"/>
      <c r="K187" s="24"/>
      <c r="L187" s="25"/>
      <c r="M187" s="25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32"/>
      <c r="AU187" s="22"/>
    </row>
    <row r="188" spans="1:47" s="30" customFormat="1" x14ac:dyDescent="0.3">
      <c r="A188" s="22"/>
      <c r="B188" s="22"/>
      <c r="C188" s="22"/>
      <c r="D188" s="22"/>
      <c r="E188" s="22"/>
      <c r="F188" s="22"/>
      <c r="G188" s="22"/>
      <c r="H188" s="22"/>
      <c r="I188" s="24"/>
      <c r="J188" s="24"/>
      <c r="K188" s="24"/>
      <c r="L188" s="25"/>
      <c r="M188" s="25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32"/>
      <c r="AU188" s="22"/>
    </row>
    <row r="189" spans="1:47" s="30" customFormat="1" x14ac:dyDescent="0.3">
      <c r="A189" s="22"/>
      <c r="B189" s="22"/>
      <c r="C189" s="22"/>
      <c r="D189" s="22"/>
      <c r="E189" s="22"/>
      <c r="F189" s="22"/>
      <c r="G189" s="22"/>
      <c r="H189" s="22"/>
      <c r="I189" s="24"/>
      <c r="J189" s="24"/>
      <c r="K189" s="24"/>
      <c r="L189" s="25"/>
      <c r="M189" s="25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32"/>
      <c r="AU189" s="22"/>
    </row>
    <row r="190" spans="1:47" s="30" customFormat="1" x14ac:dyDescent="0.3">
      <c r="A190" s="22"/>
      <c r="B190" s="22"/>
      <c r="C190" s="22"/>
      <c r="D190" s="22"/>
      <c r="E190" s="22"/>
      <c r="F190" s="22"/>
      <c r="G190" s="22"/>
      <c r="H190" s="22"/>
      <c r="I190" s="24"/>
      <c r="J190" s="24"/>
      <c r="K190" s="24"/>
      <c r="L190" s="25"/>
      <c r="M190" s="25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32"/>
      <c r="AU190" s="22"/>
    </row>
    <row r="191" spans="1:47" s="30" customFormat="1" x14ac:dyDescent="0.3">
      <c r="A191" s="22"/>
      <c r="B191" s="22"/>
      <c r="C191" s="22"/>
      <c r="D191" s="22"/>
      <c r="E191" s="22"/>
      <c r="F191" s="22"/>
      <c r="G191" s="22"/>
      <c r="H191" s="22"/>
      <c r="I191" s="27"/>
      <c r="J191" s="27"/>
      <c r="K191" s="27"/>
      <c r="L191" s="25"/>
      <c r="M191" s="25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32"/>
      <c r="AU191" s="22"/>
    </row>
    <row r="192" spans="1:47" s="30" customFormat="1" x14ac:dyDescent="0.3">
      <c r="A192" s="22"/>
      <c r="B192" s="22"/>
      <c r="C192" s="22"/>
      <c r="D192" s="22"/>
      <c r="E192" s="22"/>
      <c r="F192" s="22"/>
      <c r="G192" s="22"/>
      <c r="H192" s="22"/>
      <c r="I192" s="27"/>
      <c r="J192" s="27"/>
      <c r="K192" s="27"/>
      <c r="L192" s="25"/>
      <c r="M192" s="25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32"/>
      <c r="AU192" s="22"/>
    </row>
    <row r="193" spans="1:47" s="30" customFormat="1" x14ac:dyDescent="0.3">
      <c r="A193" s="22"/>
      <c r="B193" s="22"/>
      <c r="C193" s="22"/>
      <c r="D193" s="22"/>
      <c r="E193" s="22"/>
      <c r="F193" s="22"/>
      <c r="G193" s="22"/>
      <c r="H193" s="22"/>
      <c r="I193" s="27"/>
      <c r="J193" s="27"/>
      <c r="K193" s="27"/>
      <c r="L193" s="28"/>
      <c r="M193" s="25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32"/>
      <c r="AU193" s="22"/>
    </row>
    <row r="194" spans="1:47" s="30" customFormat="1" x14ac:dyDescent="0.3">
      <c r="A194" s="22"/>
      <c r="B194" s="22"/>
      <c r="C194" s="22"/>
      <c r="D194" s="22"/>
      <c r="E194" s="22"/>
      <c r="F194" s="22"/>
      <c r="G194" s="22"/>
      <c r="H194" s="22"/>
      <c r="I194" s="27"/>
      <c r="J194" s="27"/>
      <c r="K194" s="27"/>
      <c r="L194" s="28"/>
      <c r="M194" s="25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32"/>
      <c r="AU194" s="22"/>
    </row>
    <row r="195" spans="1:47" s="30" customFormat="1" x14ac:dyDescent="0.3">
      <c r="A195" s="22"/>
      <c r="B195" s="22"/>
      <c r="C195" s="22"/>
      <c r="D195" s="22"/>
      <c r="E195" s="22"/>
      <c r="F195" s="22"/>
      <c r="G195" s="22"/>
      <c r="H195" s="22"/>
      <c r="I195" s="27"/>
      <c r="J195" s="27"/>
      <c r="K195" s="27"/>
      <c r="L195" s="28"/>
      <c r="M195" s="25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32"/>
      <c r="AU195" s="22"/>
    </row>
    <row r="196" spans="1:47" s="30" customFormat="1" x14ac:dyDescent="0.3">
      <c r="A196" s="22"/>
      <c r="B196" s="22"/>
      <c r="C196" s="22"/>
      <c r="D196" s="22"/>
      <c r="E196" s="22"/>
      <c r="F196" s="22"/>
      <c r="G196" s="22"/>
      <c r="H196" s="22"/>
      <c r="I196" s="27"/>
      <c r="J196" s="27"/>
      <c r="K196" s="27"/>
      <c r="L196" s="28"/>
      <c r="M196" s="25"/>
      <c r="N196" s="26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32"/>
      <c r="AU196" s="22"/>
    </row>
    <row r="197" spans="1:47" x14ac:dyDescent="0.3">
      <c r="A197" s="22"/>
      <c r="B197" s="22"/>
      <c r="C197" s="22"/>
      <c r="D197" s="22"/>
      <c r="E197" s="22"/>
      <c r="F197" s="22"/>
      <c r="G197" s="22"/>
      <c r="H197" s="22"/>
      <c r="I197" s="27"/>
      <c r="J197" s="27"/>
      <c r="K197" s="27"/>
      <c r="L197" s="28"/>
      <c r="M197" s="25"/>
      <c r="N197" s="26"/>
      <c r="AT197" s="29"/>
      <c r="AU197" s="29"/>
    </row>
    <row r="198" spans="1:47" x14ac:dyDescent="0.3">
      <c r="A198" s="22"/>
      <c r="B198" s="22"/>
      <c r="C198" s="22"/>
      <c r="D198" s="22"/>
      <c r="E198" s="22"/>
      <c r="F198" s="22"/>
      <c r="G198" s="22"/>
      <c r="H198" s="22"/>
      <c r="I198" s="27"/>
      <c r="J198" s="27"/>
      <c r="K198" s="27"/>
      <c r="L198" s="28"/>
      <c r="M198" s="28"/>
      <c r="N198" s="26"/>
      <c r="AT198" s="29"/>
      <c r="AU198" s="29"/>
    </row>
    <row r="199" spans="1:47" x14ac:dyDescent="0.3">
      <c r="A199" s="22"/>
      <c r="B199" s="22"/>
      <c r="C199" s="22"/>
      <c r="D199" s="22"/>
      <c r="E199" s="22"/>
      <c r="F199" s="22"/>
      <c r="G199" s="22"/>
      <c r="H199" s="22"/>
      <c r="I199" s="27"/>
      <c r="J199" s="27"/>
      <c r="K199" s="27"/>
      <c r="L199" s="28"/>
      <c r="M199" s="28"/>
      <c r="N199" s="26"/>
      <c r="AT199" s="29"/>
      <c r="AU199" s="29"/>
    </row>
    <row r="200" spans="1:47" x14ac:dyDescent="0.3">
      <c r="A200" s="22"/>
      <c r="B200" s="22"/>
      <c r="C200" s="22"/>
      <c r="D200" s="22"/>
      <c r="E200" s="22"/>
      <c r="F200" s="22"/>
      <c r="G200" s="22"/>
      <c r="H200" s="22"/>
      <c r="I200" s="27"/>
      <c r="J200" s="27"/>
      <c r="K200" s="27"/>
      <c r="L200" s="28"/>
      <c r="M200" s="28"/>
      <c r="N200" s="26"/>
      <c r="AT200" s="29"/>
      <c r="AU200" s="29"/>
    </row>
    <row r="201" spans="1:47" x14ac:dyDescent="0.3">
      <c r="A201" s="26"/>
      <c r="B201" s="26"/>
      <c r="C201" s="26"/>
      <c r="D201" s="26"/>
      <c r="E201" s="26"/>
      <c r="F201" s="26"/>
      <c r="G201" s="26"/>
      <c r="H201" s="26"/>
      <c r="I201" s="27"/>
      <c r="J201" s="27"/>
      <c r="K201" s="27"/>
      <c r="L201" s="28"/>
      <c r="M201" s="28"/>
      <c r="N201" s="26"/>
      <c r="AT201" s="29"/>
      <c r="AU201" s="29"/>
    </row>
    <row r="202" spans="1:47" x14ac:dyDescent="0.3">
      <c r="A202" s="26"/>
      <c r="B202" s="26"/>
      <c r="C202" s="26"/>
      <c r="D202" s="26"/>
      <c r="E202" s="26"/>
      <c r="F202" s="26"/>
      <c r="G202" s="26"/>
      <c r="H202" s="26"/>
      <c r="I202" s="27"/>
      <c r="J202" s="27"/>
      <c r="K202" s="27"/>
      <c r="L202" s="28"/>
      <c r="M202" s="28"/>
      <c r="N202" s="26"/>
      <c r="AT202" s="29"/>
      <c r="AU202" s="29"/>
    </row>
    <row r="203" spans="1:47" x14ac:dyDescent="0.3">
      <c r="A203" s="26"/>
      <c r="B203" s="26"/>
      <c r="C203" s="26"/>
      <c r="D203" s="26"/>
      <c r="E203" s="26"/>
      <c r="F203" s="26"/>
      <c r="G203" s="26"/>
      <c r="H203" s="26"/>
      <c r="I203" s="27"/>
      <c r="J203" s="27"/>
      <c r="K203" s="27"/>
      <c r="L203" s="28"/>
      <c r="M203" s="28"/>
      <c r="N203" s="26"/>
      <c r="AT203" s="29"/>
      <c r="AU203" s="29"/>
    </row>
    <row r="204" spans="1:47" x14ac:dyDescent="0.3">
      <c r="A204" s="26"/>
      <c r="B204" s="26"/>
      <c r="C204" s="26"/>
      <c r="D204" s="26"/>
      <c r="E204" s="26"/>
      <c r="F204" s="26"/>
      <c r="G204" s="26"/>
      <c r="H204" s="26"/>
      <c r="I204" s="27"/>
      <c r="J204" s="27"/>
      <c r="K204" s="27"/>
      <c r="L204" s="28"/>
      <c r="M204" s="28"/>
      <c r="N204" s="26"/>
      <c r="AT204" s="29"/>
      <c r="AU204" s="29"/>
    </row>
    <row r="205" spans="1:47" x14ac:dyDescent="0.3">
      <c r="A205" s="26"/>
      <c r="B205" s="26"/>
      <c r="C205" s="26"/>
      <c r="D205" s="26"/>
      <c r="E205" s="26"/>
      <c r="F205" s="26"/>
      <c r="G205" s="26"/>
      <c r="H205" s="26"/>
      <c r="I205" s="27"/>
      <c r="J205" s="27"/>
      <c r="K205" s="27"/>
      <c r="L205" s="28"/>
      <c r="M205" s="28"/>
      <c r="N205" s="26"/>
      <c r="AT205" s="29"/>
      <c r="AU205" s="29"/>
    </row>
    <row r="206" spans="1:47" x14ac:dyDescent="0.3">
      <c r="A206" s="26"/>
      <c r="B206" s="26"/>
      <c r="C206" s="26"/>
      <c r="D206" s="26"/>
      <c r="E206" s="26"/>
      <c r="F206" s="26"/>
      <c r="G206" s="26"/>
      <c r="H206" s="26"/>
      <c r="I206" s="27"/>
      <c r="J206" s="27"/>
      <c r="K206" s="27"/>
      <c r="L206" s="28"/>
      <c r="M206" s="28"/>
      <c r="N206" s="26"/>
      <c r="AT206" s="29"/>
      <c r="AU206" s="29"/>
    </row>
    <row r="207" spans="1:47" x14ac:dyDescent="0.3">
      <c r="A207" s="26"/>
      <c r="B207" s="26"/>
      <c r="C207" s="26"/>
      <c r="D207" s="26"/>
      <c r="E207" s="26"/>
      <c r="F207" s="26"/>
      <c r="G207" s="26"/>
      <c r="H207" s="26"/>
      <c r="I207" s="27"/>
      <c r="J207" s="27"/>
      <c r="K207" s="27"/>
      <c r="L207" s="28"/>
      <c r="M207" s="28"/>
      <c r="N207" s="26"/>
      <c r="AT207" s="29"/>
      <c r="AU207" s="29"/>
    </row>
    <row r="208" spans="1:47" x14ac:dyDescent="0.3">
      <c r="A208" s="26"/>
      <c r="B208" s="26"/>
      <c r="C208" s="26"/>
      <c r="D208" s="26"/>
      <c r="E208" s="26"/>
      <c r="F208" s="26"/>
      <c r="G208" s="26"/>
      <c r="H208" s="26"/>
      <c r="L208" s="28"/>
      <c r="M208" s="28"/>
      <c r="AT208" s="29"/>
      <c r="AU208" s="29"/>
    </row>
    <row r="209" spans="1:47" x14ac:dyDescent="0.3">
      <c r="A209" s="26"/>
      <c r="B209" s="26"/>
      <c r="C209" s="26"/>
      <c r="D209" s="26"/>
      <c r="E209" s="26"/>
      <c r="F209" s="26"/>
      <c r="G209" s="26"/>
      <c r="H209" s="26"/>
      <c r="L209" s="28"/>
      <c r="M209" s="28"/>
    </row>
    <row r="210" spans="1:47" x14ac:dyDescent="0.3">
      <c r="A210" s="26"/>
      <c r="B210" s="26"/>
      <c r="C210" s="26"/>
      <c r="D210" s="26"/>
      <c r="E210" s="26"/>
      <c r="F210" s="26"/>
      <c r="G210" s="26"/>
      <c r="H210" s="26"/>
      <c r="M210" s="28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29"/>
      <c r="AU210" s="29"/>
    </row>
    <row r="211" spans="1:47" x14ac:dyDescent="0.3">
      <c r="A211" s="26"/>
      <c r="B211" s="26"/>
      <c r="C211" s="26"/>
      <c r="D211" s="26"/>
      <c r="E211" s="26"/>
      <c r="F211" s="26"/>
      <c r="G211" s="26"/>
      <c r="H211" s="26"/>
      <c r="M211" s="28"/>
    </row>
    <row r="212" spans="1:47" x14ac:dyDescent="0.3">
      <c r="A212" s="26"/>
      <c r="B212" s="26"/>
      <c r="C212" s="26"/>
      <c r="D212" s="26"/>
      <c r="E212" s="26"/>
      <c r="F212" s="26"/>
      <c r="G212" s="26"/>
      <c r="H212" s="26"/>
      <c r="M212" s="28"/>
    </row>
    <row r="213" spans="1:47" x14ac:dyDescent="0.3">
      <c r="A213" s="26"/>
      <c r="B213" s="26"/>
      <c r="C213" s="26"/>
      <c r="D213" s="26"/>
      <c r="E213" s="26"/>
      <c r="F213" s="26"/>
      <c r="G213" s="26"/>
      <c r="H213" s="26"/>
      <c r="M213" s="28"/>
    </row>
    <row r="214" spans="1:47" x14ac:dyDescent="0.3">
      <c r="A214" s="26"/>
      <c r="B214" s="26"/>
      <c r="C214" s="26"/>
      <c r="D214" s="26"/>
      <c r="E214" s="26"/>
      <c r="F214" s="26"/>
      <c r="G214" s="26"/>
      <c r="H214" s="26"/>
      <c r="L214" s="29"/>
      <c r="M214" s="28"/>
    </row>
    <row r="215" spans="1:47" x14ac:dyDescent="0.3">
      <c r="A215" s="26"/>
      <c r="B215" s="26"/>
      <c r="C215" s="26"/>
      <c r="D215" s="26"/>
      <c r="E215" s="26"/>
      <c r="F215" s="26"/>
      <c r="G215" s="26"/>
      <c r="H215" s="26"/>
    </row>
    <row r="216" spans="1:47" x14ac:dyDescent="0.3">
      <c r="A216" s="26"/>
      <c r="B216" s="26"/>
      <c r="C216" s="26"/>
      <c r="D216" s="26"/>
      <c r="E216" s="26"/>
      <c r="F216" s="26"/>
      <c r="G216" s="26"/>
      <c r="H216" s="26"/>
    </row>
    <row r="217" spans="1:47" x14ac:dyDescent="0.3">
      <c r="A217" s="26"/>
      <c r="B217" s="26"/>
      <c r="C217" s="26"/>
      <c r="D217" s="26"/>
      <c r="E217" s="26"/>
      <c r="F217" s="26"/>
      <c r="G217" s="26"/>
      <c r="H217" s="26"/>
    </row>
    <row r="221" spans="1:47" x14ac:dyDescent="0.3">
      <c r="I221" s="29"/>
      <c r="J221" s="29"/>
      <c r="K221" s="29"/>
    </row>
    <row r="1048552" spans="14:14" x14ac:dyDescent="0.3">
      <c r="N1048552" s="65"/>
    </row>
  </sheetData>
  <mergeCells count="37">
    <mergeCell ref="L53:M53"/>
    <mergeCell ref="D34:H34"/>
    <mergeCell ref="A1:N1"/>
    <mergeCell ref="A2:N2"/>
    <mergeCell ref="A31:B31"/>
    <mergeCell ref="A32:N32"/>
    <mergeCell ref="D33:H33"/>
    <mergeCell ref="L48:M48"/>
    <mergeCell ref="L47:M47"/>
    <mergeCell ref="D35:H35"/>
    <mergeCell ref="D36:H36"/>
    <mergeCell ref="A38:H38"/>
    <mergeCell ref="A39:N39"/>
    <mergeCell ref="A40:F40"/>
    <mergeCell ref="L40:N40"/>
    <mergeCell ref="L41:M41"/>
    <mergeCell ref="L42:M42"/>
    <mergeCell ref="L43:N44"/>
    <mergeCell ref="L45:N45"/>
    <mergeCell ref="L46:M46"/>
    <mergeCell ref="D37:H37"/>
    <mergeCell ref="L49:M49"/>
    <mergeCell ref="L50:M50"/>
    <mergeCell ref="L51:M51"/>
    <mergeCell ref="L52:M52"/>
    <mergeCell ref="L65:M65"/>
    <mergeCell ref="L54:M54"/>
    <mergeCell ref="L55:M55"/>
    <mergeCell ref="L56:M56"/>
    <mergeCell ref="L57:M57"/>
    <mergeCell ref="L58:M58"/>
    <mergeCell ref="L59:M59"/>
    <mergeCell ref="L60:M60"/>
    <mergeCell ref="L61:M61"/>
    <mergeCell ref="L62:N62"/>
    <mergeCell ref="L63:N63"/>
    <mergeCell ref="L64:N6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9FBC7-EC8C-4D3B-A4F4-13439A272785}">
  <sheetPr>
    <pageSetUpPr fitToPage="1"/>
  </sheetPr>
  <dimension ref="A1:BF1048563"/>
  <sheetViews>
    <sheetView zoomScale="70" zoomScaleNormal="70" workbookViewId="0">
      <selection activeCell="A3" sqref="A3"/>
    </sheetView>
  </sheetViews>
  <sheetFormatPr defaultColWidth="9.109375" defaultRowHeight="13.8" x14ac:dyDescent="0.3"/>
  <cols>
    <col min="1" max="1" width="23.109375" style="148" customWidth="1"/>
    <col min="2" max="2" width="12" style="148" bestFit="1" customWidth="1"/>
    <col min="3" max="3" width="18" style="148" bestFit="1" customWidth="1"/>
    <col min="4" max="4" width="19" style="148" customWidth="1"/>
    <col min="5" max="5" width="18.44140625" style="148" customWidth="1"/>
    <col min="6" max="6" width="17.6640625" style="148" customWidth="1"/>
    <col min="7" max="8" width="14.109375" style="148" bestFit="1" customWidth="1"/>
    <col min="9" max="9" width="19.109375" style="150" bestFit="1" customWidth="1"/>
    <col min="10" max="10" width="17.109375" style="150" bestFit="1" customWidth="1"/>
    <col min="11" max="11" width="18" style="150" bestFit="1" customWidth="1"/>
    <col min="12" max="12" width="123.33203125" style="150" customWidth="1"/>
    <col min="13" max="13" width="9.5546875" style="150" customWidth="1"/>
    <col min="14" max="14" width="17.5546875" style="148" bestFit="1" customWidth="1"/>
    <col min="15" max="15" width="10.5546875" style="70" bestFit="1" customWidth="1"/>
    <col min="16" max="45" width="9.109375" style="70"/>
    <col min="46" max="47" width="9.109375" style="69"/>
    <col min="48" max="16384" width="9.109375" style="148"/>
  </cols>
  <sheetData>
    <row r="1" spans="1:40" s="10" customFormat="1" ht="29.25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</row>
    <row r="2" spans="1:40" s="10" customFormat="1" ht="28.5" customHeight="1" x14ac:dyDescent="0.3">
      <c r="A2" s="538" t="s">
        <v>515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</row>
    <row r="3" spans="1:40" s="10" customFormat="1" ht="28.5" customHeight="1" x14ac:dyDescent="0.3">
      <c r="A3" s="83" t="s">
        <v>3</v>
      </c>
      <c r="B3" s="83" t="s">
        <v>0</v>
      </c>
      <c r="C3" s="84" t="s">
        <v>1</v>
      </c>
      <c r="D3" s="84" t="s">
        <v>68</v>
      </c>
      <c r="E3" s="84" t="s">
        <v>69</v>
      </c>
      <c r="F3" s="85" t="s">
        <v>2</v>
      </c>
      <c r="G3" s="84" t="s">
        <v>6</v>
      </c>
      <c r="H3" s="84" t="s">
        <v>7</v>
      </c>
      <c r="I3" s="84" t="s">
        <v>4</v>
      </c>
      <c r="J3" s="84" t="s">
        <v>5</v>
      </c>
      <c r="K3" s="84" t="s">
        <v>70</v>
      </c>
      <c r="L3" s="83" t="s">
        <v>59</v>
      </c>
      <c r="M3" s="86" t="s">
        <v>8</v>
      </c>
      <c r="N3" s="86" t="s">
        <v>10</v>
      </c>
    </row>
    <row r="4" spans="1:40" s="6" customFormat="1" x14ac:dyDescent="0.3">
      <c r="A4" s="90" t="s">
        <v>246</v>
      </c>
      <c r="B4" s="90">
        <v>9</v>
      </c>
      <c r="C4" s="2">
        <f>'GERAL 2022'!G11</f>
        <v>580</v>
      </c>
      <c r="D4" s="2">
        <v>0</v>
      </c>
      <c r="E4" s="2">
        <f>C4-D4</f>
        <v>580</v>
      </c>
      <c r="F4" s="2">
        <v>75</v>
      </c>
      <c r="G4" s="2">
        <f>D67</f>
        <v>2.8368085106382979</v>
      </c>
      <c r="H4" s="2">
        <f>D66</f>
        <v>19.696666666666669</v>
      </c>
      <c r="I4" s="2">
        <f>SUM(E4:H4)</f>
        <v>677.53347517730504</v>
      </c>
      <c r="J4" s="2">
        <f>60%*(C4+F4)</f>
        <v>393</v>
      </c>
      <c r="K4" s="2">
        <f>I4-J4</f>
        <v>284.53347517730504</v>
      </c>
      <c r="L4" s="90" t="s">
        <v>251</v>
      </c>
      <c r="M4" s="125">
        <v>10</v>
      </c>
      <c r="N4" s="3">
        <v>11</v>
      </c>
      <c r="O4" s="9"/>
      <c r="P4" s="9"/>
      <c r="Q4" s="9"/>
      <c r="R4" s="9"/>
      <c r="S4" s="9"/>
      <c r="T4" s="9"/>
      <c r="U4" s="9"/>
      <c r="V4" s="9"/>
      <c r="W4" s="9"/>
    </row>
    <row r="5" spans="1:40" s="10" customFormat="1" x14ac:dyDescent="0.3">
      <c r="A5" s="518" t="s">
        <v>4</v>
      </c>
      <c r="B5" s="518"/>
      <c r="C5" s="109">
        <f t="shared" ref="C5:K5" si="0">SUM(C4:C4)</f>
        <v>580</v>
      </c>
      <c r="D5" s="109">
        <f t="shared" si="0"/>
        <v>0</v>
      </c>
      <c r="E5" s="109">
        <f t="shared" si="0"/>
        <v>580</v>
      </c>
      <c r="F5" s="109">
        <f t="shared" si="0"/>
        <v>75</v>
      </c>
      <c r="G5" s="109">
        <f t="shared" si="0"/>
        <v>2.8368085106382979</v>
      </c>
      <c r="H5" s="109">
        <f t="shared" si="0"/>
        <v>19.696666666666669</v>
      </c>
      <c r="I5" s="109">
        <f t="shared" si="0"/>
        <v>677.53347517730504</v>
      </c>
      <c r="J5" s="109">
        <f t="shared" si="0"/>
        <v>393</v>
      </c>
      <c r="K5" s="109">
        <f t="shared" si="0"/>
        <v>284.53347517730504</v>
      </c>
      <c r="L5" s="90"/>
      <c r="M5" s="3"/>
      <c r="N5" s="3"/>
    </row>
    <row r="6" spans="1:40" s="11" customFormat="1" ht="29.25" customHeight="1" x14ac:dyDescent="0.3">
      <c r="A6" s="521" t="s">
        <v>250</v>
      </c>
      <c r="B6" s="521"/>
      <c r="C6" s="521"/>
      <c r="D6" s="521"/>
      <c r="E6" s="521"/>
      <c r="F6" s="521"/>
      <c r="G6" s="521"/>
      <c r="H6" s="521"/>
      <c r="I6" s="521"/>
      <c r="J6" s="521"/>
      <c r="K6" s="521"/>
      <c r="L6" s="521"/>
      <c r="M6" s="521"/>
      <c r="N6" s="521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 spans="1:40" s="11" customFormat="1" ht="27.6" x14ac:dyDescent="0.3">
      <c r="A7" s="83" t="s">
        <v>3</v>
      </c>
      <c r="B7" s="83" t="s">
        <v>0</v>
      </c>
      <c r="C7" s="84" t="s">
        <v>1</v>
      </c>
      <c r="D7" s="84" t="s">
        <v>68</v>
      </c>
      <c r="E7" s="84" t="s">
        <v>69</v>
      </c>
      <c r="F7" s="85" t="s">
        <v>2</v>
      </c>
      <c r="G7" s="84" t="s">
        <v>6</v>
      </c>
      <c r="H7" s="84" t="s">
        <v>7</v>
      </c>
      <c r="I7" s="84" t="s">
        <v>4</v>
      </c>
      <c r="J7" s="84" t="s">
        <v>5</v>
      </c>
      <c r="K7" s="84" t="s">
        <v>70</v>
      </c>
      <c r="L7" s="83" t="s">
        <v>59</v>
      </c>
      <c r="M7" s="86" t="s">
        <v>8</v>
      </c>
      <c r="N7" s="86" t="s">
        <v>10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 spans="1:40" s="15" customFormat="1" x14ac:dyDescent="0.3">
      <c r="A8" s="88" t="s">
        <v>132</v>
      </c>
      <c r="B8" s="90">
        <v>1</v>
      </c>
      <c r="C8" s="2">
        <v>0</v>
      </c>
      <c r="D8" s="2">
        <f>10%*C8</f>
        <v>0</v>
      </c>
      <c r="E8" s="2">
        <f>C8-D8</f>
        <v>0</v>
      </c>
      <c r="F8" s="5">
        <v>0</v>
      </c>
      <c r="G8" s="2">
        <v>0</v>
      </c>
      <c r="H8" s="2">
        <v>0</v>
      </c>
      <c r="I8" s="109">
        <f>SUM(E8:H8)</f>
        <v>0</v>
      </c>
      <c r="J8" s="2">
        <f>7%*I8</f>
        <v>0</v>
      </c>
      <c r="K8" s="2">
        <f>I8-J8</f>
        <v>0</v>
      </c>
      <c r="L8" s="5" t="s">
        <v>179</v>
      </c>
      <c r="M8" s="3">
        <v>10</v>
      </c>
      <c r="N8" s="3">
        <v>11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</row>
    <row r="9" spans="1:40" s="96" customFormat="1" x14ac:dyDescent="0.3">
      <c r="A9" s="90"/>
      <c r="B9" s="4">
        <v>2</v>
      </c>
      <c r="C9" s="5"/>
      <c r="D9" s="5"/>
      <c r="E9" s="5"/>
      <c r="F9" s="5"/>
      <c r="G9" s="5"/>
      <c r="H9" s="5"/>
      <c r="I9" s="109"/>
      <c r="J9" s="2">
        <f t="shared" ref="J9:J15" si="1">7%*I9</f>
        <v>0</v>
      </c>
      <c r="K9" s="2"/>
      <c r="L9" s="90"/>
      <c r="M9" s="3"/>
      <c r="N9" s="3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16"/>
      <c r="AK9" s="17"/>
      <c r="AL9" s="17"/>
      <c r="AM9" s="17"/>
      <c r="AN9" s="17"/>
    </row>
    <row r="10" spans="1:40" s="6" customFormat="1" x14ac:dyDescent="0.3">
      <c r="A10" s="90"/>
      <c r="B10" s="4">
        <v>3</v>
      </c>
      <c r="C10" s="5"/>
      <c r="D10" s="5"/>
      <c r="E10" s="5"/>
      <c r="F10" s="5"/>
      <c r="G10" s="5"/>
      <c r="H10" s="5"/>
      <c r="I10" s="109"/>
      <c r="J10" s="2">
        <f t="shared" si="1"/>
        <v>0</v>
      </c>
      <c r="K10" s="2"/>
      <c r="L10" s="90"/>
      <c r="M10" s="3"/>
      <c r="N10" s="3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</row>
    <row r="11" spans="1:40" s="15" customFormat="1" x14ac:dyDescent="0.3">
      <c r="A11" s="95" t="s">
        <v>263</v>
      </c>
      <c r="B11" s="90">
        <v>4</v>
      </c>
      <c r="C11" s="2">
        <f>'GERAL 2022'!G6/28*12</f>
        <v>235.71428571428572</v>
      </c>
      <c r="D11" s="2">
        <v>0</v>
      </c>
      <c r="E11" s="2">
        <f>C11-D11</f>
        <v>235.71428571428572</v>
      </c>
      <c r="F11" s="2">
        <f>50/28*12</f>
        <v>21.428571428571431</v>
      </c>
      <c r="G11" s="2">
        <f>D57/28*12</f>
        <v>1.2157750759878421</v>
      </c>
      <c r="H11" s="2">
        <f>D56</f>
        <v>19.641666666666666</v>
      </c>
      <c r="I11" s="109">
        <f>SUM(E11:H11)</f>
        <v>278.00029888551165</v>
      </c>
      <c r="J11" s="2">
        <f t="shared" si="1"/>
        <v>19.460020921985819</v>
      </c>
      <c r="K11" s="2">
        <f>I11-J11</f>
        <v>258.54027796352585</v>
      </c>
      <c r="L11" s="90" t="s">
        <v>285</v>
      </c>
      <c r="M11" s="3">
        <v>10</v>
      </c>
      <c r="N11" s="4">
        <v>11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</row>
    <row r="12" spans="1:40" s="15" customFormat="1" ht="15.75" customHeight="1" x14ac:dyDescent="0.3">
      <c r="A12" s="90"/>
      <c r="B12" s="90">
        <v>5</v>
      </c>
      <c r="C12" s="2"/>
      <c r="D12" s="2"/>
      <c r="E12" s="2"/>
      <c r="F12" s="2"/>
      <c r="G12" s="2"/>
      <c r="H12" s="2"/>
      <c r="I12" s="109"/>
      <c r="J12" s="2">
        <f t="shared" si="1"/>
        <v>0</v>
      </c>
      <c r="K12" s="2"/>
      <c r="L12" s="90"/>
      <c r="M12" s="3"/>
      <c r="N12" s="3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</row>
    <row r="13" spans="1:40" s="11" customFormat="1" x14ac:dyDescent="0.3">
      <c r="A13" s="90"/>
      <c r="B13" s="90">
        <v>6</v>
      </c>
      <c r="C13" s="5"/>
      <c r="D13" s="5"/>
      <c r="E13" s="5"/>
      <c r="F13" s="2"/>
      <c r="G13" s="2"/>
      <c r="H13" s="2"/>
      <c r="I13" s="109"/>
      <c r="J13" s="2">
        <f t="shared" si="1"/>
        <v>0</v>
      </c>
      <c r="K13" s="2"/>
      <c r="L13" s="90"/>
      <c r="M13" s="3"/>
      <c r="N13" s="3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</row>
    <row r="14" spans="1:40" s="15" customFormat="1" ht="14.25" customHeight="1" x14ac:dyDescent="0.3">
      <c r="A14" s="90"/>
      <c r="B14" s="90">
        <v>7</v>
      </c>
      <c r="C14" s="2"/>
      <c r="D14" s="2"/>
      <c r="E14" s="5"/>
      <c r="F14" s="2"/>
      <c r="G14" s="2"/>
      <c r="H14" s="2"/>
      <c r="I14" s="109"/>
      <c r="J14" s="2">
        <f t="shared" si="1"/>
        <v>0</v>
      </c>
      <c r="K14" s="2"/>
      <c r="L14" s="90"/>
      <c r="M14" s="3"/>
      <c r="N14" s="3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</row>
    <row r="15" spans="1:40" s="15" customFormat="1" x14ac:dyDescent="0.3">
      <c r="A15" s="95" t="s">
        <v>265</v>
      </c>
      <c r="B15" s="90">
        <v>8</v>
      </c>
      <c r="C15" s="2">
        <f>'GERAL 2022'!G10/28*25</f>
        <v>544.64285714285711</v>
      </c>
      <c r="D15" s="2">
        <v>0</v>
      </c>
      <c r="E15" s="5">
        <f>C15-D15</f>
        <v>544.64285714285711</v>
      </c>
      <c r="F15" s="2">
        <v>0</v>
      </c>
      <c r="G15" s="2">
        <f>D65/28*25</f>
        <v>2.5328647416413377</v>
      </c>
      <c r="H15" s="2">
        <f>D64</f>
        <v>19.754999999999999</v>
      </c>
      <c r="I15" s="109">
        <f>SUM(E15:H15)</f>
        <v>566.93072188449844</v>
      </c>
      <c r="J15" s="2">
        <f t="shared" si="1"/>
        <v>39.685150531914893</v>
      </c>
      <c r="K15" s="2">
        <f>I15-J15</f>
        <v>527.24557135258351</v>
      </c>
      <c r="L15" s="90" t="s">
        <v>286</v>
      </c>
      <c r="M15" s="3">
        <v>10</v>
      </c>
      <c r="N15" s="3">
        <v>11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</row>
    <row r="16" spans="1:40" s="15" customFormat="1" ht="15.75" customHeight="1" x14ac:dyDescent="0.3">
      <c r="A16" s="90" t="s">
        <v>246</v>
      </c>
      <c r="B16" s="90">
        <v>9</v>
      </c>
      <c r="C16" s="2">
        <f>'GERAL 2022'!G11</f>
        <v>580</v>
      </c>
      <c r="D16" s="2">
        <v>0</v>
      </c>
      <c r="E16" s="5">
        <f>C16-D16</f>
        <v>580</v>
      </c>
      <c r="F16" s="2">
        <v>755</v>
      </c>
      <c r="G16" s="2">
        <v>2.84</v>
      </c>
      <c r="H16" s="2">
        <v>0</v>
      </c>
      <c r="I16" s="109">
        <f>SUM(E16:H16)</f>
        <v>1337.84</v>
      </c>
      <c r="J16" s="2">
        <f>7%*I16</f>
        <v>93.648800000000008</v>
      </c>
      <c r="K16" s="2">
        <f>I16-J16</f>
        <v>1244.1912</v>
      </c>
      <c r="L16" s="90" t="s">
        <v>108</v>
      </c>
      <c r="M16" s="125">
        <v>10</v>
      </c>
      <c r="N16" s="3">
        <v>11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</row>
    <row r="17" spans="1:45" s="69" customFormat="1" x14ac:dyDescent="0.3">
      <c r="A17" s="4" t="s">
        <v>92</v>
      </c>
      <c r="B17" s="4">
        <v>10</v>
      </c>
      <c r="C17" s="2">
        <f>'GERAL 2022'!G12</f>
        <v>600</v>
      </c>
      <c r="D17" s="2">
        <f>10%*C17</f>
        <v>60</v>
      </c>
      <c r="E17" s="5">
        <f>C17-D17</f>
        <v>540</v>
      </c>
      <c r="F17" s="2">
        <v>0</v>
      </c>
      <c r="G17" s="2">
        <f>D69</f>
        <v>2.8368085106382979</v>
      </c>
      <c r="H17" s="2">
        <v>0</v>
      </c>
      <c r="I17" s="109">
        <f>SUM(E17:H17)</f>
        <v>542.83680851063832</v>
      </c>
      <c r="J17" s="2">
        <f>7%*I17</f>
        <v>37.998576595744687</v>
      </c>
      <c r="K17" s="2">
        <f>I17-J17</f>
        <v>504.83823191489364</v>
      </c>
      <c r="L17" s="5" t="s">
        <v>252</v>
      </c>
      <c r="M17" s="3">
        <v>10</v>
      </c>
      <c r="N17" s="4">
        <v>11</v>
      </c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</row>
    <row r="18" spans="1:45" s="69" customFormat="1" x14ac:dyDescent="0.3">
      <c r="A18" s="4"/>
      <c r="B18" s="4">
        <v>11</v>
      </c>
      <c r="C18" s="2"/>
      <c r="D18" s="2"/>
      <c r="E18" s="5"/>
      <c r="F18" s="2"/>
      <c r="G18" s="2"/>
      <c r="H18" s="2"/>
      <c r="I18" s="109"/>
      <c r="J18" s="2">
        <f t="shared" ref="J18:J35" si="2">7%*I18</f>
        <v>0</v>
      </c>
      <c r="K18" s="2"/>
      <c r="L18" s="5"/>
      <c r="M18" s="3"/>
      <c r="N18" s="4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</row>
    <row r="19" spans="1:45" s="15" customFormat="1" x14ac:dyDescent="0.3">
      <c r="A19" s="90"/>
      <c r="B19" s="90">
        <v>12</v>
      </c>
      <c r="C19" s="2"/>
      <c r="D19" s="2"/>
      <c r="E19" s="5"/>
      <c r="F19" s="5"/>
      <c r="G19" s="5"/>
      <c r="H19" s="5"/>
      <c r="I19" s="109"/>
      <c r="J19" s="2">
        <f t="shared" si="2"/>
        <v>0</v>
      </c>
      <c r="K19" s="2"/>
      <c r="L19" s="90"/>
      <c r="M19" s="3"/>
      <c r="N19" s="3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</row>
    <row r="20" spans="1:45" s="69" customFormat="1" x14ac:dyDescent="0.3">
      <c r="A20" s="4"/>
      <c r="B20" s="4">
        <v>13</v>
      </c>
      <c r="C20" s="2"/>
      <c r="D20" s="2"/>
      <c r="E20" s="5"/>
      <c r="F20" s="2"/>
      <c r="G20" s="2"/>
      <c r="H20" s="2"/>
      <c r="I20" s="109"/>
      <c r="J20" s="2">
        <f t="shared" si="2"/>
        <v>0</v>
      </c>
      <c r="K20" s="2"/>
      <c r="L20" s="90"/>
      <c r="M20" s="3"/>
      <c r="N20" s="4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</row>
    <row r="21" spans="1:45" s="69" customFormat="1" x14ac:dyDescent="0.3">
      <c r="A21" s="4"/>
      <c r="B21" s="4">
        <v>14</v>
      </c>
      <c r="C21" s="2"/>
      <c r="D21" s="2"/>
      <c r="E21" s="5"/>
      <c r="F21" s="2"/>
      <c r="G21" s="2"/>
      <c r="H21" s="2"/>
      <c r="I21" s="109"/>
      <c r="J21" s="2">
        <f t="shared" si="2"/>
        <v>0</v>
      </c>
      <c r="K21" s="2"/>
      <c r="L21" s="90"/>
      <c r="M21" s="3"/>
      <c r="N21" s="4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</row>
    <row r="22" spans="1:45" s="69" customFormat="1" x14ac:dyDescent="0.3">
      <c r="A22" s="4" t="s">
        <v>141</v>
      </c>
      <c r="B22" s="4">
        <v>15</v>
      </c>
      <c r="C22" s="2">
        <v>730</v>
      </c>
      <c r="D22" s="2">
        <v>60</v>
      </c>
      <c r="E22" s="5">
        <f>(C22-D22)/28*2</f>
        <v>47.857142857142854</v>
      </c>
      <c r="F22" s="2">
        <f>50/28*2</f>
        <v>3.5714285714285716</v>
      </c>
      <c r="G22" s="2">
        <f>D79/28*2</f>
        <v>0.28368085106382973</v>
      </c>
      <c r="H22" s="2">
        <v>0</v>
      </c>
      <c r="I22" s="109">
        <f t="shared" ref="I22:I27" si="3">SUM(E22:H22)</f>
        <v>51.712252279635251</v>
      </c>
      <c r="J22" s="2">
        <f t="shared" si="2"/>
        <v>3.619857659574468</v>
      </c>
      <c r="K22" s="2">
        <f t="shared" ref="K22:K27" si="4">I22-J22</f>
        <v>48.09239462006078</v>
      </c>
      <c r="L22" s="90" t="s">
        <v>253</v>
      </c>
      <c r="M22" s="3">
        <v>10</v>
      </c>
      <c r="N22" s="4">
        <v>11</v>
      </c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</row>
    <row r="23" spans="1:45" s="69" customFormat="1" x14ac:dyDescent="0.3">
      <c r="A23" s="96" t="s">
        <v>272</v>
      </c>
      <c r="B23" s="4">
        <v>15</v>
      </c>
      <c r="C23" s="2">
        <f>'GERAL 2022'!G40/28*6</f>
        <v>139.28571428571428</v>
      </c>
      <c r="D23" s="2">
        <v>0</v>
      </c>
      <c r="E23" s="5">
        <f>C23-D23</f>
        <v>139.28571428571428</v>
      </c>
      <c r="F23" s="2">
        <f>25/28*6</f>
        <v>5.3571428571428577</v>
      </c>
      <c r="G23" s="2">
        <f>D81/28*6</f>
        <v>0.85104255319148914</v>
      </c>
      <c r="H23" s="2">
        <f>D80</f>
        <v>19.836666666666666</v>
      </c>
      <c r="I23" s="109">
        <f>SUM(E23:H23)</f>
        <v>165.3305663627153</v>
      </c>
      <c r="J23" s="2">
        <f>7%*I23</f>
        <v>11.573139645390071</v>
      </c>
      <c r="K23" s="2">
        <f t="shared" si="4"/>
        <v>153.75742671732525</v>
      </c>
      <c r="L23" s="90" t="s">
        <v>275</v>
      </c>
      <c r="M23" s="3">
        <v>10</v>
      </c>
      <c r="N23" s="4">
        <v>11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</row>
    <row r="24" spans="1:45" s="11" customFormat="1" x14ac:dyDescent="0.3">
      <c r="A24" s="3" t="s">
        <v>100</v>
      </c>
      <c r="B24" s="3">
        <v>16</v>
      </c>
      <c r="C24" s="2">
        <f>'GERAL 2022'!G18</f>
        <v>640</v>
      </c>
      <c r="D24" s="2">
        <f>10%*C24</f>
        <v>64</v>
      </c>
      <c r="E24" s="5">
        <f>C24-D24</f>
        <v>576</v>
      </c>
      <c r="F24" s="2">
        <f>60</f>
        <v>60</v>
      </c>
      <c r="G24" s="2">
        <f>D83</f>
        <v>2.8368085106382979</v>
      </c>
      <c r="H24" s="2">
        <v>0</v>
      </c>
      <c r="I24" s="109">
        <f t="shared" si="3"/>
        <v>638.83680851063832</v>
      </c>
      <c r="J24" s="2">
        <f t="shared" si="2"/>
        <v>44.718576595744686</v>
      </c>
      <c r="K24" s="2">
        <f t="shared" si="4"/>
        <v>594.11823191489361</v>
      </c>
      <c r="L24" s="90" t="s">
        <v>257</v>
      </c>
      <c r="M24" s="3">
        <v>10</v>
      </c>
      <c r="N24" s="3">
        <v>11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</row>
    <row r="25" spans="1:45" s="11" customFormat="1" x14ac:dyDescent="0.3">
      <c r="A25" s="88" t="s">
        <v>119</v>
      </c>
      <c r="B25" s="88">
        <v>17</v>
      </c>
      <c r="C25" s="2">
        <f>'GERAL 2022'!G19</f>
        <v>640</v>
      </c>
      <c r="D25" s="2">
        <f>10%*C25</f>
        <v>64</v>
      </c>
      <c r="E25" s="5">
        <f>(C25-D25)</f>
        <v>576</v>
      </c>
      <c r="F25" s="2">
        <v>0</v>
      </c>
      <c r="G25" s="2">
        <f>D85</f>
        <v>2.8368085106382979</v>
      </c>
      <c r="H25" s="2">
        <v>0</v>
      </c>
      <c r="I25" s="109">
        <f t="shared" si="3"/>
        <v>578.83680851063832</v>
      </c>
      <c r="J25" s="2">
        <f t="shared" si="2"/>
        <v>40.518576595744683</v>
      </c>
      <c r="K25" s="2">
        <f t="shared" si="4"/>
        <v>538.31823191489366</v>
      </c>
      <c r="L25" s="5" t="s">
        <v>258</v>
      </c>
      <c r="M25" s="3">
        <v>10</v>
      </c>
      <c r="N25" s="3">
        <v>11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</row>
    <row r="26" spans="1:45" s="11" customFormat="1" ht="14.25" customHeight="1" x14ac:dyDescent="0.3">
      <c r="A26" s="88" t="s">
        <v>103</v>
      </c>
      <c r="B26" s="90">
        <v>18</v>
      </c>
      <c r="C26" s="2">
        <f>'GERAL 2022'!G20</f>
        <v>650</v>
      </c>
      <c r="D26" s="2">
        <f>10%*C26</f>
        <v>65</v>
      </c>
      <c r="E26" s="5">
        <f>C26-D26</f>
        <v>585</v>
      </c>
      <c r="F26" s="2">
        <f>30</f>
        <v>30</v>
      </c>
      <c r="G26" s="2">
        <f>D87</f>
        <v>2.8368085106382979</v>
      </c>
      <c r="H26" s="2">
        <v>0</v>
      </c>
      <c r="I26" s="109">
        <f t="shared" si="3"/>
        <v>617.83680851063832</v>
      </c>
      <c r="J26" s="2">
        <f t="shared" si="2"/>
        <v>43.248576595744687</v>
      </c>
      <c r="K26" s="2">
        <f t="shared" si="4"/>
        <v>574.58823191489364</v>
      </c>
      <c r="L26" s="90" t="s">
        <v>257</v>
      </c>
      <c r="M26" s="3">
        <v>10</v>
      </c>
      <c r="N26" s="3">
        <v>11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</row>
    <row r="27" spans="1:45" s="11" customFormat="1" x14ac:dyDescent="0.3">
      <c r="A27" s="90" t="s">
        <v>142</v>
      </c>
      <c r="B27" s="90">
        <v>19</v>
      </c>
      <c r="C27" s="2">
        <f>'GERAL 2022'!G21</f>
        <v>600</v>
      </c>
      <c r="D27" s="2">
        <f>10%*C27</f>
        <v>60</v>
      </c>
      <c r="E27" s="5">
        <f>(C27-D27)</f>
        <v>540</v>
      </c>
      <c r="F27" s="2">
        <f>50</f>
        <v>50</v>
      </c>
      <c r="G27" s="2">
        <f>D89</f>
        <v>2.8368085106382979</v>
      </c>
      <c r="H27" s="2">
        <v>0</v>
      </c>
      <c r="I27" s="109">
        <f t="shared" si="3"/>
        <v>592.83680851063832</v>
      </c>
      <c r="J27" s="2">
        <f t="shared" si="2"/>
        <v>41.498576595744687</v>
      </c>
      <c r="K27" s="2">
        <f t="shared" si="4"/>
        <v>551.33823191489364</v>
      </c>
      <c r="L27" s="90" t="s">
        <v>259</v>
      </c>
      <c r="M27" s="3">
        <v>10</v>
      </c>
      <c r="N27" s="3">
        <v>11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</row>
    <row r="28" spans="1:45" s="11" customFormat="1" x14ac:dyDescent="0.3">
      <c r="A28" s="88"/>
      <c r="B28" s="90">
        <v>20</v>
      </c>
      <c r="C28" s="2"/>
      <c r="D28" s="2"/>
      <c r="E28" s="5"/>
      <c r="F28" s="2"/>
      <c r="G28" s="2"/>
      <c r="H28" s="2"/>
      <c r="I28" s="109"/>
      <c r="J28" s="2">
        <f t="shared" si="2"/>
        <v>0</v>
      </c>
      <c r="K28" s="2"/>
      <c r="L28" s="90"/>
      <c r="M28" s="125"/>
      <c r="N28" s="3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</row>
    <row r="29" spans="1:45" s="11" customFormat="1" ht="15" customHeight="1" x14ac:dyDescent="0.3">
      <c r="A29" s="88"/>
      <c r="B29" s="90">
        <v>21</v>
      </c>
      <c r="C29" s="2"/>
      <c r="D29" s="2"/>
      <c r="E29" s="5"/>
      <c r="F29" s="2"/>
      <c r="G29" s="2"/>
      <c r="H29" s="2"/>
      <c r="I29" s="109"/>
      <c r="J29" s="2">
        <f t="shared" si="2"/>
        <v>0</v>
      </c>
      <c r="K29" s="2"/>
      <c r="L29" s="90"/>
      <c r="M29" s="125"/>
      <c r="N29" s="3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</row>
    <row r="30" spans="1:45" s="11" customFormat="1" ht="15.75" customHeight="1" x14ac:dyDescent="0.3">
      <c r="A30" s="88"/>
      <c r="B30" s="90">
        <v>22</v>
      </c>
      <c r="C30" s="2"/>
      <c r="D30" s="2"/>
      <c r="E30" s="5"/>
      <c r="F30" s="2"/>
      <c r="G30" s="2"/>
      <c r="H30" s="2"/>
      <c r="I30" s="109"/>
      <c r="J30" s="2">
        <f t="shared" si="2"/>
        <v>0</v>
      </c>
      <c r="K30" s="2"/>
      <c r="L30" s="90"/>
      <c r="M30" s="125"/>
      <c r="N30" s="3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</row>
    <row r="31" spans="1:45" s="11" customFormat="1" x14ac:dyDescent="0.3">
      <c r="A31" s="88"/>
      <c r="B31" s="90">
        <v>23</v>
      </c>
      <c r="C31" s="2"/>
      <c r="D31" s="2"/>
      <c r="E31" s="5"/>
      <c r="F31" s="2"/>
      <c r="G31" s="2"/>
      <c r="H31" s="2"/>
      <c r="I31" s="109"/>
      <c r="J31" s="2">
        <f t="shared" si="2"/>
        <v>0</v>
      </c>
      <c r="K31" s="2"/>
      <c r="L31" s="90"/>
      <c r="M31" s="3"/>
      <c r="N31" s="3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</row>
    <row r="32" spans="1:45" s="11" customFormat="1" x14ac:dyDescent="0.3">
      <c r="A32" s="116" t="s">
        <v>267</v>
      </c>
      <c r="B32" s="90">
        <v>24</v>
      </c>
      <c r="C32" s="2">
        <f>'GERAL 2022'!G26</f>
        <v>650</v>
      </c>
      <c r="D32" s="2">
        <v>0</v>
      </c>
      <c r="E32" s="5">
        <f>C32-D32</f>
        <v>650</v>
      </c>
      <c r="F32" s="2">
        <v>50</v>
      </c>
      <c r="G32" s="2">
        <f>D99</f>
        <v>3.9715319148936166</v>
      </c>
      <c r="H32" s="2">
        <f>D98</f>
        <v>19.836666666666666</v>
      </c>
      <c r="I32" s="109">
        <f>SUM(E32:H32)</f>
        <v>723.8081985815603</v>
      </c>
      <c r="J32" s="2">
        <f t="shared" si="2"/>
        <v>50.666573900709224</v>
      </c>
      <c r="K32" s="2">
        <f>I32-J32</f>
        <v>673.14162468085112</v>
      </c>
      <c r="L32" s="90" t="s">
        <v>268</v>
      </c>
      <c r="M32" s="3">
        <v>10</v>
      </c>
      <c r="N32" s="3">
        <v>11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</row>
    <row r="33" spans="1:58" s="11" customFormat="1" x14ac:dyDescent="0.3">
      <c r="A33" s="11" t="s">
        <v>87</v>
      </c>
      <c r="B33" s="90">
        <v>25</v>
      </c>
      <c r="C33" s="2">
        <f>'GERAL 2022'!G27</f>
        <v>704</v>
      </c>
      <c r="D33" s="2">
        <f>10%*C33</f>
        <v>70.400000000000006</v>
      </c>
      <c r="E33" s="5">
        <f>C33-D33</f>
        <v>633.6</v>
      </c>
      <c r="F33" s="2">
        <f>30</f>
        <v>30</v>
      </c>
      <c r="G33" s="2">
        <f>D101</f>
        <v>2.8368085106382979</v>
      </c>
      <c r="H33" s="2">
        <v>0</v>
      </c>
      <c r="I33" s="109">
        <f>SUM(E33:H33)</f>
        <v>666.43680851063834</v>
      </c>
      <c r="J33" s="2">
        <f t="shared" si="2"/>
        <v>46.650576595744688</v>
      </c>
      <c r="K33" s="2">
        <f>I33-J33</f>
        <v>619.78623191489362</v>
      </c>
      <c r="L33" s="71" t="s">
        <v>252</v>
      </c>
      <c r="M33" s="98">
        <v>10</v>
      </c>
      <c r="N33" s="3">
        <v>11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</row>
    <row r="34" spans="1:58" s="11" customFormat="1" x14ac:dyDescent="0.3">
      <c r="A34" s="88"/>
      <c r="B34" s="90">
        <v>26</v>
      </c>
      <c r="C34" s="2"/>
      <c r="D34" s="2"/>
      <c r="E34" s="5"/>
      <c r="F34" s="2"/>
      <c r="G34" s="2"/>
      <c r="H34" s="2"/>
      <c r="I34" s="109"/>
      <c r="J34" s="2">
        <f t="shared" si="2"/>
        <v>0</v>
      </c>
      <c r="K34" s="2"/>
      <c r="L34" s="90"/>
      <c r="M34" s="3"/>
      <c r="N34" s="3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</row>
    <row r="35" spans="1:58" s="11" customFormat="1" x14ac:dyDescent="0.3">
      <c r="A35" s="88" t="s">
        <v>86</v>
      </c>
      <c r="B35" s="90">
        <v>27</v>
      </c>
      <c r="C35" s="72">
        <f>'GERAL 2022'!G29</f>
        <v>650</v>
      </c>
      <c r="D35" s="72">
        <f>10%*C35</f>
        <v>65</v>
      </c>
      <c r="E35" s="5">
        <f>C35-D35</f>
        <v>585</v>
      </c>
      <c r="F35" s="72">
        <f>60</f>
        <v>60</v>
      </c>
      <c r="G35" s="72">
        <f>D105</f>
        <v>2.8368085106382979</v>
      </c>
      <c r="H35" s="72">
        <v>0</v>
      </c>
      <c r="I35" s="112">
        <f>SUM(E35:H35)</f>
        <v>647.83680851063832</v>
      </c>
      <c r="J35" s="2">
        <f t="shared" si="2"/>
        <v>45.348576595744689</v>
      </c>
      <c r="K35" s="72">
        <f>I35-J35</f>
        <v>602.48823191489362</v>
      </c>
      <c r="L35" s="71" t="s">
        <v>252</v>
      </c>
      <c r="M35" s="98">
        <v>10</v>
      </c>
      <c r="N35" s="3">
        <v>11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</row>
    <row r="36" spans="1:58" s="11" customFormat="1" ht="14.4" thickBot="1" x14ac:dyDescent="0.35">
      <c r="A36" s="518" t="s">
        <v>4</v>
      </c>
      <c r="B36" s="518"/>
      <c r="C36" s="109">
        <f>SUM(C8:C35)</f>
        <v>7363.6428571428569</v>
      </c>
      <c r="D36" s="109">
        <f t="shared" ref="D36:K36" si="5">SUM(D8:D35)</f>
        <v>508.4</v>
      </c>
      <c r="E36" s="109">
        <f t="shared" si="5"/>
        <v>6233.1</v>
      </c>
      <c r="F36" s="109">
        <f t="shared" si="5"/>
        <v>1065.3571428571429</v>
      </c>
      <c r="G36" s="109">
        <f t="shared" si="5"/>
        <v>31.552554711246206</v>
      </c>
      <c r="H36" s="109">
        <f t="shared" si="5"/>
        <v>79.069999999999993</v>
      </c>
      <c r="I36" s="109">
        <f>SUM(I8:I35)</f>
        <v>7409.0796975683907</v>
      </c>
      <c r="J36" s="109">
        <f t="shared" si="5"/>
        <v>518.63557882978728</v>
      </c>
      <c r="K36" s="109">
        <f t="shared" si="5"/>
        <v>6890.444118738601</v>
      </c>
      <c r="L36" s="90"/>
      <c r="M36" s="120"/>
      <c r="N36" s="56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</row>
    <row r="37" spans="1:58" s="11" customFormat="1" x14ac:dyDescent="0.3">
      <c r="A37" s="95"/>
      <c r="B37" s="95"/>
      <c r="C37" s="109"/>
      <c r="D37" s="109"/>
      <c r="E37" s="109"/>
      <c r="F37" s="109"/>
      <c r="G37" s="109"/>
      <c r="H37" s="109"/>
      <c r="I37" s="109"/>
      <c r="J37" s="109"/>
      <c r="K37" s="109"/>
      <c r="L37" s="90"/>
      <c r="M37" s="138"/>
      <c r="N37" s="139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</row>
    <row r="38" spans="1:58" s="11" customFormat="1" ht="28.5" customHeight="1" x14ac:dyDescent="0.3">
      <c r="A38" s="538" t="s">
        <v>254</v>
      </c>
      <c r="B38" s="538"/>
      <c r="C38" s="538"/>
      <c r="D38" s="538"/>
      <c r="E38" s="538"/>
      <c r="F38" s="538"/>
      <c r="G38" s="538"/>
      <c r="H38" s="538"/>
      <c r="I38" s="538"/>
      <c r="J38" s="538"/>
      <c r="K38" s="538"/>
      <c r="L38" s="538"/>
      <c r="M38" s="538"/>
      <c r="N38" s="538"/>
      <c r="O38" s="10"/>
      <c r="P38" s="10"/>
      <c r="Q38" s="10"/>
      <c r="R38" s="10"/>
      <c r="S38" s="10"/>
      <c r="T38" s="10"/>
      <c r="U38" s="10"/>
      <c r="V38" s="10"/>
      <c r="W38" s="10"/>
    </row>
    <row r="39" spans="1:58" s="11" customFormat="1" ht="27.75" customHeight="1" x14ac:dyDescent="0.3">
      <c r="A39" s="127" t="s">
        <v>3</v>
      </c>
      <c r="B39" s="127" t="s">
        <v>0</v>
      </c>
      <c r="C39" s="128" t="s">
        <v>174</v>
      </c>
      <c r="D39" s="555" t="s">
        <v>175</v>
      </c>
      <c r="E39" s="556"/>
      <c r="F39" s="556"/>
      <c r="G39" s="556"/>
      <c r="H39" s="557"/>
      <c r="I39" s="128" t="s">
        <v>4</v>
      </c>
      <c r="J39" s="128" t="s">
        <v>5</v>
      </c>
      <c r="K39" s="128" t="s">
        <v>70</v>
      </c>
      <c r="L39" s="127" t="s">
        <v>59</v>
      </c>
      <c r="M39" s="130" t="s">
        <v>8</v>
      </c>
      <c r="N39" s="130" t="s">
        <v>10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58" s="69" customFormat="1" x14ac:dyDescent="0.3">
      <c r="A40" s="71" t="s">
        <v>141</v>
      </c>
      <c r="B40" s="71">
        <v>15</v>
      </c>
      <c r="C40" s="72">
        <v>1608</v>
      </c>
      <c r="D40" s="558" t="s">
        <v>255</v>
      </c>
      <c r="E40" s="559"/>
      <c r="F40" s="559"/>
      <c r="G40" s="559"/>
      <c r="H40" s="560"/>
      <c r="I40" s="5">
        <v>1608</v>
      </c>
      <c r="J40" s="5">
        <f>7%*I40</f>
        <v>112.56000000000002</v>
      </c>
      <c r="K40" s="5">
        <f>I40-J40</f>
        <v>1495.44</v>
      </c>
      <c r="L40" s="90" t="s">
        <v>256</v>
      </c>
      <c r="M40" s="140">
        <v>10</v>
      </c>
      <c r="N40" s="4">
        <v>11</v>
      </c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</row>
    <row r="41" spans="1:58" s="69" customFormat="1" x14ac:dyDescent="0.3">
      <c r="A41" s="71" t="s">
        <v>132</v>
      </c>
      <c r="B41" s="71">
        <v>1</v>
      </c>
      <c r="C41" s="72">
        <v>1520</v>
      </c>
      <c r="D41" s="546" t="s">
        <v>281</v>
      </c>
      <c r="E41" s="547"/>
      <c r="F41" s="547"/>
      <c r="G41" s="547"/>
      <c r="H41" s="548"/>
      <c r="I41" s="5">
        <v>1520</v>
      </c>
      <c r="J41" s="5">
        <f>7%*I41</f>
        <v>106.4</v>
      </c>
      <c r="K41" s="5">
        <f>I41-J41</f>
        <v>1413.6</v>
      </c>
      <c r="L41" s="90" t="s">
        <v>282</v>
      </c>
      <c r="M41" s="140">
        <v>10</v>
      </c>
      <c r="N41" s="4">
        <v>11</v>
      </c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</row>
    <row r="42" spans="1:58" s="11" customFormat="1" x14ac:dyDescent="0.3">
      <c r="A42" s="518" t="s">
        <v>4</v>
      </c>
      <c r="B42" s="518"/>
      <c r="C42" s="518"/>
      <c r="D42" s="518"/>
      <c r="E42" s="518"/>
      <c r="F42" s="518"/>
      <c r="G42" s="518"/>
      <c r="H42" s="518"/>
      <c r="I42" s="109">
        <f>SUM(I40:I41)</f>
        <v>3128</v>
      </c>
      <c r="J42" s="109">
        <f>SUM(J40:J41)</f>
        <v>218.96000000000004</v>
      </c>
      <c r="K42" s="109">
        <f>SUM(K40:K41)</f>
        <v>2909.04</v>
      </c>
      <c r="L42" s="527"/>
      <c r="M42" s="527"/>
      <c r="N42" s="527"/>
      <c r="O42" s="10"/>
      <c r="P42" s="10"/>
      <c r="Q42" s="10"/>
      <c r="R42" s="10"/>
      <c r="S42" s="10"/>
      <c r="T42" s="10"/>
      <c r="U42" s="10"/>
      <c r="V42" s="10"/>
      <c r="W42" s="10"/>
    </row>
    <row r="43" spans="1:58" s="11" customFormat="1" x14ac:dyDescent="0.3">
      <c r="A43" s="518"/>
      <c r="B43" s="518"/>
      <c r="C43" s="518"/>
      <c r="D43" s="518"/>
      <c r="E43" s="518"/>
      <c r="F43" s="518"/>
      <c r="G43" s="518"/>
      <c r="H43" s="518"/>
      <c r="I43" s="518"/>
      <c r="J43" s="518"/>
      <c r="K43" s="518"/>
      <c r="L43" s="518"/>
      <c r="M43" s="518"/>
      <c r="N43" s="518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</row>
    <row r="44" spans="1:58" s="11" customFormat="1" ht="28.5" customHeight="1" x14ac:dyDescent="0.3">
      <c r="A44" s="521" t="s">
        <v>177</v>
      </c>
      <c r="B44" s="521"/>
      <c r="C44" s="521"/>
      <c r="D44" s="521"/>
      <c r="E44" s="521"/>
      <c r="F44" s="521"/>
      <c r="G44" s="521"/>
      <c r="H44" s="521"/>
      <c r="I44" s="521"/>
      <c r="J44" s="521"/>
      <c r="K44" s="521"/>
      <c r="L44" s="521"/>
      <c r="M44" s="521"/>
      <c r="N44" s="521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spans="1:58" s="11" customFormat="1" ht="25.5" customHeight="1" x14ac:dyDescent="0.3">
      <c r="A45" s="126" t="s">
        <v>173</v>
      </c>
      <c r="B45" s="126" t="s">
        <v>0</v>
      </c>
      <c r="C45" s="126" t="s">
        <v>174</v>
      </c>
      <c r="D45" s="521" t="s">
        <v>175</v>
      </c>
      <c r="E45" s="521"/>
      <c r="F45" s="521"/>
      <c r="G45" s="521"/>
      <c r="H45" s="521"/>
      <c r="I45" s="129" t="s">
        <v>4</v>
      </c>
      <c r="J45" s="128"/>
      <c r="K45" s="128"/>
      <c r="L45" s="127" t="s">
        <v>59</v>
      </c>
      <c r="M45" s="130" t="s">
        <v>8</v>
      </c>
      <c r="N45" s="130" t="s">
        <v>10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1:58" s="69" customFormat="1" ht="15" customHeight="1" x14ac:dyDescent="0.3">
      <c r="A46" s="4" t="s">
        <v>132</v>
      </c>
      <c r="B46" s="4">
        <v>1</v>
      </c>
      <c r="C46" s="5">
        <f>4977.59-1520</f>
        <v>3457.59</v>
      </c>
      <c r="D46" s="546" t="s">
        <v>284</v>
      </c>
      <c r="E46" s="547"/>
      <c r="F46" s="547"/>
      <c r="G46" s="547"/>
      <c r="H46" s="548"/>
      <c r="I46" s="5">
        <f>4977.59-1520</f>
        <v>3457.59</v>
      </c>
      <c r="J46" s="5"/>
      <c r="K46" s="5"/>
      <c r="L46" s="5" t="s">
        <v>283</v>
      </c>
      <c r="M46" s="140">
        <v>10</v>
      </c>
      <c r="N46" s="4">
        <v>11</v>
      </c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</row>
    <row r="47" spans="1:58" s="40" customFormat="1" ht="15" customHeight="1" thickBot="1" x14ac:dyDescent="0.35">
      <c r="A47" s="518" t="s">
        <v>4</v>
      </c>
      <c r="B47" s="518"/>
      <c r="C47" s="518"/>
      <c r="D47" s="518"/>
      <c r="E47" s="518"/>
      <c r="F47" s="518"/>
      <c r="G47" s="518"/>
      <c r="H47" s="518"/>
      <c r="I47" s="114">
        <f>SUM(I46:I46)</f>
        <v>3457.59</v>
      </c>
      <c r="J47" s="90"/>
      <c r="K47" s="90"/>
      <c r="L47" s="90"/>
      <c r="M47" s="90"/>
      <c r="N47" s="9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1"/>
      <c r="AS47" s="11"/>
      <c r="AT47" s="11"/>
      <c r="AU47" s="11"/>
    </row>
    <row r="48" spans="1:58" s="19" customFormat="1" x14ac:dyDescent="0.3">
      <c r="A48" s="536"/>
      <c r="B48" s="537"/>
      <c r="C48" s="537"/>
      <c r="D48" s="537"/>
      <c r="E48" s="537"/>
      <c r="F48" s="537"/>
      <c r="G48" s="537"/>
      <c r="H48" s="537"/>
      <c r="I48" s="537"/>
      <c r="J48" s="537"/>
      <c r="K48" s="537"/>
      <c r="L48" s="537"/>
      <c r="M48" s="524"/>
      <c r="N48" s="525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</row>
    <row r="49" spans="1:47" s="40" customFormat="1" x14ac:dyDescent="0.3">
      <c r="A49" s="543" t="s">
        <v>9</v>
      </c>
      <c r="B49" s="543"/>
      <c r="C49" s="543"/>
      <c r="D49" s="543"/>
      <c r="E49" s="543"/>
      <c r="F49" s="543"/>
      <c r="G49" s="46"/>
      <c r="H49" s="46"/>
      <c r="I49" s="46"/>
      <c r="J49" s="46"/>
      <c r="K49" s="46"/>
      <c r="L49" s="544" t="s">
        <v>20</v>
      </c>
      <c r="M49" s="544"/>
      <c r="N49" s="545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1"/>
      <c r="AS49" s="11"/>
      <c r="AT49" s="11"/>
      <c r="AU49" s="11"/>
    </row>
    <row r="50" spans="1:47" s="40" customFormat="1" x14ac:dyDescent="0.3">
      <c r="A50" s="76" t="s">
        <v>40</v>
      </c>
      <c r="B50" s="77">
        <f>'GERAL 2022'!J3</f>
        <v>118.43</v>
      </c>
      <c r="C50" s="78">
        <v>6</v>
      </c>
      <c r="D50" s="77">
        <f>B50/C50</f>
        <v>19.738333333333333</v>
      </c>
      <c r="E50" s="78"/>
      <c r="F50" s="77"/>
      <c r="G50" s="11"/>
      <c r="H50" s="11"/>
      <c r="I50" s="87"/>
      <c r="J50" s="87"/>
      <c r="K50" s="87"/>
      <c r="L50" s="527" t="s">
        <v>94</v>
      </c>
      <c r="M50" s="527"/>
      <c r="N50" s="49">
        <f>J36+J42</f>
        <v>737.59557882978731</v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1"/>
      <c r="AS50" s="11"/>
      <c r="AT50" s="11"/>
      <c r="AU50" s="11"/>
    </row>
    <row r="51" spans="1:47" s="40" customFormat="1" x14ac:dyDescent="0.3">
      <c r="A51" s="12" t="s">
        <v>46</v>
      </c>
      <c r="B51" s="2">
        <f>'GERAL 2022'!H3</f>
        <v>14.184042553191489</v>
      </c>
      <c r="C51" s="88">
        <v>5</v>
      </c>
      <c r="D51" s="2">
        <f>B51/C51</f>
        <v>2.8368085106382979</v>
      </c>
      <c r="E51" s="88"/>
      <c r="F51" s="88"/>
      <c r="G51" s="11"/>
      <c r="H51" s="11"/>
      <c r="I51" s="14"/>
      <c r="J51" s="14"/>
      <c r="K51" s="14"/>
      <c r="L51" s="534" t="s">
        <v>260</v>
      </c>
      <c r="M51" s="535"/>
      <c r="N51" s="114">
        <f>J5</f>
        <v>393</v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1"/>
      <c r="AS51" s="11"/>
      <c r="AT51" s="11"/>
      <c r="AU51" s="11"/>
    </row>
    <row r="52" spans="1:47" s="40" customFormat="1" x14ac:dyDescent="0.3">
      <c r="A52" s="79" t="s">
        <v>29</v>
      </c>
      <c r="B52" s="80"/>
      <c r="C52" s="82"/>
      <c r="D52" s="80"/>
      <c r="E52" s="78"/>
      <c r="F52" s="77"/>
      <c r="G52" s="11"/>
      <c r="H52" s="11"/>
      <c r="I52" s="14"/>
      <c r="J52" s="14"/>
      <c r="K52" s="14"/>
      <c r="L52" s="520"/>
      <c r="M52" s="520"/>
      <c r="N52" s="52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1"/>
      <c r="AS52" s="11"/>
      <c r="AT52" s="11"/>
      <c r="AU52" s="11"/>
    </row>
    <row r="53" spans="1:47" s="40" customFormat="1" x14ac:dyDescent="0.3">
      <c r="A53" s="12" t="s">
        <v>30</v>
      </c>
      <c r="B53" s="2"/>
      <c r="C53" s="88"/>
      <c r="D53" s="2"/>
      <c r="E53" s="53"/>
      <c r="F53" s="53"/>
      <c r="G53" s="11"/>
      <c r="H53" s="11"/>
      <c r="I53" s="62"/>
      <c r="J53" s="62"/>
      <c r="K53" s="62"/>
      <c r="L53" s="520"/>
      <c r="M53" s="520"/>
      <c r="N53" s="52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1"/>
      <c r="AS53" s="11"/>
      <c r="AT53" s="11"/>
      <c r="AU53" s="11"/>
    </row>
    <row r="54" spans="1:47" s="40" customFormat="1" x14ac:dyDescent="0.3">
      <c r="A54" s="79" t="s">
        <v>65</v>
      </c>
      <c r="B54" s="80"/>
      <c r="C54" s="82"/>
      <c r="D54" s="80"/>
      <c r="E54" s="78"/>
      <c r="F54" s="77"/>
      <c r="G54" s="11"/>
      <c r="H54" s="11"/>
      <c r="I54" s="14"/>
      <c r="J54" s="14"/>
      <c r="K54" s="14"/>
      <c r="L54" s="529" t="s">
        <v>12</v>
      </c>
      <c r="M54" s="529"/>
      <c r="N54" s="529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1"/>
      <c r="AS54" s="11"/>
      <c r="AT54" s="11"/>
      <c r="AU54" s="11"/>
    </row>
    <row r="55" spans="1:47" s="11" customFormat="1" ht="15" customHeight="1" x14ac:dyDescent="0.3">
      <c r="A55" s="12" t="s">
        <v>62</v>
      </c>
      <c r="B55" s="2"/>
      <c r="C55" s="88"/>
      <c r="D55" s="2"/>
      <c r="E55" s="88"/>
      <c r="F55" s="88"/>
      <c r="I55" s="63"/>
      <c r="J55" s="63"/>
      <c r="K55" s="63"/>
      <c r="L55" s="514" t="s">
        <v>269</v>
      </c>
      <c r="M55" s="514"/>
      <c r="N55" s="2">
        <v>19.649999999999999</v>
      </c>
      <c r="O55" s="11" t="s">
        <v>287</v>
      </c>
    </row>
    <row r="56" spans="1:47" s="11" customFormat="1" x14ac:dyDescent="0.3">
      <c r="A56" s="79" t="s">
        <v>60</v>
      </c>
      <c r="B56" s="80">
        <f>'GERAL 2022'!J6</f>
        <v>117.85</v>
      </c>
      <c r="C56" s="82">
        <v>6</v>
      </c>
      <c r="D56" s="80">
        <f>B56/C56</f>
        <v>19.641666666666666</v>
      </c>
      <c r="E56" s="78"/>
      <c r="F56" s="77"/>
      <c r="I56" s="14"/>
      <c r="J56" s="14"/>
      <c r="K56" s="14"/>
      <c r="L56" s="514" t="s">
        <v>270</v>
      </c>
      <c r="M56" s="514"/>
      <c r="N56" s="2">
        <v>19.78</v>
      </c>
      <c r="O56" s="11" t="s">
        <v>287</v>
      </c>
    </row>
    <row r="57" spans="1:47" s="11" customFormat="1" ht="15" customHeight="1" x14ac:dyDescent="0.3">
      <c r="A57" s="12" t="s">
        <v>61</v>
      </c>
      <c r="B57" s="2">
        <f>'GERAL 2022'!H6</f>
        <v>14.184042553191489</v>
      </c>
      <c r="C57" s="88">
        <v>5</v>
      </c>
      <c r="D57" s="2">
        <f>B57/C57</f>
        <v>2.8368085106382979</v>
      </c>
      <c r="E57" s="88"/>
      <c r="F57" s="88"/>
      <c r="I57" s="63"/>
      <c r="J57" s="63"/>
      <c r="K57" s="63"/>
      <c r="L57" s="514" t="s">
        <v>261</v>
      </c>
      <c r="M57" s="514"/>
      <c r="N57" s="2">
        <v>19.7</v>
      </c>
    </row>
    <row r="58" spans="1:47" s="11" customFormat="1" x14ac:dyDescent="0.3">
      <c r="A58" s="79" t="s">
        <v>31</v>
      </c>
      <c r="B58" s="80"/>
      <c r="C58" s="82"/>
      <c r="D58" s="80"/>
      <c r="E58" s="78"/>
      <c r="F58" s="77"/>
      <c r="I58" s="14"/>
      <c r="J58" s="14"/>
      <c r="K58" s="14"/>
      <c r="L58" s="514" t="s">
        <v>147</v>
      </c>
      <c r="M58" s="514"/>
      <c r="N58" s="2">
        <v>19.82</v>
      </c>
      <c r="O58" s="10" t="s">
        <v>287</v>
      </c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</row>
    <row r="59" spans="1:47" s="11" customFormat="1" x14ac:dyDescent="0.3">
      <c r="A59" s="12" t="s">
        <v>32</v>
      </c>
      <c r="B59" s="2"/>
      <c r="C59" s="88"/>
      <c r="D59" s="2"/>
      <c r="E59" s="88"/>
      <c r="F59" s="88"/>
      <c r="I59" s="63"/>
      <c r="J59" s="63"/>
      <c r="K59" s="63"/>
      <c r="L59" s="514" t="s">
        <v>271</v>
      </c>
      <c r="M59" s="514"/>
      <c r="N59" s="2">
        <v>19.82</v>
      </c>
      <c r="O59" s="10" t="s">
        <v>287</v>
      </c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</row>
    <row r="60" spans="1:47" s="11" customFormat="1" x14ac:dyDescent="0.3">
      <c r="A60" s="79" t="s">
        <v>57</v>
      </c>
      <c r="B60" s="80"/>
      <c r="C60" s="82"/>
      <c r="D60" s="80"/>
      <c r="E60" s="78"/>
      <c r="F60" s="77"/>
      <c r="I60" s="14"/>
      <c r="J60" s="14"/>
      <c r="K60" s="14"/>
      <c r="L60" s="551" t="s">
        <v>262</v>
      </c>
      <c r="M60" s="552"/>
      <c r="N60" s="2">
        <f>120*4</f>
        <v>480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</row>
    <row r="61" spans="1:47" s="11" customFormat="1" ht="12.75" customHeight="1" x14ac:dyDescent="0.3">
      <c r="A61" s="12" t="s">
        <v>58</v>
      </c>
      <c r="B61" s="2"/>
      <c r="C61" s="88"/>
      <c r="D61" s="2"/>
      <c r="E61" s="88"/>
      <c r="F61" s="88"/>
      <c r="I61" s="63"/>
      <c r="J61" s="63"/>
      <c r="K61" s="63"/>
      <c r="L61" s="520" t="s">
        <v>126</v>
      </c>
      <c r="M61" s="520"/>
      <c r="N61" s="2">
        <v>134.5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</row>
    <row r="62" spans="1:47" s="11" customFormat="1" x14ac:dyDescent="0.3">
      <c r="A62" s="79" t="s">
        <v>63</v>
      </c>
      <c r="B62" s="80"/>
      <c r="C62" s="82"/>
      <c r="D62" s="80"/>
      <c r="E62" s="78"/>
      <c r="F62" s="77"/>
      <c r="I62" s="14"/>
      <c r="J62" s="14"/>
      <c r="K62" s="14"/>
      <c r="L62" s="520" t="s">
        <v>127</v>
      </c>
      <c r="M62" s="520"/>
      <c r="N62" s="2">
        <v>502.43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</row>
    <row r="63" spans="1:47" s="11" customFormat="1" ht="15" customHeight="1" x14ac:dyDescent="0.3">
      <c r="A63" s="12" t="s">
        <v>64</v>
      </c>
      <c r="B63" s="2"/>
      <c r="C63" s="88"/>
      <c r="D63" s="2"/>
      <c r="E63" s="88"/>
      <c r="F63" s="88"/>
      <c r="I63" s="63"/>
      <c r="J63" s="63"/>
      <c r="K63" s="63"/>
      <c r="L63" s="520" t="s">
        <v>276</v>
      </c>
      <c r="M63" s="520"/>
      <c r="N63" s="2">
        <f>8.77*4</f>
        <v>35.08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</row>
    <row r="64" spans="1:47" s="11" customFormat="1" ht="14.4" x14ac:dyDescent="0.3">
      <c r="A64" s="79" t="s">
        <v>33</v>
      </c>
      <c r="B64" s="80">
        <f>'GERAL 2022'!J10</f>
        <v>118.53</v>
      </c>
      <c r="C64" s="82">
        <v>6</v>
      </c>
      <c r="D64" s="80">
        <f t="shared" ref="D64:D69" si="6">B64/C64</f>
        <v>19.754999999999999</v>
      </c>
      <c r="E64" s="78"/>
      <c r="F64" s="77"/>
      <c r="I64" s="14"/>
      <c r="J64" s="14"/>
      <c r="K64" s="14"/>
      <c r="L64" s="561" t="s">
        <v>277</v>
      </c>
      <c r="M64" s="562"/>
      <c r="N64" s="141">
        <v>108.89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</row>
    <row r="65" spans="1:46" s="11" customFormat="1" ht="13.5" customHeight="1" x14ac:dyDescent="0.3">
      <c r="A65" s="12" t="s">
        <v>34</v>
      </c>
      <c r="B65" s="2">
        <f>'GERAL 2022'!H10</f>
        <v>14.184042553191489</v>
      </c>
      <c r="C65" s="88">
        <v>5</v>
      </c>
      <c r="D65" s="2">
        <f t="shared" si="6"/>
        <v>2.8368085106382979</v>
      </c>
      <c r="E65" s="88"/>
      <c r="F65" s="88"/>
      <c r="I65" s="63"/>
      <c r="J65" s="63"/>
      <c r="K65" s="63"/>
      <c r="L65" s="563" t="s">
        <v>278</v>
      </c>
      <c r="M65" s="563"/>
      <c r="N65" s="141">
        <v>72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</row>
    <row r="66" spans="1:46" s="11" customFormat="1" ht="14.4" x14ac:dyDescent="0.3">
      <c r="A66" s="79" t="s">
        <v>41</v>
      </c>
      <c r="B66" s="80">
        <f>'GERAL 2022'!J11</f>
        <v>118.18</v>
      </c>
      <c r="C66" s="82">
        <v>6</v>
      </c>
      <c r="D66" s="80">
        <f t="shared" si="6"/>
        <v>19.696666666666669</v>
      </c>
      <c r="E66" s="78"/>
      <c r="F66" s="77"/>
      <c r="L66" s="563" t="s">
        <v>279</v>
      </c>
      <c r="M66" s="563"/>
      <c r="N66" s="141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</row>
    <row r="67" spans="1:46" s="11" customFormat="1" x14ac:dyDescent="0.3">
      <c r="A67" s="12" t="s">
        <v>42</v>
      </c>
      <c r="B67" s="2">
        <f>'GERAL 2022'!H11</f>
        <v>14.184042553191489</v>
      </c>
      <c r="C67" s="88">
        <v>5</v>
      </c>
      <c r="D67" s="2">
        <f t="shared" si="6"/>
        <v>2.8368085106382979</v>
      </c>
      <c r="E67" s="88"/>
      <c r="F67" s="88"/>
      <c r="I67" s="63"/>
      <c r="J67" s="63"/>
      <c r="K67" s="63"/>
      <c r="L67" s="520"/>
      <c r="M67" s="520"/>
      <c r="N67" s="2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</row>
    <row r="68" spans="1:46" s="11" customFormat="1" x14ac:dyDescent="0.3">
      <c r="A68" s="79" t="s">
        <v>66</v>
      </c>
      <c r="B68" s="80">
        <f>'GERAL 2022'!J12</f>
        <v>106.95</v>
      </c>
      <c r="C68" s="81">
        <v>6</v>
      </c>
      <c r="D68" s="80">
        <f t="shared" si="6"/>
        <v>17.824999999999999</v>
      </c>
      <c r="E68" s="82"/>
      <c r="F68" s="80"/>
      <c r="I68" s="14"/>
      <c r="J68" s="14"/>
      <c r="K68" s="14"/>
      <c r="L68" s="520"/>
      <c r="M68" s="520"/>
      <c r="N68" s="9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</row>
    <row r="69" spans="1:46" s="11" customFormat="1" x14ac:dyDescent="0.3">
      <c r="A69" s="12" t="s">
        <v>67</v>
      </c>
      <c r="B69" s="2">
        <f>'GERAL 2022'!H12</f>
        <v>14.184042553191489</v>
      </c>
      <c r="C69" s="88">
        <v>5</v>
      </c>
      <c r="D69" s="2">
        <f t="shared" si="6"/>
        <v>2.8368085106382979</v>
      </c>
      <c r="E69" s="88"/>
      <c r="F69" s="88"/>
      <c r="I69" s="63"/>
      <c r="J69" s="63"/>
      <c r="K69" s="63"/>
      <c r="L69" s="518"/>
      <c r="M69" s="518"/>
      <c r="N69" s="109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</row>
    <row r="70" spans="1:46" s="11" customFormat="1" x14ac:dyDescent="0.3">
      <c r="A70" s="79" t="s">
        <v>14</v>
      </c>
      <c r="B70" s="80"/>
      <c r="C70" s="82"/>
      <c r="D70" s="80"/>
      <c r="E70" s="82"/>
      <c r="F70" s="80"/>
      <c r="I70" s="14"/>
      <c r="J70" s="14"/>
      <c r="K70" s="14"/>
      <c r="L70" s="518" t="s">
        <v>26</v>
      </c>
      <c r="M70" s="518"/>
      <c r="N70" s="109">
        <f>SUM(N50:N69)</f>
        <v>2582.265578829787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</row>
    <row r="71" spans="1:46" s="11" customFormat="1" x14ac:dyDescent="0.3">
      <c r="A71" s="12" t="s">
        <v>15</v>
      </c>
      <c r="B71" s="2"/>
      <c r="C71" s="88"/>
      <c r="D71" s="2"/>
      <c r="E71" s="88"/>
      <c r="F71" s="88"/>
      <c r="I71" s="87"/>
      <c r="J71" s="87"/>
      <c r="K71" s="87"/>
      <c r="L71" s="543"/>
      <c r="M71" s="543"/>
      <c r="N71" s="135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</row>
    <row r="72" spans="1:46" s="11" customFormat="1" x14ac:dyDescent="0.3">
      <c r="A72" s="79" t="s">
        <v>55</v>
      </c>
      <c r="B72" s="80"/>
      <c r="C72" s="82"/>
      <c r="D72" s="80"/>
      <c r="E72" s="82"/>
      <c r="F72" s="80"/>
      <c r="L72" s="513" t="s">
        <v>11</v>
      </c>
      <c r="M72" s="513"/>
      <c r="N72" s="526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</row>
    <row r="73" spans="1:46" s="11" customFormat="1" x14ac:dyDescent="0.3">
      <c r="A73" s="12" t="s">
        <v>56</v>
      </c>
      <c r="B73" s="2"/>
      <c r="C73" s="88"/>
      <c r="D73" s="2"/>
      <c r="E73" s="88"/>
      <c r="F73" s="88"/>
      <c r="L73" s="532">
        <f>I5+I36+I42</f>
        <v>11214.613172745696</v>
      </c>
      <c r="M73" s="532"/>
      <c r="N73" s="533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</row>
    <row r="74" spans="1:46" s="11" customFormat="1" x14ac:dyDescent="0.3">
      <c r="A74" s="79" t="s">
        <v>35</v>
      </c>
      <c r="B74" s="80"/>
      <c r="C74" s="82"/>
      <c r="D74" s="80"/>
      <c r="E74" s="82"/>
      <c r="F74" s="80"/>
      <c r="L74" s="518"/>
      <c r="M74" s="518"/>
      <c r="N74" s="519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</row>
    <row r="75" spans="1:46" s="11" customFormat="1" x14ac:dyDescent="0.3">
      <c r="A75" s="12" t="s">
        <v>36</v>
      </c>
      <c r="B75" s="2"/>
      <c r="C75" s="88"/>
      <c r="D75" s="2"/>
      <c r="E75" s="88"/>
      <c r="F75" s="88"/>
      <c r="I75" s="14"/>
      <c r="J75" s="14"/>
      <c r="K75" s="14"/>
      <c r="L75" s="513" t="s">
        <v>13</v>
      </c>
      <c r="M75" s="513"/>
      <c r="N75" s="49">
        <f>L73-N70</f>
        <v>8632.3475939159089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</row>
    <row r="76" spans="1:46" s="11" customFormat="1" x14ac:dyDescent="0.3">
      <c r="A76" s="79" t="s">
        <v>47</v>
      </c>
      <c r="B76" s="80"/>
      <c r="C76" s="82"/>
      <c r="D76" s="80"/>
      <c r="E76" s="82"/>
      <c r="F76" s="80"/>
      <c r="I76" s="15"/>
      <c r="J76" s="15"/>
      <c r="K76" s="15"/>
      <c r="L76" s="123"/>
      <c r="M76" s="123"/>
      <c r="N76" s="133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</row>
    <row r="77" spans="1:46" s="11" customFormat="1" x14ac:dyDescent="0.3">
      <c r="A77" s="12" t="s">
        <v>48</v>
      </c>
      <c r="B77" s="2"/>
      <c r="C77" s="88"/>
      <c r="D77" s="2"/>
      <c r="E77" s="88"/>
      <c r="F77" s="88"/>
      <c r="I77" s="14"/>
      <c r="J77" s="14"/>
      <c r="K77" s="14"/>
      <c r="L77" s="124"/>
      <c r="M77" s="124"/>
      <c r="N77" s="134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</row>
    <row r="78" spans="1:46" s="11" customFormat="1" x14ac:dyDescent="0.3">
      <c r="A78" s="79" t="s">
        <v>16</v>
      </c>
      <c r="B78" s="80">
        <f>'GERAL 2022'!J17</f>
        <v>119.94</v>
      </c>
      <c r="C78" s="82">
        <v>6</v>
      </c>
      <c r="D78" s="80">
        <f t="shared" ref="D78:D89" si="7">B78/C78</f>
        <v>19.989999999999998</v>
      </c>
      <c r="E78" s="81"/>
      <c r="F78" s="81"/>
      <c r="I78" s="14"/>
      <c r="J78" s="14"/>
      <c r="K78" s="14"/>
      <c r="L78" s="124"/>
      <c r="M78" s="124"/>
      <c r="N78" s="57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</row>
    <row r="79" spans="1:46" s="11" customFormat="1" x14ac:dyDescent="0.3">
      <c r="A79" s="12" t="s">
        <v>17</v>
      </c>
      <c r="B79" s="2">
        <f>'GERAL 2022'!H17</f>
        <v>19.857659574468084</v>
      </c>
      <c r="C79" s="88">
        <v>5</v>
      </c>
      <c r="D79" s="2">
        <f t="shared" si="7"/>
        <v>3.9715319148936166</v>
      </c>
      <c r="E79" s="88"/>
      <c r="F79" s="88"/>
      <c r="I79" s="14"/>
      <c r="J79" s="14"/>
      <c r="K79" s="14"/>
      <c r="L79" s="124"/>
      <c r="M79" s="124"/>
      <c r="N79" s="57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</row>
    <row r="80" spans="1:46" s="11" customFormat="1" x14ac:dyDescent="0.3">
      <c r="A80" s="79" t="s">
        <v>273</v>
      </c>
      <c r="B80" s="80">
        <f>'GERAL 2022'!J40</f>
        <v>119.02</v>
      </c>
      <c r="C80" s="82">
        <v>6</v>
      </c>
      <c r="D80" s="80">
        <f>B80/C80</f>
        <v>19.836666666666666</v>
      </c>
      <c r="E80" s="81"/>
      <c r="F80" s="81"/>
      <c r="I80" s="14"/>
      <c r="J80" s="14"/>
      <c r="K80" s="14"/>
      <c r="L80" s="124"/>
      <c r="M80" s="124"/>
      <c r="N80" s="57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</row>
    <row r="81" spans="1:46" s="69" customFormat="1" x14ac:dyDescent="0.3">
      <c r="A81" s="12" t="s">
        <v>274</v>
      </c>
      <c r="B81" s="2">
        <f>'GERAL 2022'!H40</f>
        <v>19.857659574468084</v>
      </c>
      <c r="C81" s="88">
        <v>5</v>
      </c>
      <c r="D81" s="2">
        <f>B81/C81</f>
        <v>3.9715319148936166</v>
      </c>
      <c r="E81" s="88"/>
      <c r="F81" s="88"/>
      <c r="G81" s="11"/>
      <c r="H81" s="11"/>
      <c r="I81" s="14"/>
      <c r="J81" s="14"/>
      <c r="K81" s="14"/>
      <c r="L81" s="124"/>
      <c r="M81" s="124"/>
      <c r="N81" s="57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</row>
    <row r="82" spans="1:46" s="69" customFormat="1" x14ac:dyDescent="0.3">
      <c r="A82" s="79" t="s">
        <v>27</v>
      </c>
      <c r="B82" s="80">
        <f>'GERAL 2022'!J18</f>
        <v>118.87</v>
      </c>
      <c r="C82" s="82">
        <v>6</v>
      </c>
      <c r="D82" s="80">
        <f t="shared" si="7"/>
        <v>19.811666666666667</v>
      </c>
      <c r="E82" s="81"/>
      <c r="F82" s="82"/>
      <c r="G82" s="11"/>
      <c r="H82" s="11"/>
      <c r="I82" s="14"/>
      <c r="J82" s="14"/>
      <c r="K82" s="14"/>
      <c r="L82" s="15"/>
      <c r="M82" s="14"/>
      <c r="N82" s="57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</row>
    <row r="83" spans="1:46" s="69" customFormat="1" x14ac:dyDescent="0.3">
      <c r="A83" s="12" t="s">
        <v>28</v>
      </c>
      <c r="B83" s="2">
        <f>'GERAL 2022'!H18</f>
        <v>14.184042553191489</v>
      </c>
      <c r="C83" s="88">
        <v>5</v>
      </c>
      <c r="D83" s="2">
        <f t="shared" si="7"/>
        <v>2.8368085106382979</v>
      </c>
      <c r="E83" s="88"/>
      <c r="F83" s="90"/>
      <c r="G83" s="11"/>
      <c r="H83" s="11"/>
      <c r="I83" s="14"/>
      <c r="J83" s="14"/>
      <c r="K83" s="14"/>
      <c r="L83" s="11"/>
      <c r="M83" s="15"/>
      <c r="N83" s="57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</row>
    <row r="84" spans="1:46" s="69" customFormat="1" x14ac:dyDescent="0.3">
      <c r="A84" s="79" t="s">
        <v>18</v>
      </c>
      <c r="B84" s="80">
        <f>'GERAL 2022'!J19</f>
        <v>118.87</v>
      </c>
      <c r="C84" s="82">
        <v>6</v>
      </c>
      <c r="D84" s="80">
        <f t="shared" si="7"/>
        <v>19.811666666666667</v>
      </c>
      <c r="E84" s="82"/>
      <c r="F84" s="80"/>
      <c r="G84" s="11"/>
      <c r="H84" s="11"/>
      <c r="I84" s="14"/>
      <c r="J84" s="14"/>
      <c r="K84" s="14"/>
      <c r="L84" s="11"/>
      <c r="M84" s="11"/>
      <c r="N84" s="57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</row>
    <row r="85" spans="1:46" s="69" customFormat="1" x14ac:dyDescent="0.3">
      <c r="A85" s="12" t="s">
        <v>19</v>
      </c>
      <c r="B85" s="2">
        <f>'GERAL 2022'!H19</f>
        <v>14.184042553191489</v>
      </c>
      <c r="C85" s="88">
        <v>5</v>
      </c>
      <c r="D85" s="2">
        <f t="shared" si="7"/>
        <v>2.8368085106382979</v>
      </c>
      <c r="E85" s="88"/>
      <c r="F85" s="88"/>
      <c r="G85" s="11"/>
      <c r="H85" s="11"/>
      <c r="I85" s="14"/>
      <c r="J85" s="14"/>
      <c r="K85" s="14"/>
      <c r="L85" s="14"/>
      <c r="M85" s="14"/>
      <c r="N85" s="57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</row>
    <row r="86" spans="1:46" s="69" customFormat="1" x14ac:dyDescent="0.3">
      <c r="A86" s="79" t="s">
        <v>37</v>
      </c>
      <c r="B86" s="80">
        <f>'GERAL 2022'!J20</f>
        <v>119.02</v>
      </c>
      <c r="C86" s="82">
        <v>6</v>
      </c>
      <c r="D86" s="80">
        <f t="shared" si="7"/>
        <v>19.836666666666666</v>
      </c>
      <c r="E86" s="81"/>
      <c r="F86" s="82"/>
      <c r="G86" s="11"/>
      <c r="H86" s="11"/>
      <c r="I86" s="14"/>
      <c r="J86" s="14"/>
      <c r="K86" s="14"/>
      <c r="L86" s="14"/>
      <c r="M86" s="15"/>
      <c r="N86" s="57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</row>
    <row r="87" spans="1:46" s="69" customFormat="1" x14ac:dyDescent="0.3">
      <c r="A87" s="12" t="s">
        <v>38</v>
      </c>
      <c r="B87" s="2">
        <f>'GERAL 2022'!H20</f>
        <v>14.184042553191489</v>
      </c>
      <c r="C87" s="88">
        <v>5</v>
      </c>
      <c r="D87" s="2">
        <f t="shared" si="7"/>
        <v>2.8368085106382979</v>
      </c>
      <c r="E87" s="88"/>
      <c r="F87" s="88"/>
      <c r="G87" s="11"/>
      <c r="H87" s="11"/>
      <c r="I87" s="14"/>
      <c r="J87" s="14"/>
      <c r="K87" s="14"/>
      <c r="L87" s="14"/>
      <c r="M87" s="11"/>
      <c r="N87" s="57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</row>
    <row r="88" spans="1:46" s="69" customFormat="1" x14ac:dyDescent="0.3">
      <c r="A88" s="79" t="s">
        <v>45</v>
      </c>
      <c r="B88" s="80">
        <f>'GERAL 2022'!J21</f>
        <v>118.43</v>
      </c>
      <c r="C88" s="82">
        <v>6</v>
      </c>
      <c r="D88" s="80">
        <f t="shared" si="7"/>
        <v>19.738333333333333</v>
      </c>
      <c r="E88" s="81"/>
      <c r="F88" s="82"/>
      <c r="G88" s="11"/>
      <c r="H88" s="11"/>
      <c r="I88" s="14"/>
      <c r="J88" s="14"/>
      <c r="K88" s="14"/>
      <c r="L88" s="14"/>
      <c r="M88" s="11"/>
      <c r="N88" s="57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</row>
    <row r="89" spans="1:46" s="69" customFormat="1" x14ac:dyDescent="0.3">
      <c r="A89" s="12" t="s">
        <v>39</v>
      </c>
      <c r="B89" s="2">
        <f>'GERAL 2022'!H21</f>
        <v>14.184042553191489</v>
      </c>
      <c r="C89" s="88">
        <v>5</v>
      </c>
      <c r="D89" s="2">
        <f t="shared" si="7"/>
        <v>2.8368085106382979</v>
      </c>
      <c r="E89" s="88"/>
      <c r="F89" s="88"/>
      <c r="G89" s="11"/>
      <c r="H89" s="11"/>
      <c r="I89" s="14"/>
      <c r="J89" s="14"/>
      <c r="K89" s="14"/>
      <c r="L89" s="11"/>
      <c r="M89" s="11"/>
      <c r="N89" s="57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</row>
    <row r="90" spans="1:46" s="69" customFormat="1" x14ac:dyDescent="0.3">
      <c r="A90" s="81" t="s">
        <v>49</v>
      </c>
      <c r="B90" s="80"/>
      <c r="C90" s="82"/>
      <c r="D90" s="80"/>
      <c r="E90" s="81"/>
      <c r="F90" s="82"/>
      <c r="G90" s="11"/>
      <c r="H90" s="11"/>
      <c r="I90" s="14"/>
      <c r="J90" s="14"/>
      <c r="K90" s="14"/>
      <c r="L90" s="11"/>
      <c r="M90" s="14"/>
      <c r="N90" s="57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</row>
    <row r="91" spans="1:46" s="69" customFormat="1" x14ac:dyDescent="0.3">
      <c r="A91" s="90" t="s">
        <v>50</v>
      </c>
      <c r="B91" s="2"/>
      <c r="C91" s="88"/>
      <c r="D91" s="2"/>
      <c r="E91" s="88"/>
      <c r="F91" s="88"/>
      <c r="G91" s="11"/>
      <c r="H91" s="11"/>
      <c r="I91" s="14"/>
      <c r="J91" s="14"/>
      <c r="K91" s="14"/>
      <c r="L91" s="11"/>
      <c r="M91" s="14"/>
      <c r="N91" s="57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</row>
    <row r="92" spans="1:46" s="69" customFormat="1" x14ac:dyDescent="0.3">
      <c r="A92" s="81" t="s">
        <v>43</v>
      </c>
      <c r="B92" s="80"/>
      <c r="C92" s="82"/>
      <c r="D92" s="80"/>
      <c r="E92" s="81"/>
      <c r="F92" s="82"/>
      <c r="I92" s="142"/>
      <c r="J92" s="142"/>
      <c r="K92" s="142"/>
      <c r="L92" s="11"/>
      <c r="M92" s="14"/>
      <c r="N92" s="57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</row>
    <row r="93" spans="1:46" s="70" customFormat="1" x14ac:dyDescent="0.3">
      <c r="A93" s="90" t="s">
        <v>44</v>
      </c>
      <c r="B93" s="2"/>
      <c r="C93" s="88"/>
      <c r="D93" s="2"/>
      <c r="E93" s="88"/>
      <c r="F93" s="88"/>
      <c r="G93" s="63"/>
      <c r="H93" s="63"/>
      <c r="I93" s="69"/>
      <c r="J93" s="69"/>
      <c r="K93" s="69"/>
      <c r="L93" s="11"/>
      <c r="M93" s="14"/>
      <c r="N93" s="57"/>
    </row>
    <row r="94" spans="1:46" s="70" customFormat="1" x14ac:dyDescent="0.3">
      <c r="A94" s="81" t="s">
        <v>51</v>
      </c>
      <c r="B94" s="80"/>
      <c r="C94" s="82"/>
      <c r="D94" s="80"/>
      <c r="E94" s="82"/>
      <c r="F94" s="80"/>
      <c r="G94" s="11"/>
      <c r="H94" s="63"/>
      <c r="I94" s="142"/>
      <c r="J94" s="142"/>
      <c r="K94" s="142"/>
      <c r="L94" s="11"/>
      <c r="M94" s="11"/>
      <c r="N94" s="57"/>
      <c r="AT94" s="69"/>
    </row>
    <row r="95" spans="1:46" s="70" customFormat="1" x14ac:dyDescent="0.3">
      <c r="A95" s="90" t="s">
        <v>52</v>
      </c>
      <c r="B95" s="2"/>
      <c r="C95" s="88"/>
      <c r="D95" s="2"/>
      <c r="E95" s="88"/>
      <c r="F95" s="4"/>
      <c r="G95" s="142"/>
      <c r="H95" s="142"/>
      <c r="I95" s="142"/>
      <c r="J95" s="142"/>
      <c r="K95" s="142"/>
      <c r="L95" s="11"/>
      <c r="M95" s="11"/>
      <c r="N95" s="57"/>
      <c r="AT95" s="69"/>
    </row>
    <row r="96" spans="1:46" s="70" customFormat="1" x14ac:dyDescent="0.3">
      <c r="A96" s="81" t="s">
        <v>53</v>
      </c>
      <c r="B96" s="80"/>
      <c r="C96" s="82"/>
      <c r="D96" s="80"/>
      <c r="E96" s="82"/>
      <c r="F96" s="82"/>
      <c r="G96" s="11"/>
      <c r="H96" s="63"/>
      <c r="I96" s="142"/>
      <c r="J96" s="142"/>
      <c r="K96" s="142"/>
      <c r="L96" s="69"/>
      <c r="M96" s="69"/>
      <c r="N96" s="57"/>
      <c r="AT96" s="69"/>
    </row>
    <row r="97" spans="1:46" s="70" customFormat="1" x14ac:dyDescent="0.3">
      <c r="A97" s="90" t="s">
        <v>54</v>
      </c>
      <c r="B97" s="2"/>
      <c r="C97" s="88"/>
      <c r="D97" s="2"/>
      <c r="E97" s="88"/>
      <c r="F97" s="4"/>
      <c r="G97" s="142"/>
      <c r="H97" s="142"/>
      <c r="I97" s="142"/>
      <c r="J97" s="142"/>
      <c r="K97" s="142"/>
      <c r="L97" s="69"/>
      <c r="M97" s="11"/>
      <c r="N97" s="57"/>
      <c r="AT97" s="69"/>
    </row>
    <row r="98" spans="1:46" s="70" customFormat="1" x14ac:dyDescent="0.3">
      <c r="A98" s="81" t="s">
        <v>78</v>
      </c>
      <c r="B98" s="80">
        <f>'GERAL 2022'!J26</f>
        <v>119.02</v>
      </c>
      <c r="C98" s="82">
        <v>6</v>
      </c>
      <c r="D98" s="80">
        <f>B98/C98</f>
        <v>19.836666666666666</v>
      </c>
      <c r="E98" s="82"/>
      <c r="F98" s="82"/>
      <c r="G98" s="11"/>
      <c r="H98" s="63"/>
      <c r="I98" s="142"/>
      <c r="J98" s="142"/>
      <c r="K98" s="142"/>
      <c r="L98" s="142"/>
      <c r="M98" s="142"/>
      <c r="N98" s="57"/>
      <c r="AT98" s="69"/>
    </row>
    <row r="99" spans="1:46" s="70" customFormat="1" x14ac:dyDescent="0.3">
      <c r="A99" s="90" t="s">
        <v>79</v>
      </c>
      <c r="B99" s="2">
        <f>'GERAL 2022'!H26</f>
        <v>19.857659574468084</v>
      </c>
      <c r="C99" s="88">
        <v>5</v>
      </c>
      <c r="D99" s="2">
        <f>B99/C99</f>
        <v>3.9715319148936166</v>
      </c>
      <c r="E99" s="88"/>
      <c r="F99" s="4"/>
      <c r="G99" s="142"/>
      <c r="H99" s="142"/>
      <c r="I99" s="142"/>
      <c r="J99" s="142"/>
      <c r="K99" s="142"/>
      <c r="L99" s="69"/>
      <c r="M99" s="11"/>
      <c r="N99" s="57"/>
      <c r="AT99" s="69"/>
    </row>
    <row r="100" spans="1:46" s="70" customFormat="1" x14ac:dyDescent="0.3">
      <c r="A100" s="81" t="s">
        <v>80</v>
      </c>
      <c r="B100" s="80">
        <f>'GERAL 2022'!J27</f>
        <v>119.7</v>
      </c>
      <c r="C100" s="82">
        <v>6</v>
      </c>
      <c r="D100" s="80">
        <f>B100/C100</f>
        <v>19.95</v>
      </c>
      <c r="E100" s="82"/>
      <c r="F100" s="82"/>
      <c r="G100" s="11"/>
      <c r="H100" s="63"/>
      <c r="I100" s="142"/>
      <c r="J100" s="142"/>
      <c r="K100" s="142"/>
      <c r="L100" s="142"/>
      <c r="M100" s="142"/>
      <c r="N100" s="57"/>
      <c r="AT100" s="69"/>
    </row>
    <row r="101" spans="1:46" s="70" customFormat="1" x14ac:dyDescent="0.3">
      <c r="A101" s="90" t="s">
        <v>81</v>
      </c>
      <c r="B101" s="2">
        <f>'GERAL 2022'!H27</f>
        <v>14.184042553191489</v>
      </c>
      <c r="C101" s="88">
        <v>5</v>
      </c>
      <c r="D101" s="2">
        <f>B101/C101</f>
        <v>2.8368085106382979</v>
      </c>
      <c r="E101" s="88"/>
      <c r="F101" s="4"/>
      <c r="G101" s="142"/>
      <c r="H101" s="142"/>
      <c r="I101" s="142"/>
      <c r="J101" s="142"/>
      <c r="K101" s="142"/>
      <c r="L101" s="69"/>
      <c r="M101" s="11"/>
      <c r="N101" s="57"/>
      <c r="AT101" s="69"/>
    </row>
    <row r="102" spans="1:46" s="70" customFormat="1" x14ac:dyDescent="0.3">
      <c r="A102" s="81" t="s">
        <v>82</v>
      </c>
      <c r="B102" s="80"/>
      <c r="C102" s="82"/>
      <c r="D102" s="80"/>
      <c r="E102" s="82"/>
      <c r="F102" s="82"/>
      <c r="G102" s="11"/>
      <c r="H102" s="63"/>
      <c r="I102" s="142"/>
      <c r="J102" s="142"/>
      <c r="K102" s="142"/>
      <c r="L102" s="142"/>
      <c r="M102" s="142"/>
      <c r="N102" s="57"/>
      <c r="AT102" s="69"/>
    </row>
    <row r="103" spans="1:46" s="70" customFormat="1" x14ac:dyDescent="0.3">
      <c r="A103" s="90" t="s">
        <v>83</v>
      </c>
      <c r="B103" s="2"/>
      <c r="C103" s="88"/>
      <c r="D103" s="2"/>
      <c r="E103" s="88"/>
      <c r="F103" s="4"/>
      <c r="G103" s="142"/>
      <c r="H103" s="142"/>
      <c r="I103" s="142"/>
      <c r="J103" s="142"/>
      <c r="K103" s="142"/>
      <c r="L103" s="142"/>
      <c r="M103" s="142"/>
      <c r="N103" s="57"/>
      <c r="AT103" s="69"/>
    </row>
    <row r="104" spans="1:46" s="70" customFormat="1" x14ac:dyDescent="0.3">
      <c r="A104" s="81" t="s">
        <v>84</v>
      </c>
      <c r="B104" s="80">
        <f>'GERAL 2022'!J29</f>
        <v>119.02</v>
      </c>
      <c r="C104" s="82">
        <v>6</v>
      </c>
      <c r="D104" s="80">
        <f>B104/C104</f>
        <v>19.836666666666666</v>
      </c>
      <c r="E104" s="82"/>
      <c r="F104" s="82"/>
      <c r="G104" s="142"/>
      <c r="H104" s="142"/>
      <c r="I104" s="142"/>
      <c r="J104" s="142"/>
      <c r="K104" s="142"/>
      <c r="L104" s="142"/>
      <c r="M104" s="142"/>
      <c r="N104" s="57"/>
      <c r="AT104" s="69"/>
    </row>
    <row r="105" spans="1:46" s="70" customFormat="1" ht="14.4" thickBot="1" x14ac:dyDescent="0.35">
      <c r="A105" s="90" t="s">
        <v>85</v>
      </c>
      <c r="B105" s="2">
        <f>'GERAL 2022'!H29</f>
        <v>14.184042553191489</v>
      </c>
      <c r="C105" s="88">
        <v>5</v>
      </c>
      <c r="D105" s="2">
        <f>B105/C105</f>
        <v>2.8368085106382979</v>
      </c>
      <c r="E105" s="88"/>
      <c r="F105" s="4"/>
      <c r="G105" s="143"/>
      <c r="H105" s="143"/>
      <c r="I105" s="143"/>
      <c r="J105" s="143"/>
      <c r="K105" s="143"/>
      <c r="L105" s="143"/>
      <c r="M105" s="143"/>
      <c r="N105" s="143"/>
      <c r="AT105" s="69"/>
    </row>
    <row r="106" spans="1:46" s="70" customFormat="1" x14ac:dyDescent="0.3">
      <c r="A106" s="69"/>
      <c r="B106" s="69"/>
      <c r="C106" s="69"/>
      <c r="D106" s="69"/>
      <c r="E106" s="69"/>
      <c r="F106" s="69"/>
      <c r="G106" s="69"/>
      <c r="H106" s="69"/>
      <c r="I106" s="142"/>
      <c r="J106" s="142"/>
      <c r="K106" s="142"/>
      <c r="L106" s="69"/>
      <c r="M106" s="69"/>
      <c r="N106" s="69"/>
      <c r="AT106" s="69"/>
    </row>
    <row r="107" spans="1:46" s="70" customFormat="1" x14ac:dyDescent="0.3">
      <c r="A107" s="69"/>
      <c r="B107" s="69"/>
      <c r="C107" s="69"/>
      <c r="D107" s="69"/>
      <c r="E107" s="69"/>
      <c r="F107" s="69"/>
      <c r="G107" s="69"/>
      <c r="H107" s="69"/>
      <c r="I107" s="142"/>
      <c r="J107" s="142"/>
      <c r="K107" s="142"/>
      <c r="L107" s="69"/>
      <c r="M107" s="69"/>
      <c r="N107" s="69"/>
      <c r="AT107" s="69"/>
    </row>
    <row r="108" spans="1:46" s="70" customFormat="1" x14ac:dyDescent="0.3">
      <c r="A108" s="69"/>
      <c r="B108" s="69"/>
      <c r="C108" s="69"/>
      <c r="D108" s="69"/>
      <c r="E108" s="69"/>
      <c r="F108" s="69"/>
      <c r="G108" s="69"/>
      <c r="H108" s="69"/>
      <c r="I108" s="142"/>
      <c r="J108" s="142"/>
      <c r="K108" s="142"/>
      <c r="L108" s="69"/>
      <c r="M108" s="69"/>
      <c r="N108" s="69"/>
      <c r="AT108" s="69"/>
    </row>
    <row r="109" spans="1:46" s="70" customFormat="1" x14ac:dyDescent="0.3">
      <c r="A109" s="69"/>
      <c r="B109" s="69"/>
      <c r="C109" s="69"/>
      <c r="D109" s="69"/>
      <c r="E109" s="69"/>
      <c r="F109" s="69"/>
      <c r="G109" s="69"/>
      <c r="H109" s="69"/>
      <c r="I109" s="142"/>
      <c r="J109" s="142"/>
      <c r="K109" s="142"/>
      <c r="L109" s="69"/>
      <c r="M109" s="69"/>
      <c r="N109" s="69"/>
      <c r="AT109" s="69"/>
    </row>
    <row r="110" spans="1:46" s="70" customFormat="1" x14ac:dyDescent="0.3">
      <c r="A110" s="69"/>
      <c r="B110" s="69"/>
      <c r="C110" s="69"/>
      <c r="D110" s="69"/>
      <c r="E110" s="69"/>
      <c r="F110" s="69"/>
      <c r="G110" s="69"/>
      <c r="H110" s="69"/>
      <c r="I110" s="142"/>
      <c r="J110" s="142"/>
      <c r="K110" s="142"/>
      <c r="L110" s="69"/>
      <c r="M110" s="69"/>
      <c r="N110" s="69"/>
      <c r="AT110" s="69"/>
    </row>
    <row r="111" spans="1:46" s="70" customFormat="1" x14ac:dyDescent="0.3">
      <c r="A111" s="69"/>
      <c r="B111" s="69"/>
      <c r="C111" s="69"/>
      <c r="D111" s="69"/>
      <c r="E111" s="69"/>
      <c r="F111" s="69"/>
      <c r="G111" s="69"/>
      <c r="H111" s="69"/>
      <c r="I111" s="142"/>
      <c r="J111" s="142"/>
      <c r="K111" s="142"/>
      <c r="L111" s="69"/>
      <c r="M111" s="69"/>
      <c r="N111" s="69"/>
      <c r="AT111" s="69"/>
    </row>
    <row r="112" spans="1:46" s="70" customFormat="1" x14ac:dyDescent="0.3">
      <c r="A112" s="69"/>
      <c r="B112" s="69"/>
      <c r="C112" s="69"/>
      <c r="D112" s="69"/>
      <c r="E112" s="69"/>
      <c r="F112" s="69"/>
      <c r="G112" s="69"/>
      <c r="H112" s="69"/>
      <c r="I112" s="142"/>
      <c r="J112" s="142"/>
      <c r="K112" s="142"/>
      <c r="L112" s="69"/>
      <c r="M112" s="69"/>
      <c r="N112" s="69"/>
      <c r="AT112" s="69"/>
    </row>
    <row r="113" spans="1:46" s="70" customFormat="1" x14ac:dyDescent="0.3">
      <c r="A113" s="69"/>
      <c r="B113" s="69"/>
      <c r="C113" s="69"/>
      <c r="D113" s="69"/>
      <c r="E113" s="69"/>
      <c r="F113" s="69"/>
      <c r="G113" s="69"/>
      <c r="H113" s="69"/>
      <c r="I113" s="142"/>
      <c r="J113" s="142"/>
      <c r="K113" s="142"/>
      <c r="L113" s="69"/>
      <c r="M113" s="69"/>
      <c r="N113" s="69"/>
      <c r="AT113" s="69"/>
    </row>
    <row r="114" spans="1:46" s="70" customFormat="1" x14ac:dyDescent="0.3">
      <c r="A114" s="69"/>
      <c r="B114" s="69"/>
      <c r="C114" s="69"/>
      <c r="D114" s="69"/>
      <c r="E114" s="69"/>
      <c r="F114" s="69"/>
      <c r="G114" s="69"/>
      <c r="H114" s="69"/>
      <c r="I114" s="142"/>
      <c r="J114" s="142"/>
      <c r="K114" s="142"/>
      <c r="L114" s="69"/>
      <c r="M114" s="69"/>
      <c r="N114" s="69"/>
      <c r="AT114" s="69"/>
    </row>
    <row r="115" spans="1:46" s="70" customFormat="1" x14ac:dyDescent="0.3">
      <c r="A115" s="69"/>
      <c r="B115" s="69"/>
      <c r="C115" s="69"/>
      <c r="D115" s="69"/>
      <c r="E115" s="69"/>
      <c r="F115" s="69"/>
      <c r="G115" s="69"/>
      <c r="H115" s="69"/>
      <c r="I115" s="142"/>
      <c r="J115" s="142"/>
      <c r="K115" s="142"/>
      <c r="L115" s="69"/>
      <c r="M115" s="69"/>
      <c r="N115" s="69"/>
      <c r="AT115" s="69"/>
    </row>
    <row r="116" spans="1:46" s="70" customFormat="1" x14ac:dyDescent="0.3">
      <c r="A116" s="69"/>
      <c r="B116" s="69"/>
      <c r="C116" s="69"/>
      <c r="D116" s="69"/>
      <c r="E116" s="69"/>
      <c r="F116" s="69"/>
      <c r="G116" s="69"/>
      <c r="H116" s="69"/>
      <c r="I116" s="142"/>
      <c r="J116" s="142"/>
      <c r="K116" s="142"/>
      <c r="L116" s="69"/>
      <c r="M116" s="69"/>
      <c r="N116" s="69"/>
      <c r="AT116" s="69"/>
    </row>
    <row r="117" spans="1:46" s="70" customFormat="1" x14ac:dyDescent="0.3">
      <c r="A117" s="69"/>
      <c r="B117" s="69"/>
      <c r="C117" s="69"/>
      <c r="D117" s="69"/>
      <c r="E117" s="69"/>
      <c r="F117" s="69"/>
      <c r="G117" s="69"/>
      <c r="H117" s="69"/>
      <c r="I117" s="142"/>
      <c r="J117" s="142"/>
      <c r="K117" s="142"/>
      <c r="L117" s="69"/>
      <c r="M117" s="69"/>
      <c r="N117" s="69"/>
      <c r="AT117" s="69"/>
    </row>
    <row r="118" spans="1:46" s="70" customFormat="1" x14ac:dyDescent="0.3">
      <c r="A118" s="69"/>
      <c r="B118" s="69"/>
      <c r="C118" s="69"/>
      <c r="D118" s="69"/>
      <c r="E118" s="69"/>
      <c r="F118" s="69"/>
      <c r="G118" s="69"/>
      <c r="H118" s="69"/>
      <c r="I118" s="142"/>
      <c r="J118" s="142"/>
      <c r="K118" s="142"/>
      <c r="L118" s="69"/>
      <c r="M118" s="69"/>
      <c r="N118" s="69"/>
      <c r="AT118" s="69"/>
    </row>
    <row r="119" spans="1:46" s="70" customFormat="1" x14ac:dyDescent="0.3">
      <c r="A119" s="69"/>
      <c r="B119" s="69"/>
      <c r="C119" s="69"/>
      <c r="D119" s="69"/>
      <c r="E119" s="69"/>
      <c r="F119" s="69"/>
      <c r="G119" s="69"/>
      <c r="H119" s="69"/>
      <c r="I119" s="142"/>
      <c r="J119" s="142"/>
      <c r="K119" s="142"/>
      <c r="L119" s="69"/>
      <c r="M119" s="69"/>
      <c r="N119" s="69"/>
      <c r="AT119" s="69"/>
    </row>
    <row r="120" spans="1:46" s="70" customFormat="1" x14ac:dyDescent="0.3">
      <c r="A120" s="69"/>
      <c r="B120" s="69"/>
      <c r="C120" s="69"/>
      <c r="D120" s="69"/>
      <c r="E120" s="69"/>
      <c r="F120" s="69"/>
      <c r="G120" s="69"/>
      <c r="H120" s="69"/>
      <c r="I120" s="142"/>
      <c r="J120" s="142"/>
      <c r="K120" s="142"/>
      <c r="L120" s="69"/>
      <c r="M120" s="69"/>
      <c r="N120" s="69"/>
      <c r="AT120" s="69"/>
    </row>
    <row r="121" spans="1:46" s="70" customFormat="1" x14ac:dyDescent="0.3">
      <c r="A121" s="69"/>
      <c r="B121" s="69"/>
      <c r="C121" s="69"/>
      <c r="D121" s="69"/>
      <c r="E121" s="69"/>
      <c r="F121" s="69"/>
      <c r="G121" s="69"/>
      <c r="H121" s="69"/>
      <c r="I121" s="142"/>
      <c r="J121" s="142"/>
      <c r="K121" s="142"/>
      <c r="L121" s="69"/>
      <c r="M121" s="69"/>
      <c r="N121" s="69"/>
      <c r="AT121" s="69"/>
    </row>
    <row r="122" spans="1:46" s="70" customFormat="1" x14ac:dyDescent="0.3">
      <c r="A122" s="69"/>
      <c r="B122" s="69"/>
      <c r="C122" s="69"/>
      <c r="D122" s="69"/>
      <c r="E122" s="69"/>
      <c r="F122" s="69"/>
      <c r="G122" s="69"/>
      <c r="H122" s="69"/>
      <c r="I122" s="142"/>
      <c r="J122" s="142"/>
      <c r="K122" s="142"/>
      <c r="L122" s="69"/>
      <c r="M122" s="69"/>
      <c r="N122" s="69"/>
      <c r="AT122" s="69"/>
    </row>
    <row r="123" spans="1:46" s="70" customFormat="1" x14ac:dyDescent="0.3">
      <c r="A123" s="69"/>
      <c r="B123" s="69"/>
      <c r="C123" s="69"/>
      <c r="D123" s="69"/>
      <c r="E123" s="69"/>
      <c r="F123" s="69"/>
      <c r="G123" s="69"/>
      <c r="H123" s="69"/>
      <c r="I123" s="142"/>
      <c r="J123" s="142"/>
      <c r="K123" s="142"/>
      <c r="L123" s="69"/>
      <c r="M123" s="69"/>
      <c r="N123" s="69"/>
      <c r="AT123" s="69"/>
    </row>
    <row r="124" spans="1:46" s="70" customFormat="1" x14ac:dyDescent="0.3">
      <c r="A124" s="69"/>
      <c r="B124" s="69"/>
      <c r="C124" s="69"/>
      <c r="D124" s="69"/>
      <c r="E124" s="69"/>
      <c r="F124" s="69"/>
      <c r="G124" s="69"/>
      <c r="H124" s="69"/>
      <c r="I124" s="142"/>
      <c r="J124" s="142"/>
      <c r="K124" s="142"/>
      <c r="L124" s="69"/>
      <c r="M124" s="69"/>
      <c r="N124" s="69"/>
      <c r="AT124" s="69"/>
    </row>
    <row r="125" spans="1:46" s="70" customFormat="1" x14ac:dyDescent="0.3">
      <c r="A125" s="69"/>
      <c r="B125" s="69"/>
      <c r="C125" s="69"/>
      <c r="D125" s="69"/>
      <c r="E125" s="69"/>
      <c r="F125" s="69"/>
      <c r="G125" s="69"/>
      <c r="H125" s="69"/>
      <c r="I125" s="142"/>
      <c r="J125" s="142"/>
      <c r="K125" s="142"/>
      <c r="L125" s="69"/>
      <c r="M125" s="69"/>
      <c r="N125" s="69"/>
      <c r="AT125" s="69"/>
    </row>
    <row r="126" spans="1:46" s="70" customFormat="1" x14ac:dyDescent="0.3">
      <c r="A126" s="69"/>
      <c r="B126" s="69"/>
      <c r="C126" s="69"/>
      <c r="D126" s="69"/>
      <c r="E126" s="69"/>
      <c r="F126" s="69"/>
      <c r="G126" s="69"/>
      <c r="H126" s="69"/>
      <c r="I126" s="142"/>
      <c r="J126" s="142"/>
      <c r="K126" s="142"/>
      <c r="L126" s="69"/>
      <c r="M126" s="69"/>
      <c r="N126" s="69"/>
      <c r="AT126" s="69"/>
    </row>
    <row r="127" spans="1:46" s="70" customFormat="1" x14ac:dyDescent="0.3">
      <c r="A127" s="69"/>
      <c r="B127" s="69"/>
      <c r="C127" s="69"/>
      <c r="D127" s="69"/>
      <c r="E127" s="69"/>
      <c r="F127" s="69"/>
      <c r="G127" s="69"/>
      <c r="H127" s="69"/>
      <c r="I127" s="142"/>
      <c r="J127" s="142"/>
      <c r="K127" s="142"/>
      <c r="L127" s="144"/>
      <c r="M127" s="69"/>
      <c r="N127" s="69"/>
      <c r="AT127" s="69"/>
    </row>
    <row r="128" spans="1:46" s="70" customFormat="1" x14ac:dyDescent="0.3">
      <c r="A128" s="69"/>
      <c r="B128" s="69"/>
      <c r="C128" s="69"/>
      <c r="D128" s="69"/>
      <c r="E128" s="69"/>
      <c r="F128" s="69"/>
      <c r="G128" s="69"/>
      <c r="H128" s="69"/>
      <c r="I128" s="142"/>
      <c r="J128" s="142"/>
      <c r="K128" s="142"/>
      <c r="L128" s="144"/>
      <c r="M128" s="69"/>
      <c r="N128" s="69"/>
      <c r="AT128" s="69"/>
    </row>
    <row r="129" spans="1:46" s="70" customFormat="1" x14ac:dyDescent="0.3">
      <c r="A129" s="69"/>
      <c r="B129" s="69"/>
      <c r="C129" s="69"/>
      <c r="D129" s="69"/>
      <c r="E129" s="69"/>
      <c r="F129" s="69"/>
      <c r="G129" s="69"/>
      <c r="H129" s="69"/>
      <c r="I129" s="142"/>
      <c r="J129" s="142"/>
      <c r="K129" s="142"/>
      <c r="L129" s="144"/>
      <c r="M129" s="69"/>
      <c r="AT129" s="69"/>
    </row>
    <row r="130" spans="1:46" s="70" customFormat="1" x14ac:dyDescent="0.3">
      <c r="A130" s="69"/>
      <c r="B130" s="69"/>
      <c r="C130" s="69"/>
      <c r="D130" s="69"/>
      <c r="E130" s="69"/>
      <c r="F130" s="69"/>
      <c r="G130" s="69"/>
      <c r="H130" s="69"/>
      <c r="I130" s="142"/>
      <c r="J130" s="142"/>
      <c r="K130" s="142"/>
      <c r="L130" s="144"/>
      <c r="M130" s="69"/>
      <c r="AT130" s="69"/>
    </row>
    <row r="131" spans="1:46" s="70" customFormat="1" x14ac:dyDescent="0.3">
      <c r="A131" s="69"/>
      <c r="B131" s="69"/>
      <c r="C131" s="69"/>
      <c r="D131" s="69"/>
      <c r="E131" s="69"/>
      <c r="F131" s="69"/>
      <c r="G131" s="69"/>
      <c r="H131" s="69"/>
      <c r="I131" s="142"/>
      <c r="J131" s="142"/>
      <c r="K131" s="142"/>
      <c r="L131" s="144"/>
      <c r="M131" s="69"/>
      <c r="AT131" s="69"/>
    </row>
    <row r="132" spans="1:46" s="70" customFormat="1" x14ac:dyDescent="0.3">
      <c r="A132" s="69"/>
      <c r="B132" s="69"/>
      <c r="C132" s="69"/>
      <c r="D132" s="69"/>
      <c r="E132" s="69"/>
      <c r="F132" s="69"/>
      <c r="G132" s="69"/>
      <c r="H132" s="69"/>
      <c r="I132" s="142"/>
      <c r="J132" s="142"/>
      <c r="K132" s="142"/>
      <c r="L132" s="144"/>
      <c r="M132" s="144"/>
      <c r="AT132" s="69"/>
    </row>
    <row r="133" spans="1:46" s="70" customFormat="1" x14ac:dyDescent="0.3">
      <c r="A133" s="69"/>
      <c r="B133" s="69"/>
      <c r="C133" s="69"/>
      <c r="D133" s="69"/>
      <c r="E133" s="69"/>
      <c r="F133" s="69"/>
      <c r="G133" s="69"/>
      <c r="H133" s="69"/>
      <c r="I133" s="142"/>
      <c r="J133" s="142"/>
      <c r="K133" s="142"/>
      <c r="L133" s="144"/>
      <c r="M133" s="144"/>
      <c r="AT133" s="69"/>
    </row>
    <row r="134" spans="1:46" s="70" customFormat="1" x14ac:dyDescent="0.3">
      <c r="A134" s="69"/>
      <c r="B134" s="69"/>
      <c r="C134" s="69"/>
      <c r="D134" s="69"/>
      <c r="E134" s="69"/>
      <c r="F134" s="69"/>
      <c r="I134" s="142"/>
      <c r="J134" s="142"/>
      <c r="K134" s="142"/>
      <c r="L134" s="144"/>
      <c r="M134" s="144"/>
      <c r="AT134" s="69"/>
    </row>
    <row r="135" spans="1:46" s="70" customFormat="1" x14ac:dyDescent="0.3">
      <c r="I135" s="142"/>
      <c r="J135" s="142"/>
      <c r="K135" s="142"/>
      <c r="L135" s="144"/>
      <c r="M135" s="144"/>
      <c r="AT135" s="69"/>
    </row>
    <row r="136" spans="1:46" s="70" customFormat="1" x14ac:dyDescent="0.3">
      <c r="I136" s="142"/>
      <c r="J136" s="142"/>
      <c r="K136" s="142"/>
      <c r="L136" s="144"/>
      <c r="M136" s="144"/>
      <c r="AT136" s="69"/>
    </row>
    <row r="137" spans="1:46" s="70" customFormat="1" x14ac:dyDescent="0.3">
      <c r="I137" s="142"/>
      <c r="J137" s="142"/>
      <c r="K137" s="142"/>
      <c r="L137" s="144"/>
      <c r="M137" s="144"/>
      <c r="AT137" s="69"/>
    </row>
    <row r="138" spans="1:46" s="70" customFormat="1" x14ac:dyDescent="0.3">
      <c r="I138" s="142"/>
      <c r="J138" s="142"/>
      <c r="K138" s="142"/>
      <c r="L138" s="144"/>
      <c r="M138" s="144"/>
      <c r="AT138" s="69"/>
    </row>
    <row r="139" spans="1:46" s="70" customFormat="1" x14ac:dyDescent="0.3">
      <c r="I139" s="142"/>
      <c r="J139" s="142"/>
      <c r="K139" s="142"/>
      <c r="L139" s="144"/>
      <c r="M139" s="144"/>
      <c r="AT139" s="69"/>
    </row>
    <row r="140" spans="1:46" s="70" customFormat="1" x14ac:dyDescent="0.3">
      <c r="I140" s="142"/>
      <c r="J140" s="142"/>
      <c r="K140" s="142"/>
      <c r="L140" s="144"/>
      <c r="M140" s="144"/>
      <c r="AT140" s="69"/>
    </row>
    <row r="141" spans="1:46" s="70" customFormat="1" x14ac:dyDescent="0.3">
      <c r="I141" s="142"/>
      <c r="J141" s="142"/>
      <c r="K141" s="142"/>
      <c r="L141" s="144"/>
      <c r="M141" s="144"/>
      <c r="AT141" s="69"/>
    </row>
    <row r="142" spans="1:46" s="70" customFormat="1" x14ac:dyDescent="0.3">
      <c r="I142" s="142"/>
      <c r="J142" s="142"/>
      <c r="K142" s="142"/>
      <c r="L142" s="144"/>
      <c r="M142" s="144"/>
      <c r="AT142" s="69"/>
    </row>
    <row r="143" spans="1:46" s="70" customFormat="1" x14ac:dyDescent="0.3">
      <c r="I143" s="142"/>
      <c r="J143" s="142"/>
      <c r="K143" s="142"/>
      <c r="L143" s="144"/>
      <c r="M143" s="144"/>
      <c r="AT143" s="69"/>
    </row>
    <row r="144" spans="1:46" s="70" customFormat="1" x14ac:dyDescent="0.3">
      <c r="I144" s="142"/>
      <c r="J144" s="142"/>
      <c r="K144" s="142"/>
      <c r="L144" s="144"/>
      <c r="M144" s="144"/>
      <c r="AT144" s="69"/>
    </row>
    <row r="145" spans="9:46" s="70" customFormat="1" x14ac:dyDescent="0.3">
      <c r="I145" s="142"/>
      <c r="J145" s="142"/>
      <c r="K145" s="142"/>
      <c r="L145" s="144"/>
      <c r="M145" s="144"/>
      <c r="AT145" s="69"/>
    </row>
    <row r="146" spans="9:46" s="70" customFormat="1" x14ac:dyDescent="0.3">
      <c r="I146" s="142"/>
      <c r="J146" s="142"/>
      <c r="K146" s="142"/>
      <c r="L146" s="144"/>
      <c r="M146" s="144"/>
      <c r="AT146" s="69"/>
    </row>
    <row r="147" spans="9:46" s="70" customFormat="1" x14ac:dyDescent="0.3">
      <c r="I147" s="142"/>
      <c r="J147" s="142"/>
      <c r="K147" s="142"/>
      <c r="L147" s="144"/>
      <c r="M147" s="144"/>
      <c r="AT147" s="69"/>
    </row>
    <row r="148" spans="9:46" s="70" customFormat="1" x14ac:dyDescent="0.3">
      <c r="I148" s="142"/>
      <c r="J148" s="142"/>
      <c r="K148" s="142"/>
      <c r="L148" s="144"/>
      <c r="M148" s="144"/>
      <c r="AT148" s="69"/>
    </row>
    <row r="149" spans="9:46" s="70" customFormat="1" x14ac:dyDescent="0.3">
      <c r="I149" s="142"/>
      <c r="J149" s="142"/>
      <c r="K149" s="142"/>
      <c r="L149" s="144"/>
      <c r="M149" s="144"/>
      <c r="AT149" s="69"/>
    </row>
    <row r="150" spans="9:46" s="70" customFormat="1" x14ac:dyDescent="0.3">
      <c r="I150" s="142"/>
      <c r="J150" s="142"/>
      <c r="K150" s="142"/>
      <c r="L150" s="144"/>
      <c r="M150" s="144"/>
      <c r="AT150" s="69"/>
    </row>
    <row r="151" spans="9:46" s="70" customFormat="1" x14ac:dyDescent="0.3">
      <c r="I151" s="142"/>
      <c r="J151" s="142"/>
      <c r="K151" s="142"/>
      <c r="L151" s="144"/>
      <c r="M151" s="144"/>
      <c r="AT151" s="69"/>
    </row>
    <row r="152" spans="9:46" s="70" customFormat="1" x14ac:dyDescent="0.3">
      <c r="I152" s="142"/>
      <c r="J152" s="142"/>
      <c r="K152" s="142"/>
      <c r="L152" s="144"/>
      <c r="M152" s="144"/>
      <c r="AT152" s="69"/>
    </row>
    <row r="153" spans="9:46" s="70" customFormat="1" x14ac:dyDescent="0.3">
      <c r="I153" s="142"/>
      <c r="J153" s="142"/>
      <c r="K153" s="142"/>
      <c r="L153" s="144"/>
      <c r="M153" s="144"/>
      <c r="AT153" s="69"/>
    </row>
    <row r="154" spans="9:46" s="70" customFormat="1" x14ac:dyDescent="0.3">
      <c r="I154" s="142"/>
      <c r="J154" s="142"/>
      <c r="K154" s="142"/>
      <c r="L154" s="144"/>
      <c r="M154" s="144"/>
      <c r="AT154" s="69"/>
    </row>
    <row r="155" spans="9:46" s="70" customFormat="1" x14ac:dyDescent="0.3">
      <c r="I155" s="142"/>
      <c r="J155" s="142"/>
      <c r="K155" s="142"/>
      <c r="L155" s="144"/>
      <c r="M155" s="144"/>
      <c r="AT155" s="69"/>
    </row>
    <row r="156" spans="9:46" s="70" customFormat="1" x14ac:dyDescent="0.3">
      <c r="I156" s="142"/>
      <c r="J156" s="142"/>
      <c r="K156" s="142"/>
      <c r="L156" s="144"/>
      <c r="M156" s="144"/>
      <c r="AT156" s="69"/>
    </row>
    <row r="157" spans="9:46" s="70" customFormat="1" x14ac:dyDescent="0.3">
      <c r="I157" s="142"/>
      <c r="J157" s="142"/>
      <c r="K157" s="142"/>
      <c r="L157" s="144"/>
      <c r="M157" s="144"/>
      <c r="AT157" s="69"/>
    </row>
    <row r="158" spans="9:46" s="70" customFormat="1" x14ac:dyDescent="0.3">
      <c r="I158" s="142"/>
      <c r="J158" s="142"/>
      <c r="K158" s="142"/>
      <c r="L158" s="144"/>
      <c r="M158" s="144"/>
      <c r="AT158" s="69"/>
    </row>
    <row r="159" spans="9:46" s="70" customFormat="1" x14ac:dyDescent="0.3">
      <c r="I159" s="142"/>
      <c r="J159" s="142"/>
      <c r="K159" s="142"/>
      <c r="L159" s="144"/>
      <c r="M159" s="144"/>
      <c r="AT159" s="69"/>
    </row>
    <row r="160" spans="9:46" s="70" customFormat="1" x14ac:dyDescent="0.3">
      <c r="I160" s="142"/>
      <c r="J160" s="142"/>
      <c r="K160" s="142"/>
      <c r="L160" s="144"/>
      <c r="M160" s="144"/>
      <c r="AT160" s="69"/>
    </row>
    <row r="161" spans="9:46" s="70" customFormat="1" x14ac:dyDescent="0.3">
      <c r="I161" s="142"/>
      <c r="J161" s="142"/>
      <c r="K161" s="142"/>
      <c r="L161" s="144"/>
      <c r="M161" s="144"/>
      <c r="AT161" s="69"/>
    </row>
    <row r="162" spans="9:46" s="70" customFormat="1" x14ac:dyDescent="0.3">
      <c r="I162" s="142"/>
      <c r="J162" s="142"/>
      <c r="K162" s="142"/>
      <c r="L162" s="144"/>
      <c r="M162" s="144"/>
      <c r="AT162" s="69"/>
    </row>
    <row r="163" spans="9:46" s="70" customFormat="1" x14ac:dyDescent="0.3">
      <c r="I163" s="142"/>
      <c r="J163" s="142"/>
      <c r="K163" s="142"/>
      <c r="L163" s="144"/>
      <c r="M163" s="144"/>
      <c r="AT163" s="69"/>
    </row>
    <row r="164" spans="9:46" s="70" customFormat="1" x14ac:dyDescent="0.3">
      <c r="I164" s="142"/>
      <c r="J164" s="142"/>
      <c r="K164" s="142"/>
      <c r="L164" s="144"/>
      <c r="M164" s="144"/>
      <c r="AT164" s="69"/>
    </row>
    <row r="165" spans="9:46" s="70" customFormat="1" x14ac:dyDescent="0.3">
      <c r="I165" s="142"/>
      <c r="J165" s="142"/>
      <c r="K165" s="142"/>
      <c r="L165" s="144"/>
      <c r="M165" s="144"/>
      <c r="AT165" s="69"/>
    </row>
    <row r="166" spans="9:46" s="70" customFormat="1" x14ac:dyDescent="0.3">
      <c r="I166" s="142"/>
      <c r="J166" s="142"/>
      <c r="K166" s="142"/>
      <c r="L166" s="144"/>
      <c r="M166" s="144"/>
      <c r="AT166" s="69"/>
    </row>
    <row r="167" spans="9:46" s="70" customFormat="1" x14ac:dyDescent="0.3">
      <c r="I167" s="142"/>
      <c r="J167" s="142"/>
      <c r="K167" s="142"/>
      <c r="L167" s="144"/>
      <c r="M167" s="144"/>
      <c r="AT167" s="69"/>
    </row>
    <row r="168" spans="9:46" s="70" customFormat="1" x14ac:dyDescent="0.3">
      <c r="I168" s="142"/>
      <c r="J168" s="142"/>
      <c r="K168" s="142"/>
      <c r="L168" s="144"/>
      <c r="M168" s="144"/>
      <c r="AT168" s="69"/>
    </row>
    <row r="169" spans="9:46" s="70" customFormat="1" x14ac:dyDescent="0.3">
      <c r="I169" s="142"/>
      <c r="J169" s="142"/>
      <c r="K169" s="142"/>
      <c r="L169" s="144"/>
      <c r="M169" s="144"/>
      <c r="AT169" s="69"/>
    </row>
    <row r="170" spans="9:46" s="70" customFormat="1" x14ac:dyDescent="0.3">
      <c r="I170" s="142"/>
      <c r="J170" s="142"/>
      <c r="K170" s="142"/>
      <c r="L170" s="144"/>
      <c r="M170" s="144"/>
      <c r="AT170" s="69"/>
    </row>
    <row r="171" spans="9:46" s="70" customFormat="1" x14ac:dyDescent="0.3">
      <c r="I171" s="142"/>
      <c r="J171" s="142"/>
      <c r="K171" s="142"/>
      <c r="L171" s="144"/>
      <c r="M171" s="144"/>
      <c r="AT171" s="69"/>
    </row>
    <row r="172" spans="9:46" s="70" customFormat="1" x14ac:dyDescent="0.3">
      <c r="I172" s="142"/>
      <c r="J172" s="142"/>
      <c r="K172" s="142"/>
      <c r="L172" s="144"/>
      <c r="M172" s="144"/>
      <c r="AT172" s="69"/>
    </row>
    <row r="173" spans="9:46" s="70" customFormat="1" x14ac:dyDescent="0.3">
      <c r="I173" s="142"/>
      <c r="J173" s="142"/>
      <c r="K173" s="142"/>
      <c r="L173" s="144"/>
      <c r="M173" s="144"/>
      <c r="AT173" s="69"/>
    </row>
    <row r="174" spans="9:46" s="70" customFormat="1" x14ac:dyDescent="0.3">
      <c r="I174" s="142"/>
      <c r="J174" s="142"/>
      <c r="K174" s="142"/>
      <c r="L174" s="144"/>
      <c r="M174" s="144"/>
      <c r="AT174" s="69"/>
    </row>
    <row r="175" spans="9:46" s="70" customFormat="1" x14ac:dyDescent="0.3">
      <c r="I175" s="142"/>
      <c r="J175" s="142"/>
      <c r="K175" s="142"/>
      <c r="L175" s="144"/>
      <c r="M175" s="144"/>
      <c r="AT175" s="69"/>
    </row>
    <row r="176" spans="9:46" s="70" customFormat="1" x14ac:dyDescent="0.3">
      <c r="I176" s="142"/>
      <c r="J176" s="142"/>
      <c r="K176" s="142"/>
      <c r="L176" s="144"/>
      <c r="M176" s="144"/>
      <c r="AT176" s="69"/>
    </row>
    <row r="177" spans="1:47" s="70" customFormat="1" x14ac:dyDescent="0.3">
      <c r="I177" s="142"/>
      <c r="J177" s="142"/>
      <c r="K177" s="142"/>
      <c r="L177" s="144"/>
      <c r="M177" s="144"/>
      <c r="AT177" s="69"/>
    </row>
    <row r="178" spans="1:47" s="70" customFormat="1" x14ac:dyDescent="0.3">
      <c r="I178" s="142"/>
      <c r="J178" s="142"/>
      <c r="K178" s="142"/>
      <c r="L178" s="144"/>
      <c r="M178" s="144"/>
      <c r="AT178" s="69"/>
    </row>
    <row r="179" spans="1:47" s="70" customFormat="1" x14ac:dyDescent="0.3">
      <c r="I179" s="142"/>
      <c r="J179" s="142"/>
      <c r="K179" s="142"/>
      <c r="L179" s="144"/>
      <c r="M179" s="144"/>
      <c r="AT179" s="69"/>
    </row>
    <row r="180" spans="1:47" s="70" customFormat="1" x14ac:dyDescent="0.3">
      <c r="I180" s="142"/>
      <c r="J180" s="142"/>
      <c r="K180" s="142"/>
      <c r="L180" s="144"/>
      <c r="M180" s="144"/>
      <c r="AT180" s="69"/>
    </row>
    <row r="181" spans="1:47" s="70" customFormat="1" x14ac:dyDescent="0.3">
      <c r="I181" s="142"/>
      <c r="J181" s="142"/>
      <c r="K181" s="142"/>
      <c r="L181" s="144"/>
      <c r="M181" s="144"/>
      <c r="AT181" s="69"/>
    </row>
    <row r="182" spans="1:47" s="70" customFormat="1" x14ac:dyDescent="0.3">
      <c r="I182" s="142"/>
      <c r="J182" s="142"/>
      <c r="K182" s="142"/>
      <c r="L182" s="144"/>
      <c r="M182" s="144"/>
      <c r="AT182" s="69"/>
    </row>
    <row r="183" spans="1:47" s="70" customFormat="1" x14ac:dyDescent="0.3">
      <c r="I183" s="142"/>
      <c r="J183" s="142"/>
      <c r="K183" s="142"/>
      <c r="L183" s="144"/>
      <c r="M183" s="144"/>
      <c r="AT183" s="69"/>
    </row>
    <row r="184" spans="1:47" s="70" customFormat="1" x14ac:dyDescent="0.3">
      <c r="I184" s="142"/>
      <c r="J184" s="142"/>
      <c r="K184" s="142"/>
      <c r="L184" s="144"/>
      <c r="M184" s="144"/>
      <c r="AT184" s="69"/>
    </row>
    <row r="185" spans="1:47" s="70" customFormat="1" x14ac:dyDescent="0.3">
      <c r="I185" s="142"/>
      <c r="J185" s="142"/>
      <c r="K185" s="142"/>
      <c r="L185" s="144"/>
      <c r="M185" s="144"/>
      <c r="AT185" s="69"/>
    </row>
    <row r="186" spans="1:47" s="70" customFormat="1" x14ac:dyDescent="0.3">
      <c r="I186" s="142"/>
      <c r="J186" s="142"/>
      <c r="K186" s="142"/>
      <c r="L186" s="144"/>
      <c r="M186" s="144"/>
      <c r="AT186" s="69"/>
    </row>
    <row r="187" spans="1:47" s="70" customFormat="1" x14ac:dyDescent="0.3">
      <c r="I187" s="142"/>
      <c r="J187" s="142"/>
      <c r="K187" s="142"/>
      <c r="L187" s="144"/>
      <c r="M187" s="144"/>
      <c r="AT187" s="69"/>
    </row>
    <row r="188" spans="1:47" s="70" customFormat="1" x14ac:dyDescent="0.3">
      <c r="I188" s="142"/>
      <c r="J188" s="142"/>
      <c r="K188" s="142"/>
      <c r="L188" s="144"/>
      <c r="M188" s="144"/>
      <c r="AT188" s="69"/>
    </row>
    <row r="189" spans="1:47" s="145" customFormat="1" x14ac:dyDescent="0.3">
      <c r="A189" s="70"/>
      <c r="B189" s="70"/>
      <c r="C189" s="70"/>
      <c r="D189" s="70"/>
      <c r="E189" s="70"/>
      <c r="F189" s="70"/>
      <c r="G189" s="70"/>
      <c r="H189" s="70"/>
      <c r="I189" s="142"/>
      <c r="J189" s="142"/>
      <c r="K189" s="142"/>
      <c r="L189" s="144"/>
      <c r="M189" s="144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69"/>
      <c r="AU189" s="70"/>
    </row>
    <row r="190" spans="1:47" s="145" customFormat="1" x14ac:dyDescent="0.3">
      <c r="A190" s="70"/>
      <c r="B190" s="70"/>
      <c r="C190" s="70"/>
      <c r="D190" s="70"/>
      <c r="E190" s="70"/>
      <c r="F190" s="70"/>
      <c r="G190" s="70"/>
      <c r="H190" s="70"/>
      <c r="I190" s="142"/>
      <c r="J190" s="142"/>
      <c r="K190" s="142"/>
      <c r="L190" s="144"/>
      <c r="M190" s="144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69"/>
      <c r="AU190" s="70"/>
    </row>
    <row r="191" spans="1:47" s="145" customFormat="1" x14ac:dyDescent="0.3">
      <c r="A191" s="70"/>
      <c r="B191" s="70"/>
      <c r="C191" s="70"/>
      <c r="D191" s="70"/>
      <c r="E191" s="70"/>
      <c r="F191" s="70"/>
      <c r="G191" s="70"/>
      <c r="H191" s="70"/>
      <c r="I191" s="142"/>
      <c r="J191" s="142"/>
      <c r="K191" s="142"/>
      <c r="L191" s="144"/>
      <c r="M191" s="144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69"/>
      <c r="AU191" s="70"/>
    </row>
    <row r="192" spans="1:47" s="145" customFormat="1" x14ac:dyDescent="0.3">
      <c r="A192" s="70"/>
      <c r="B192" s="70"/>
      <c r="C192" s="70"/>
      <c r="D192" s="70"/>
      <c r="E192" s="70"/>
      <c r="F192" s="70"/>
      <c r="G192" s="70"/>
      <c r="H192" s="70"/>
      <c r="I192" s="142"/>
      <c r="J192" s="142"/>
      <c r="K192" s="142"/>
      <c r="L192" s="144"/>
      <c r="M192" s="144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69"/>
      <c r="AU192" s="70"/>
    </row>
    <row r="193" spans="1:47" s="145" customFormat="1" x14ac:dyDescent="0.3">
      <c r="A193" s="70"/>
      <c r="B193" s="70"/>
      <c r="C193" s="70"/>
      <c r="D193" s="70"/>
      <c r="E193" s="70"/>
      <c r="F193" s="70"/>
      <c r="G193" s="70"/>
      <c r="H193" s="70"/>
      <c r="I193" s="142"/>
      <c r="J193" s="142"/>
      <c r="K193" s="142"/>
      <c r="L193" s="144"/>
      <c r="M193" s="144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69"/>
      <c r="AU193" s="70"/>
    </row>
    <row r="194" spans="1:47" s="145" customFormat="1" x14ac:dyDescent="0.3">
      <c r="A194" s="70"/>
      <c r="B194" s="70"/>
      <c r="C194" s="70"/>
      <c r="D194" s="70"/>
      <c r="E194" s="70"/>
      <c r="F194" s="70"/>
      <c r="G194" s="70"/>
      <c r="H194" s="70"/>
      <c r="I194" s="142"/>
      <c r="J194" s="142"/>
      <c r="K194" s="142"/>
      <c r="L194" s="144"/>
      <c r="M194" s="144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69"/>
      <c r="AU194" s="70"/>
    </row>
    <row r="195" spans="1:47" s="145" customFormat="1" x14ac:dyDescent="0.3">
      <c r="A195" s="70"/>
      <c r="B195" s="70"/>
      <c r="C195" s="70"/>
      <c r="D195" s="70"/>
      <c r="E195" s="70"/>
      <c r="F195" s="70"/>
      <c r="G195" s="70"/>
      <c r="H195" s="70"/>
      <c r="I195" s="142"/>
      <c r="J195" s="142"/>
      <c r="K195" s="142"/>
      <c r="L195" s="144"/>
      <c r="M195" s="144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69"/>
      <c r="AU195" s="70"/>
    </row>
    <row r="196" spans="1:47" s="145" customFormat="1" x14ac:dyDescent="0.3">
      <c r="A196" s="70"/>
      <c r="B196" s="70"/>
      <c r="C196" s="70"/>
      <c r="D196" s="70"/>
      <c r="E196" s="70"/>
      <c r="F196" s="70"/>
      <c r="G196" s="70"/>
      <c r="H196" s="70"/>
      <c r="I196" s="142"/>
      <c r="J196" s="142"/>
      <c r="K196" s="142"/>
      <c r="L196" s="144"/>
      <c r="M196" s="144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69"/>
      <c r="AU196" s="70"/>
    </row>
    <row r="197" spans="1:47" s="145" customFormat="1" x14ac:dyDescent="0.3">
      <c r="A197" s="70"/>
      <c r="B197" s="70"/>
      <c r="C197" s="70"/>
      <c r="D197" s="70"/>
      <c r="E197" s="70"/>
      <c r="F197" s="70"/>
      <c r="G197" s="70"/>
      <c r="H197" s="70"/>
      <c r="I197" s="142"/>
      <c r="J197" s="142"/>
      <c r="K197" s="142"/>
      <c r="L197" s="144"/>
      <c r="M197" s="144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69"/>
      <c r="AU197" s="70"/>
    </row>
    <row r="198" spans="1:47" s="145" customFormat="1" x14ac:dyDescent="0.3">
      <c r="A198" s="70"/>
      <c r="B198" s="70"/>
      <c r="C198" s="70"/>
      <c r="D198" s="70"/>
      <c r="E198" s="70"/>
      <c r="F198" s="70"/>
      <c r="G198" s="70"/>
      <c r="H198" s="70"/>
      <c r="I198" s="142"/>
      <c r="J198" s="142"/>
      <c r="K198" s="142"/>
      <c r="L198" s="144"/>
      <c r="M198" s="144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69"/>
      <c r="AU198" s="70"/>
    </row>
    <row r="199" spans="1:47" s="145" customFormat="1" x14ac:dyDescent="0.3">
      <c r="A199" s="70"/>
      <c r="B199" s="70"/>
      <c r="C199" s="70"/>
      <c r="D199" s="70"/>
      <c r="E199" s="70"/>
      <c r="F199" s="70"/>
      <c r="G199" s="70"/>
      <c r="H199" s="70"/>
      <c r="I199" s="142"/>
      <c r="J199" s="142"/>
      <c r="K199" s="142"/>
      <c r="L199" s="144"/>
      <c r="M199" s="144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69"/>
      <c r="AU199" s="70"/>
    </row>
    <row r="200" spans="1:47" s="145" customFormat="1" x14ac:dyDescent="0.3">
      <c r="A200" s="70"/>
      <c r="B200" s="70"/>
      <c r="C200" s="70"/>
      <c r="D200" s="70"/>
      <c r="E200" s="70"/>
      <c r="F200" s="70"/>
      <c r="G200" s="70"/>
      <c r="H200" s="70"/>
      <c r="I200" s="142"/>
      <c r="J200" s="142"/>
      <c r="K200" s="142"/>
      <c r="L200" s="144"/>
      <c r="M200" s="144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69"/>
      <c r="AU200" s="70"/>
    </row>
    <row r="201" spans="1:47" s="145" customFormat="1" x14ac:dyDescent="0.3">
      <c r="A201" s="70"/>
      <c r="B201" s="70"/>
      <c r="C201" s="70"/>
      <c r="D201" s="70"/>
      <c r="E201" s="70"/>
      <c r="F201" s="70"/>
      <c r="G201" s="70"/>
      <c r="H201" s="70"/>
      <c r="I201" s="146"/>
      <c r="J201" s="146"/>
      <c r="K201" s="146"/>
      <c r="L201" s="144"/>
      <c r="M201" s="144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69"/>
      <c r="AU201" s="70"/>
    </row>
    <row r="202" spans="1:47" s="145" customFormat="1" x14ac:dyDescent="0.3">
      <c r="A202" s="70"/>
      <c r="B202" s="70"/>
      <c r="C202" s="70"/>
      <c r="D202" s="70"/>
      <c r="E202" s="70"/>
      <c r="F202" s="70"/>
      <c r="G202" s="70"/>
      <c r="H202" s="70"/>
      <c r="I202" s="146"/>
      <c r="J202" s="146"/>
      <c r="K202" s="146"/>
      <c r="L202" s="144"/>
      <c r="M202" s="144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69"/>
      <c r="AU202" s="70"/>
    </row>
    <row r="203" spans="1:47" s="145" customFormat="1" x14ac:dyDescent="0.3">
      <c r="A203" s="70"/>
      <c r="B203" s="70"/>
      <c r="C203" s="70"/>
      <c r="D203" s="70"/>
      <c r="E203" s="70"/>
      <c r="F203" s="70"/>
      <c r="G203" s="70"/>
      <c r="H203" s="70"/>
      <c r="I203" s="146"/>
      <c r="J203" s="146"/>
      <c r="K203" s="146"/>
      <c r="L203" s="144"/>
      <c r="M203" s="144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69"/>
      <c r="AU203" s="70"/>
    </row>
    <row r="204" spans="1:47" s="145" customFormat="1" x14ac:dyDescent="0.3">
      <c r="A204" s="70"/>
      <c r="B204" s="70"/>
      <c r="C204" s="70"/>
      <c r="D204" s="70"/>
      <c r="E204" s="70"/>
      <c r="F204" s="70"/>
      <c r="G204" s="70"/>
      <c r="H204" s="70"/>
      <c r="I204" s="146"/>
      <c r="J204" s="146"/>
      <c r="K204" s="146"/>
      <c r="L204" s="147"/>
      <c r="M204" s="144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69"/>
      <c r="AU204" s="70"/>
    </row>
    <row r="205" spans="1:47" s="145" customFormat="1" x14ac:dyDescent="0.3">
      <c r="A205" s="70"/>
      <c r="B205" s="70"/>
      <c r="C205" s="70"/>
      <c r="D205" s="70"/>
      <c r="E205" s="70"/>
      <c r="F205" s="70"/>
      <c r="G205" s="70"/>
      <c r="H205" s="70"/>
      <c r="I205" s="146"/>
      <c r="J205" s="146"/>
      <c r="K205" s="146"/>
      <c r="L205" s="147"/>
      <c r="M205" s="144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69"/>
      <c r="AU205" s="70"/>
    </row>
    <row r="206" spans="1:47" x14ac:dyDescent="0.3">
      <c r="A206" s="70"/>
      <c r="B206" s="70"/>
      <c r="C206" s="70"/>
      <c r="D206" s="70"/>
      <c r="E206" s="70"/>
      <c r="F206" s="70"/>
      <c r="G206" s="70"/>
      <c r="H206" s="70"/>
      <c r="I206" s="146"/>
      <c r="J206" s="146"/>
      <c r="K206" s="146"/>
      <c r="L206" s="147"/>
      <c r="M206" s="144"/>
      <c r="N206" s="70"/>
      <c r="AT206" s="148"/>
      <c r="AU206" s="148"/>
    </row>
    <row r="207" spans="1:47" x14ac:dyDescent="0.3">
      <c r="A207" s="70"/>
      <c r="B207" s="70"/>
      <c r="C207" s="70"/>
      <c r="D207" s="70"/>
      <c r="E207" s="70"/>
      <c r="F207" s="70"/>
      <c r="G207" s="70"/>
      <c r="H207" s="70"/>
      <c r="I207" s="146"/>
      <c r="J207" s="146"/>
      <c r="K207" s="146"/>
      <c r="L207" s="147"/>
      <c r="M207" s="144"/>
      <c r="N207" s="149"/>
      <c r="AT207" s="148"/>
      <c r="AU207" s="148"/>
    </row>
    <row r="208" spans="1:47" x14ac:dyDescent="0.3">
      <c r="A208" s="70"/>
      <c r="B208" s="70"/>
      <c r="C208" s="70"/>
      <c r="D208" s="70"/>
      <c r="E208" s="70"/>
      <c r="F208" s="70"/>
      <c r="G208" s="70"/>
      <c r="H208" s="70"/>
      <c r="I208" s="146"/>
      <c r="J208" s="146"/>
      <c r="K208" s="146"/>
      <c r="L208" s="147"/>
      <c r="M208" s="144"/>
      <c r="N208" s="149"/>
      <c r="AT208" s="148"/>
      <c r="AU208" s="148"/>
    </row>
    <row r="209" spans="1:47" x14ac:dyDescent="0.3">
      <c r="A209" s="70"/>
      <c r="B209" s="70"/>
      <c r="C209" s="70"/>
      <c r="D209" s="70"/>
      <c r="E209" s="70"/>
      <c r="F209" s="70"/>
      <c r="G209" s="70"/>
      <c r="H209" s="70"/>
      <c r="I209" s="146"/>
      <c r="J209" s="146"/>
      <c r="K209" s="146"/>
      <c r="L209" s="147"/>
      <c r="M209" s="147"/>
      <c r="N209" s="149"/>
      <c r="AT209" s="148"/>
      <c r="AU209" s="148"/>
    </row>
    <row r="210" spans="1:47" x14ac:dyDescent="0.3">
      <c r="A210" s="70"/>
      <c r="B210" s="70"/>
      <c r="C210" s="70"/>
      <c r="D210" s="70"/>
      <c r="E210" s="70"/>
      <c r="F210" s="70"/>
      <c r="G210" s="70"/>
      <c r="H210" s="70"/>
      <c r="I210" s="146"/>
      <c r="J210" s="146"/>
      <c r="K210" s="146"/>
      <c r="L210" s="147"/>
      <c r="M210" s="147"/>
      <c r="N210" s="149"/>
      <c r="AT210" s="148"/>
      <c r="AU210" s="148"/>
    </row>
    <row r="211" spans="1:47" x14ac:dyDescent="0.3">
      <c r="A211" s="70"/>
      <c r="B211" s="70"/>
      <c r="C211" s="70"/>
      <c r="D211" s="70"/>
      <c r="E211" s="70"/>
      <c r="F211" s="70"/>
      <c r="G211" s="149"/>
      <c r="H211" s="149"/>
      <c r="I211" s="146"/>
      <c r="J211" s="146"/>
      <c r="K211" s="146"/>
      <c r="L211" s="147"/>
      <c r="M211" s="147"/>
      <c r="N211" s="149"/>
      <c r="AT211" s="148"/>
      <c r="AU211" s="148"/>
    </row>
    <row r="212" spans="1:47" x14ac:dyDescent="0.3">
      <c r="A212" s="149"/>
      <c r="B212" s="149"/>
      <c r="C212" s="149"/>
      <c r="D212" s="149"/>
      <c r="E212" s="149"/>
      <c r="F212" s="149"/>
      <c r="G212" s="149"/>
      <c r="H212" s="149"/>
      <c r="I212" s="146"/>
      <c r="J212" s="146"/>
      <c r="K212" s="146"/>
      <c r="L212" s="147"/>
      <c r="M212" s="147"/>
      <c r="N212" s="149"/>
      <c r="AT212" s="148"/>
      <c r="AU212" s="148"/>
    </row>
    <row r="213" spans="1:47" x14ac:dyDescent="0.3">
      <c r="A213" s="149"/>
      <c r="B213" s="149"/>
      <c r="C213" s="149"/>
      <c r="D213" s="149"/>
      <c r="E213" s="149"/>
      <c r="F213" s="149"/>
      <c r="G213" s="149"/>
      <c r="H213" s="149"/>
      <c r="I213" s="146"/>
      <c r="J213" s="146"/>
      <c r="K213" s="146"/>
      <c r="L213" s="147"/>
      <c r="M213" s="147"/>
      <c r="N213" s="149"/>
      <c r="AT213" s="148"/>
      <c r="AU213" s="148"/>
    </row>
    <row r="214" spans="1:47" x14ac:dyDescent="0.3">
      <c r="A214" s="149"/>
      <c r="B214" s="149"/>
      <c r="C214" s="149"/>
      <c r="D214" s="149"/>
      <c r="E214" s="149"/>
      <c r="F214" s="149"/>
      <c r="G214" s="149"/>
      <c r="H214" s="149"/>
      <c r="I214" s="146"/>
      <c r="J214" s="146"/>
      <c r="K214" s="146"/>
      <c r="L214" s="147"/>
      <c r="M214" s="147"/>
      <c r="N214" s="149"/>
      <c r="AT214" s="148"/>
      <c r="AU214" s="148"/>
    </row>
    <row r="215" spans="1:47" x14ac:dyDescent="0.3">
      <c r="A215" s="149"/>
      <c r="B215" s="149"/>
      <c r="C215" s="149"/>
      <c r="D215" s="149"/>
      <c r="E215" s="149"/>
      <c r="F215" s="149"/>
      <c r="G215" s="149"/>
      <c r="H215" s="149"/>
      <c r="I215" s="146"/>
      <c r="J215" s="146"/>
      <c r="K215" s="146"/>
      <c r="L215" s="147"/>
      <c r="M215" s="147"/>
      <c r="N215" s="149"/>
      <c r="AT215" s="148"/>
      <c r="AU215" s="148"/>
    </row>
    <row r="216" spans="1:47" x14ac:dyDescent="0.3">
      <c r="A216" s="149"/>
      <c r="B216" s="149"/>
      <c r="C216" s="149"/>
      <c r="D216" s="149"/>
      <c r="E216" s="149"/>
      <c r="F216" s="149"/>
      <c r="G216" s="149"/>
      <c r="H216" s="149"/>
      <c r="I216" s="146"/>
      <c r="J216" s="146"/>
      <c r="K216" s="146"/>
      <c r="L216" s="147"/>
      <c r="M216" s="147"/>
      <c r="N216" s="149"/>
      <c r="AT216" s="148"/>
      <c r="AU216" s="148"/>
    </row>
    <row r="217" spans="1:47" x14ac:dyDescent="0.3">
      <c r="A217" s="149"/>
      <c r="B217" s="149"/>
      <c r="C217" s="149"/>
      <c r="D217" s="149"/>
      <c r="E217" s="149"/>
      <c r="F217" s="149"/>
      <c r="G217" s="149"/>
      <c r="H217" s="149"/>
      <c r="I217" s="146"/>
      <c r="J217" s="146"/>
      <c r="K217" s="146"/>
      <c r="L217" s="147"/>
      <c r="M217" s="147"/>
      <c r="N217" s="149"/>
      <c r="AT217" s="148"/>
      <c r="AU217" s="148"/>
    </row>
    <row r="218" spans="1:47" x14ac:dyDescent="0.3">
      <c r="A218" s="149"/>
      <c r="B218" s="149"/>
      <c r="C218" s="149"/>
      <c r="D218" s="149"/>
      <c r="E218" s="149"/>
      <c r="F218" s="149"/>
      <c r="G218" s="149"/>
      <c r="H218" s="149"/>
      <c r="L218" s="147"/>
      <c r="M218" s="147"/>
      <c r="N218" s="149"/>
    </row>
    <row r="219" spans="1:47" x14ac:dyDescent="0.3">
      <c r="A219" s="149"/>
      <c r="B219" s="149"/>
      <c r="C219" s="149"/>
      <c r="D219" s="149"/>
      <c r="E219" s="149"/>
      <c r="F219" s="149"/>
      <c r="G219" s="149"/>
      <c r="H219" s="149"/>
      <c r="L219" s="147"/>
      <c r="M219" s="147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69"/>
      <c r="AJ219" s="69"/>
      <c r="AK219" s="69"/>
      <c r="AL219" s="69"/>
      <c r="AM219" s="69"/>
      <c r="AN219" s="69"/>
      <c r="AO219" s="69"/>
      <c r="AP219" s="69"/>
      <c r="AQ219" s="69"/>
      <c r="AR219" s="69"/>
      <c r="AS219" s="69"/>
      <c r="AT219" s="148"/>
      <c r="AU219" s="148"/>
    </row>
    <row r="220" spans="1:47" x14ac:dyDescent="0.3">
      <c r="A220" s="149"/>
      <c r="B220" s="149"/>
      <c r="C220" s="149"/>
      <c r="D220" s="149"/>
      <c r="E220" s="149"/>
      <c r="F220" s="149"/>
      <c r="G220" s="149"/>
      <c r="H220" s="149"/>
      <c r="L220" s="147"/>
      <c r="M220" s="147"/>
    </row>
    <row r="221" spans="1:47" x14ac:dyDescent="0.3">
      <c r="A221" s="149"/>
      <c r="B221" s="149"/>
      <c r="C221" s="149"/>
      <c r="D221" s="149"/>
      <c r="E221" s="149"/>
      <c r="F221" s="149"/>
      <c r="G221" s="149"/>
      <c r="H221" s="149"/>
      <c r="M221" s="147"/>
    </row>
    <row r="222" spans="1:47" x14ac:dyDescent="0.3">
      <c r="A222" s="149"/>
      <c r="B222" s="149"/>
      <c r="C222" s="149"/>
      <c r="D222" s="149"/>
      <c r="E222" s="149"/>
      <c r="F222" s="149"/>
      <c r="G222" s="149"/>
      <c r="H222" s="149"/>
      <c r="M222" s="147"/>
    </row>
    <row r="223" spans="1:47" x14ac:dyDescent="0.3">
      <c r="A223" s="149"/>
      <c r="B223" s="149"/>
      <c r="C223" s="149"/>
      <c r="D223" s="149"/>
      <c r="E223" s="149"/>
      <c r="F223" s="149"/>
      <c r="G223" s="149"/>
      <c r="H223" s="149"/>
      <c r="M223" s="147"/>
    </row>
    <row r="224" spans="1:47" x14ac:dyDescent="0.3">
      <c r="A224" s="149"/>
      <c r="B224" s="149"/>
      <c r="C224" s="149"/>
      <c r="D224" s="149"/>
      <c r="E224" s="149"/>
      <c r="F224" s="149"/>
      <c r="G224" s="149"/>
      <c r="H224" s="149"/>
      <c r="M224" s="147"/>
    </row>
    <row r="225" spans="1:13" x14ac:dyDescent="0.3">
      <c r="A225" s="149"/>
      <c r="B225" s="149"/>
      <c r="C225" s="149"/>
      <c r="D225" s="149"/>
      <c r="E225" s="149"/>
      <c r="F225" s="149"/>
      <c r="G225" s="149"/>
      <c r="H225" s="149"/>
      <c r="L225" s="148"/>
      <c r="M225" s="147"/>
    </row>
    <row r="226" spans="1:13" x14ac:dyDescent="0.3">
      <c r="A226" s="149"/>
      <c r="B226" s="149"/>
      <c r="C226" s="149"/>
      <c r="D226" s="149"/>
      <c r="E226" s="149"/>
      <c r="F226" s="149"/>
      <c r="G226" s="149"/>
      <c r="H226" s="149"/>
    </row>
    <row r="227" spans="1:13" x14ac:dyDescent="0.3">
      <c r="A227" s="149"/>
      <c r="B227" s="149"/>
      <c r="C227" s="149"/>
      <c r="D227" s="149"/>
      <c r="E227" s="149"/>
      <c r="F227" s="149"/>
      <c r="G227" s="149"/>
      <c r="H227" s="149"/>
    </row>
    <row r="228" spans="1:13" x14ac:dyDescent="0.3">
      <c r="A228" s="149"/>
      <c r="B228" s="149"/>
      <c r="C228" s="149"/>
      <c r="D228" s="149"/>
      <c r="E228" s="149"/>
      <c r="F228" s="149"/>
    </row>
    <row r="231" spans="1:13" x14ac:dyDescent="0.3">
      <c r="I231" s="148"/>
      <c r="J231" s="148"/>
      <c r="K231" s="148"/>
    </row>
    <row r="1048563" spans="14:14" x14ac:dyDescent="0.3">
      <c r="N1048563" s="57"/>
    </row>
  </sheetData>
  <mergeCells count="44">
    <mergeCell ref="L75:M75"/>
    <mergeCell ref="A42:H42"/>
    <mergeCell ref="L42:N42"/>
    <mergeCell ref="L56:M56"/>
    <mergeCell ref="L64:M64"/>
    <mergeCell ref="L70:M70"/>
    <mergeCell ref="L63:M63"/>
    <mergeCell ref="L65:M65"/>
    <mergeCell ref="L66:M66"/>
    <mergeCell ref="L67:M67"/>
    <mergeCell ref="L68:M68"/>
    <mergeCell ref="L69:M69"/>
    <mergeCell ref="L59:M59"/>
    <mergeCell ref="L60:M60"/>
    <mergeCell ref="L61:M61"/>
    <mergeCell ref="L62:M62"/>
    <mergeCell ref="L57:M57"/>
    <mergeCell ref="L71:M71"/>
    <mergeCell ref="L72:N72"/>
    <mergeCell ref="L73:N73"/>
    <mergeCell ref="L74:N74"/>
    <mergeCell ref="L58:M58"/>
    <mergeCell ref="L54:N54"/>
    <mergeCell ref="L55:M55"/>
    <mergeCell ref="L50:M50"/>
    <mergeCell ref="A49:F49"/>
    <mergeCell ref="L49:N49"/>
    <mergeCell ref="A48:N48"/>
    <mergeCell ref="L51:M51"/>
    <mergeCell ref="L52:N53"/>
    <mergeCell ref="A47:H47"/>
    <mergeCell ref="D46:H46"/>
    <mergeCell ref="A1:N1"/>
    <mergeCell ref="A6:N6"/>
    <mergeCell ref="A36:B36"/>
    <mergeCell ref="A44:N44"/>
    <mergeCell ref="D45:H45"/>
    <mergeCell ref="A43:N43"/>
    <mergeCell ref="D39:H39"/>
    <mergeCell ref="D41:H41"/>
    <mergeCell ref="A2:N2"/>
    <mergeCell ref="A5:B5"/>
    <mergeCell ref="A38:N38"/>
    <mergeCell ref="D40:H40"/>
  </mergeCells>
  <pageMargins left="0" right="0" top="0" bottom="0" header="0.31496062992125984" footer="0.31496062992125984"/>
  <pageSetup paperSize="9" scale="1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86F5-4226-4D48-95E3-CC6AA1FCED5A}">
  <sheetPr>
    <pageSetUpPr fitToPage="1"/>
  </sheetPr>
  <dimension ref="A1:BF1048568"/>
  <sheetViews>
    <sheetView zoomScale="70" zoomScaleNormal="70" workbookViewId="0">
      <selection activeCell="A3" sqref="A3"/>
    </sheetView>
  </sheetViews>
  <sheetFormatPr defaultColWidth="9.109375" defaultRowHeight="13.8" x14ac:dyDescent="0.3"/>
  <cols>
    <col min="1" max="1" width="23.109375" style="148" customWidth="1"/>
    <col min="2" max="2" width="12" style="148" bestFit="1" customWidth="1"/>
    <col min="3" max="3" width="18" style="148" bestFit="1" customWidth="1"/>
    <col min="4" max="4" width="19" style="148" customWidth="1"/>
    <col min="5" max="5" width="18.44140625" style="148" customWidth="1"/>
    <col min="6" max="6" width="17.6640625" style="148" customWidth="1"/>
    <col min="7" max="8" width="14.109375" style="148" bestFit="1" customWidth="1"/>
    <col min="9" max="9" width="19.109375" style="150" bestFit="1" customWidth="1"/>
    <col min="10" max="10" width="17.109375" style="150" bestFit="1" customWidth="1"/>
    <col min="11" max="11" width="18" style="150" bestFit="1" customWidth="1"/>
    <col min="12" max="12" width="121.44140625" style="150" bestFit="1" customWidth="1"/>
    <col min="13" max="13" width="9.5546875" style="150" customWidth="1"/>
    <col min="14" max="14" width="17.5546875" style="148" bestFit="1" customWidth="1"/>
    <col min="15" max="15" width="10.5546875" style="70" bestFit="1" customWidth="1"/>
    <col min="16" max="45" width="9.109375" style="70"/>
    <col min="46" max="47" width="9.109375" style="69"/>
    <col min="48" max="16384" width="9.109375" style="148"/>
  </cols>
  <sheetData>
    <row r="1" spans="1:40" s="10" customFormat="1" ht="29.25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</row>
    <row r="2" spans="1:40" s="10" customFormat="1" ht="28.5" customHeight="1" x14ac:dyDescent="0.3">
      <c r="A2" s="538" t="s">
        <v>516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</row>
    <row r="3" spans="1:40" s="10" customFormat="1" ht="28.5" customHeight="1" x14ac:dyDescent="0.3">
      <c r="A3" s="83" t="s">
        <v>3</v>
      </c>
      <c r="B3" s="83" t="s">
        <v>0</v>
      </c>
      <c r="C3" s="84" t="s">
        <v>1</v>
      </c>
      <c r="D3" s="84" t="s">
        <v>68</v>
      </c>
      <c r="E3" s="84" t="s">
        <v>69</v>
      </c>
      <c r="F3" s="85" t="s">
        <v>2</v>
      </c>
      <c r="G3" s="84" t="s">
        <v>6</v>
      </c>
      <c r="H3" s="84" t="s">
        <v>7</v>
      </c>
      <c r="I3" s="84" t="s">
        <v>4</v>
      </c>
      <c r="J3" s="84" t="s">
        <v>5</v>
      </c>
      <c r="K3" s="84" t="s">
        <v>70</v>
      </c>
      <c r="L3" s="83" t="s">
        <v>59</v>
      </c>
      <c r="M3" s="86" t="s">
        <v>8</v>
      </c>
      <c r="N3" s="86" t="s">
        <v>10</v>
      </c>
    </row>
    <row r="4" spans="1:40" s="6" customFormat="1" x14ac:dyDescent="0.3">
      <c r="A4" s="90" t="s">
        <v>263</v>
      </c>
      <c r="B4" s="90">
        <v>4</v>
      </c>
      <c r="C4" s="2">
        <f>'GERAL 2022'!G6</f>
        <v>550</v>
      </c>
      <c r="D4" s="2">
        <v>0</v>
      </c>
      <c r="E4" s="2">
        <f>C4-D4</f>
        <v>550</v>
      </c>
      <c r="F4" s="2">
        <v>50</v>
      </c>
      <c r="G4" s="2">
        <f>D68</f>
        <v>2.8368085106382979</v>
      </c>
      <c r="H4" s="2">
        <v>19.64</v>
      </c>
      <c r="I4" s="109">
        <f>SUM(E4:H4)</f>
        <v>622.47680851063831</v>
      </c>
      <c r="J4" s="2">
        <f>60%*(C4+F4)</f>
        <v>360</v>
      </c>
      <c r="K4" s="2">
        <f>I4-J4</f>
        <v>262.47680851063831</v>
      </c>
      <c r="L4" s="90" t="s">
        <v>289</v>
      </c>
      <c r="M4" s="125">
        <v>10</v>
      </c>
      <c r="N4" s="3">
        <v>11</v>
      </c>
      <c r="O4" s="9"/>
      <c r="P4" s="9"/>
      <c r="Q4" s="9"/>
      <c r="R4" s="9"/>
      <c r="S4" s="9"/>
      <c r="T4" s="9"/>
      <c r="U4" s="9"/>
      <c r="V4" s="9"/>
      <c r="W4" s="9"/>
    </row>
    <row r="5" spans="1:40" s="6" customFormat="1" x14ac:dyDescent="0.3">
      <c r="A5" s="90" t="s">
        <v>265</v>
      </c>
      <c r="B5" s="90">
        <v>8</v>
      </c>
      <c r="C5" s="2">
        <f>'GERAL 2022'!G10</f>
        <v>610</v>
      </c>
      <c r="D5" s="2">
        <v>0</v>
      </c>
      <c r="E5" s="5">
        <f>C5-D5</f>
        <v>610</v>
      </c>
      <c r="F5" s="2">
        <v>0</v>
      </c>
      <c r="G5" s="2">
        <v>2.84</v>
      </c>
      <c r="H5" s="2">
        <v>19.760000000000002</v>
      </c>
      <c r="I5" s="109">
        <f>SUM(E5:H5)</f>
        <v>632.6</v>
      </c>
      <c r="J5" s="2">
        <f>60%*(C5+F5)</f>
        <v>366</v>
      </c>
      <c r="K5" s="2">
        <f>I5-J5</f>
        <v>266.60000000000002</v>
      </c>
      <c r="L5" s="90" t="s">
        <v>289</v>
      </c>
      <c r="M5" s="125"/>
      <c r="N5" s="3"/>
      <c r="O5" s="9"/>
      <c r="P5" s="9"/>
      <c r="Q5" s="9"/>
      <c r="R5" s="9"/>
      <c r="S5" s="9"/>
      <c r="T5" s="9"/>
      <c r="U5" s="9"/>
      <c r="V5" s="9"/>
      <c r="W5" s="9"/>
    </row>
    <row r="6" spans="1:40" s="6" customFormat="1" x14ac:dyDescent="0.3">
      <c r="A6" s="90" t="s">
        <v>272</v>
      </c>
      <c r="B6" s="90">
        <v>15</v>
      </c>
      <c r="C6" s="2">
        <f>'GERAL 2022'!G40</f>
        <v>650</v>
      </c>
      <c r="D6" s="2">
        <v>0</v>
      </c>
      <c r="E6" s="5">
        <f>C6-D6</f>
        <v>650</v>
      </c>
      <c r="F6" s="2">
        <v>25</v>
      </c>
      <c r="G6" s="2">
        <v>3.97</v>
      </c>
      <c r="H6" s="2">
        <v>19.84</v>
      </c>
      <c r="I6" s="109">
        <f>SUM(E6:H6)</f>
        <v>698.81000000000006</v>
      </c>
      <c r="J6" s="2">
        <f>60%*(C6+F6)</f>
        <v>405</v>
      </c>
      <c r="K6" s="2">
        <f>I6-J6</f>
        <v>293.81000000000006</v>
      </c>
      <c r="L6" s="90" t="s">
        <v>290</v>
      </c>
      <c r="M6" s="125"/>
      <c r="N6" s="3"/>
      <c r="O6" s="9"/>
      <c r="P6" s="9"/>
      <c r="Q6" s="9"/>
      <c r="R6" s="9"/>
      <c r="S6" s="9"/>
      <c r="T6" s="9"/>
      <c r="U6" s="9"/>
      <c r="V6" s="9"/>
      <c r="W6" s="9"/>
    </row>
    <row r="7" spans="1:40" s="6" customFormat="1" x14ac:dyDescent="0.3">
      <c r="A7" s="90" t="s">
        <v>267</v>
      </c>
      <c r="B7" s="90">
        <v>24</v>
      </c>
      <c r="C7" s="2">
        <f>'GERAL 2022'!G26</f>
        <v>650</v>
      </c>
      <c r="D7" s="2">
        <v>0</v>
      </c>
      <c r="E7" s="5">
        <f>C7-D7</f>
        <v>650</v>
      </c>
      <c r="F7" s="2">
        <v>50</v>
      </c>
      <c r="G7" s="2">
        <v>3.97</v>
      </c>
      <c r="H7" s="2">
        <v>19.84</v>
      </c>
      <c r="I7" s="109">
        <f>SUM(E7:H7)</f>
        <v>723.81000000000006</v>
      </c>
      <c r="J7" s="2">
        <f>60%*(C7+F7)</f>
        <v>420</v>
      </c>
      <c r="K7" s="2">
        <f>I7-J7</f>
        <v>303.81000000000006</v>
      </c>
      <c r="L7" s="90" t="s">
        <v>290</v>
      </c>
      <c r="M7" s="125"/>
      <c r="N7" s="3"/>
      <c r="O7" s="9"/>
      <c r="P7" s="9"/>
      <c r="Q7" s="9"/>
      <c r="R7" s="9"/>
      <c r="S7" s="9"/>
      <c r="T7" s="9"/>
      <c r="U7" s="9"/>
      <c r="V7" s="9"/>
      <c r="W7" s="9"/>
    </row>
    <row r="8" spans="1:40" s="10" customFormat="1" x14ac:dyDescent="0.3">
      <c r="A8" s="518" t="s">
        <v>4</v>
      </c>
      <c r="B8" s="518"/>
      <c r="C8" s="109">
        <f t="shared" ref="C8:K8" si="0">SUM(C4:C7)</f>
        <v>2460</v>
      </c>
      <c r="D8" s="109">
        <f t="shared" si="0"/>
        <v>0</v>
      </c>
      <c r="E8" s="109">
        <f t="shared" si="0"/>
        <v>2460</v>
      </c>
      <c r="F8" s="109">
        <f t="shared" si="0"/>
        <v>125</v>
      </c>
      <c r="G8" s="109">
        <f t="shared" si="0"/>
        <v>13.616808510638299</v>
      </c>
      <c r="H8" s="109">
        <f t="shared" si="0"/>
        <v>79.080000000000013</v>
      </c>
      <c r="I8" s="109">
        <f t="shared" si="0"/>
        <v>2677.6968085106382</v>
      </c>
      <c r="J8" s="109">
        <f t="shared" si="0"/>
        <v>1551</v>
      </c>
      <c r="K8" s="109">
        <f t="shared" si="0"/>
        <v>1126.6968085106384</v>
      </c>
      <c r="L8" s="90"/>
      <c r="M8" s="3"/>
      <c r="N8" s="3"/>
    </row>
    <row r="9" spans="1:40" s="11" customFormat="1" ht="29.25" customHeight="1" x14ac:dyDescent="0.3">
      <c r="A9" s="521" t="s">
        <v>293</v>
      </c>
      <c r="B9" s="521"/>
      <c r="C9" s="521"/>
      <c r="D9" s="521"/>
      <c r="E9" s="521"/>
      <c r="F9" s="521"/>
      <c r="G9" s="521"/>
      <c r="H9" s="521"/>
      <c r="I9" s="521"/>
      <c r="J9" s="521"/>
      <c r="K9" s="521"/>
      <c r="L9" s="521"/>
      <c r="M9" s="521"/>
      <c r="N9" s="521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 spans="1:40" s="11" customFormat="1" ht="27.6" x14ac:dyDescent="0.3">
      <c r="A10" s="83" t="s">
        <v>3</v>
      </c>
      <c r="B10" s="83" t="s">
        <v>0</v>
      </c>
      <c r="C10" s="84" t="s">
        <v>1</v>
      </c>
      <c r="D10" s="84" t="s">
        <v>68</v>
      </c>
      <c r="E10" s="84" t="s">
        <v>69</v>
      </c>
      <c r="F10" s="85" t="s">
        <v>2</v>
      </c>
      <c r="G10" s="84" t="s">
        <v>6</v>
      </c>
      <c r="H10" s="84" t="s">
        <v>7</v>
      </c>
      <c r="I10" s="84" t="s">
        <v>4</v>
      </c>
      <c r="J10" s="84" t="s">
        <v>5</v>
      </c>
      <c r="K10" s="84" t="s">
        <v>70</v>
      </c>
      <c r="L10" s="83" t="s">
        <v>59</v>
      </c>
      <c r="M10" s="86" t="s">
        <v>8</v>
      </c>
      <c r="N10" s="86" t="s">
        <v>10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0" s="15" customFormat="1" x14ac:dyDescent="0.3">
      <c r="A11" s="88"/>
      <c r="B11" s="90">
        <v>1</v>
      </c>
      <c r="C11" s="2"/>
      <c r="D11" s="2"/>
      <c r="E11" s="2"/>
      <c r="F11" s="5"/>
      <c r="G11" s="2"/>
      <c r="H11" s="2"/>
      <c r="I11" s="109"/>
      <c r="J11" s="2"/>
      <c r="K11" s="2"/>
      <c r="L11" s="5"/>
      <c r="M11" s="3"/>
      <c r="N11" s="3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</row>
    <row r="12" spans="1:40" s="96" customFormat="1" x14ac:dyDescent="0.3">
      <c r="A12" s="90"/>
      <c r="B12" s="4">
        <v>2</v>
      </c>
      <c r="C12" s="5"/>
      <c r="D12" s="5"/>
      <c r="E12" s="5"/>
      <c r="F12" s="5"/>
      <c r="G12" s="5"/>
      <c r="H12" s="5"/>
      <c r="I12" s="109"/>
      <c r="J12" s="2">
        <f t="shared" ref="J12:J18" si="1">7%*I12</f>
        <v>0</v>
      </c>
      <c r="K12" s="2"/>
      <c r="L12" s="90"/>
      <c r="M12" s="3"/>
      <c r="N12" s="3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16"/>
      <c r="AK12" s="17"/>
      <c r="AL12" s="17"/>
      <c r="AM12" s="17"/>
      <c r="AN12" s="17"/>
    </row>
    <row r="13" spans="1:40" s="6" customFormat="1" x14ac:dyDescent="0.3">
      <c r="A13" s="90"/>
      <c r="B13" s="4">
        <v>3</v>
      </c>
      <c r="C13" s="5"/>
      <c r="D13" s="5"/>
      <c r="E13" s="5"/>
      <c r="F13" s="5"/>
      <c r="G13" s="5"/>
      <c r="H13" s="5"/>
      <c r="I13" s="109"/>
      <c r="J13" s="2">
        <f t="shared" si="1"/>
        <v>0</v>
      </c>
      <c r="K13" s="2"/>
      <c r="L13" s="90"/>
      <c r="M13" s="3"/>
      <c r="N13" s="3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</row>
    <row r="14" spans="1:40" s="15" customFormat="1" x14ac:dyDescent="0.3">
      <c r="A14" s="90" t="s">
        <v>263</v>
      </c>
      <c r="B14" s="90">
        <v>4</v>
      </c>
      <c r="C14" s="2">
        <v>0</v>
      </c>
      <c r="D14" s="2">
        <v>0</v>
      </c>
      <c r="E14" s="2">
        <f>C14-D14</f>
        <v>0</v>
      </c>
      <c r="F14" s="2">
        <v>0</v>
      </c>
      <c r="G14" s="2">
        <v>0</v>
      </c>
      <c r="H14" s="2">
        <v>0</v>
      </c>
      <c r="I14" s="109">
        <f>SUM(E14:H14)</f>
        <v>0</v>
      </c>
      <c r="J14" s="2">
        <f t="shared" si="1"/>
        <v>0</v>
      </c>
      <c r="K14" s="2">
        <f>I14-J14</f>
        <v>0</v>
      </c>
      <c r="L14" s="90" t="s">
        <v>108</v>
      </c>
      <c r="M14" s="3">
        <v>10</v>
      </c>
      <c r="N14" s="4">
        <v>11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</row>
    <row r="15" spans="1:40" s="15" customFormat="1" x14ac:dyDescent="0.3">
      <c r="A15" s="90"/>
      <c r="B15" s="90">
        <v>5</v>
      </c>
      <c r="C15" s="2"/>
      <c r="D15" s="2"/>
      <c r="E15" s="2"/>
      <c r="F15" s="2"/>
      <c r="G15" s="2"/>
      <c r="H15" s="2"/>
      <c r="I15" s="109"/>
      <c r="J15" s="2">
        <f t="shared" si="1"/>
        <v>0</v>
      </c>
      <c r="K15" s="2"/>
      <c r="L15" s="90"/>
      <c r="M15" s="3"/>
      <c r="N15" s="3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</row>
    <row r="16" spans="1:40" s="11" customFormat="1" x14ac:dyDescent="0.3">
      <c r="A16" s="95" t="s">
        <v>292</v>
      </c>
      <c r="B16" s="90">
        <v>6</v>
      </c>
      <c r="C16" s="5">
        <f>'GERAL 2022'!G8/31*15</f>
        <v>314.51612903225805</v>
      </c>
      <c r="D16" s="5">
        <v>0</v>
      </c>
      <c r="E16" s="5">
        <f>C16-D16</f>
        <v>314.51612903225805</v>
      </c>
      <c r="F16" s="2">
        <f>25/31*15</f>
        <v>12.096774193548386</v>
      </c>
      <c r="G16" s="2">
        <f>D62/31*15</f>
        <v>1.9217089910775567</v>
      </c>
      <c r="H16" s="2">
        <f>D61</f>
        <v>19.836666666666666</v>
      </c>
      <c r="I16" s="109">
        <f>SUM(E16:H16)</f>
        <v>348.37127888355064</v>
      </c>
      <c r="J16" s="2">
        <f t="shared" si="1"/>
        <v>24.385989521848547</v>
      </c>
      <c r="K16" s="2">
        <f>I16-J16</f>
        <v>323.98528936170209</v>
      </c>
      <c r="L16" s="90" t="s">
        <v>296</v>
      </c>
      <c r="M16" s="3">
        <v>10</v>
      </c>
      <c r="N16" s="3">
        <v>11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</row>
    <row r="17" spans="1:45" s="15" customFormat="1" ht="14.25" customHeight="1" x14ac:dyDescent="0.3">
      <c r="A17" s="90"/>
      <c r="B17" s="90">
        <v>7</v>
      </c>
      <c r="C17" s="2"/>
      <c r="D17" s="2"/>
      <c r="E17" s="5"/>
      <c r="F17" s="2"/>
      <c r="G17" s="2"/>
      <c r="H17" s="2"/>
      <c r="I17" s="109">
        <v>0</v>
      </c>
      <c r="J17" s="2">
        <f t="shared" si="1"/>
        <v>0</v>
      </c>
      <c r="K17" s="2"/>
      <c r="L17" s="90"/>
      <c r="M17" s="3"/>
      <c r="N17" s="3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</row>
    <row r="18" spans="1:45" s="15" customFormat="1" x14ac:dyDescent="0.3">
      <c r="A18" s="90" t="s">
        <v>265</v>
      </c>
      <c r="B18" s="90">
        <v>8</v>
      </c>
      <c r="C18" s="2">
        <v>0</v>
      </c>
      <c r="D18" s="2">
        <v>0</v>
      </c>
      <c r="E18" s="5">
        <f>C18-D18</f>
        <v>0</v>
      </c>
      <c r="F18" s="2">
        <v>0</v>
      </c>
      <c r="G18" s="2">
        <v>0</v>
      </c>
      <c r="H18" s="2">
        <v>0</v>
      </c>
      <c r="I18" s="109">
        <f>SUM(E18:H18)</f>
        <v>0</v>
      </c>
      <c r="J18" s="2">
        <f t="shared" si="1"/>
        <v>0</v>
      </c>
      <c r="K18" s="2">
        <f>I18-J18</f>
        <v>0</v>
      </c>
      <c r="L18" s="90" t="s">
        <v>108</v>
      </c>
      <c r="M18" s="3">
        <v>10</v>
      </c>
      <c r="N18" s="3">
        <v>11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</row>
    <row r="19" spans="1:45" s="15" customFormat="1" ht="14.25" customHeight="1" x14ac:dyDescent="0.3">
      <c r="A19" s="90" t="s">
        <v>246</v>
      </c>
      <c r="B19" s="90">
        <v>9</v>
      </c>
      <c r="C19" s="2">
        <f>'GERAL 2022'!G11</f>
        <v>580</v>
      </c>
      <c r="D19" s="2">
        <v>0</v>
      </c>
      <c r="E19" s="5">
        <f>C19-D19</f>
        <v>580</v>
      </c>
      <c r="F19" s="2">
        <f>50+(25/31*15)</f>
        <v>62.096774193548384</v>
      </c>
      <c r="G19" s="2">
        <v>2.84</v>
      </c>
      <c r="H19" s="2">
        <v>19.7</v>
      </c>
      <c r="I19" s="109">
        <f>SUM(E19:H19)</f>
        <v>664.63677419354849</v>
      </c>
      <c r="J19" s="2">
        <f>7%*I19</f>
        <v>46.524574193548396</v>
      </c>
      <c r="K19" s="2">
        <f>I19-J19</f>
        <v>618.11220000000014</v>
      </c>
      <c r="L19" s="90" t="s">
        <v>303</v>
      </c>
      <c r="M19" s="125">
        <v>10</v>
      </c>
      <c r="N19" s="3">
        <v>11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</row>
    <row r="20" spans="1:45" s="69" customFormat="1" x14ac:dyDescent="0.3">
      <c r="A20" s="4" t="s">
        <v>92</v>
      </c>
      <c r="B20" s="4">
        <v>10</v>
      </c>
      <c r="C20" s="2">
        <f>'GERAL 2022'!G12</f>
        <v>600</v>
      </c>
      <c r="D20" s="2">
        <f>10%*C20</f>
        <v>60</v>
      </c>
      <c r="E20" s="5">
        <f>C20-D20</f>
        <v>540</v>
      </c>
      <c r="F20" s="2">
        <v>0</v>
      </c>
      <c r="G20" s="2">
        <f>D70</f>
        <v>2.8368085106382979</v>
      </c>
      <c r="H20" s="2">
        <v>0</v>
      </c>
      <c r="I20" s="109">
        <f>SUM(E20:H20)</f>
        <v>542.83680851063832</v>
      </c>
      <c r="J20" s="2">
        <f>7%*I20</f>
        <v>37.998576595744687</v>
      </c>
      <c r="K20" s="2">
        <f>I20-J20</f>
        <v>504.83823191489364</v>
      </c>
      <c r="L20" s="5" t="s">
        <v>252</v>
      </c>
      <c r="M20" s="3">
        <v>10</v>
      </c>
      <c r="N20" s="4">
        <v>11</v>
      </c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</row>
    <row r="21" spans="1:45" s="69" customFormat="1" x14ac:dyDescent="0.3">
      <c r="A21" s="4"/>
      <c r="B21" s="4">
        <v>11</v>
      </c>
      <c r="C21" s="2"/>
      <c r="D21" s="2"/>
      <c r="E21" s="5"/>
      <c r="F21" s="2"/>
      <c r="G21" s="2"/>
      <c r="H21" s="2"/>
      <c r="I21" s="109"/>
      <c r="J21" s="2">
        <f t="shared" ref="J21:J37" si="2">7%*I21</f>
        <v>0</v>
      </c>
      <c r="K21" s="2"/>
      <c r="L21" s="5"/>
      <c r="M21" s="3"/>
      <c r="N21" s="4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</row>
    <row r="22" spans="1:45" s="15" customFormat="1" x14ac:dyDescent="0.3">
      <c r="A22" s="90"/>
      <c r="B22" s="90">
        <v>12</v>
      </c>
      <c r="C22" s="2"/>
      <c r="D22" s="2"/>
      <c r="E22" s="5"/>
      <c r="F22" s="5"/>
      <c r="G22" s="5"/>
      <c r="H22" s="5"/>
      <c r="I22" s="109"/>
      <c r="J22" s="2">
        <f t="shared" si="2"/>
        <v>0</v>
      </c>
      <c r="K22" s="2"/>
      <c r="L22" s="90"/>
      <c r="M22" s="3"/>
      <c r="N22" s="3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</row>
    <row r="23" spans="1:45" s="69" customFormat="1" x14ac:dyDescent="0.3">
      <c r="A23" s="4"/>
      <c r="B23" s="4">
        <v>13</v>
      </c>
      <c r="C23" s="2"/>
      <c r="D23" s="2"/>
      <c r="E23" s="5"/>
      <c r="F23" s="2"/>
      <c r="G23" s="2"/>
      <c r="H23" s="2"/>
      <c r="I23" s="109"/>
      <c r="J23" s="2">
        <f t="shared" si="2"/>
        <v>0</v>
      </c>
      <c r="K23" s="2"/>
      <c r="L23" s="90"/>
      <c r="M23" s="3"/>
      <c r="N23" s="4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</row>
    <row r="24" spans="1:45" s="69" customFormat="1" x14ac:dyDescent="0.3">
      <c r="A24" s="96" t="s">
        <v>291</v>
      </c>
      <c r="B24" s="4">
        <v>14</v>
      </c>
      <c r="C24" s="2">
        <f>'GERAL 2022'!G16/31*8</f>
        <v>141.93548387096774</v>
      </c>
      <c r="D24" s="2">
        <v>0</v>
      </c>
      <c r="E24" s="5">
        <f>C24-D24</f>
        <v>141.93548387096774</v>
      </c>
      <c r="F24" s="2">
        <v>0</v>
      </c>
      <c r="G24" s="2">
        <f>D78/31*8</f>
        <v>0.73207961564859303</v>
      </c>
      <c r="H24" s="2">
        <f>D77</f>
        <v>19.641666666666666</v>
      </c>
      <c r="I24" s="109">
        <f t="shared" ref="I24:I29" si="3">SUM(E24:H24)</f>
        <v>162.30923015328301</v>
      </c>
      <c r="J24" s="2">
        <f>7%*I24</f>
        <v>11.361646110729811</v>
      </c>
      <c r="K24" s="2">
        <f t="shared" ref="K24:K29" si="4">I24-J24</f>
        <v>150.94758404255319</v>
      </c>
      <c r="L24" s="90" t="s">
        <v>304</v>
      </c>
      <c r="M24" s="3">
        <v>10</v>
      </c>
      <c r="N24" s="4">
        <v>11</v>
      </c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</row>
    <row r="25" spans="1:45" s="69" customFormat="1" x14ac:dyDescent="0.3">
      <c r="A25" s="4" t="s">
        <v>272</v>
      </c>
      <c r="B25" s="4">
        <v>15</v>
      </c>
      <c r="C25" s="2">
        <v>0</v>
      </c>
      <c r="D25" s="2">
        <v>0</v>
      </c>
      <c r="E25" s="5">
        <f>C25-D25</f>
        <v>0</v>
      </c>
      <c r="F25" s="2">
        <v>0</v>
      </c>
      <c r="G25" s="2">
        <v>0</v>
      </c>
      <c r="H25" s="2">
        <v>0</v>
      </c>
      <c r="I25" s="109">
        <f t="shared" si="3"/>
        <v>0</v>
      </c>
      <c r="J25" s="2">
        <f>7%*I25</f>
        <v>0</v>
      </c>
      <c r="K25" s="2">
        <f t="shared" si="4"/>
        <v>0</v>
      </c>
      <c r="L25" s="90" t="s">
        <v>108</v>
      </c>
      <c r="M25" s="3">
        <v>10</v>
      </c>
      <c r="N25" s="4">
        <v>11</v>
      </c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</row>
    <row r="26" spans="1:45" s="11" customFormat="1" x14ac:dyDescent="0.3">
      <c r="A26" s="3" t="s">
        <v>100</v>
      </c>
      <c r="B26" s="3">
        <v>16</v>
      </c>
      <c r="C26" s="2">
        <f>'GERAL 2022'!G18</f>
        <v>640</v>
      </c>
      <c r="D26" s="2">
        <f>10%*C26</f>
        <v>64</v>
      </c>
      <c r="E26" s="5">
        <f>C26-D26</f>
        <v>576</v>
      </c>
      <c r="F26" s="2">
        <f>60</f>
        <v>60</v>
      </c>
      <c r="G26" s="2">
        <f>D84</f>
        <v>2.8368085106382979</v>
      </c>
      <c r="H26" s="2">
        <v>0</v>
      </c>
      <c r="I26" s="109">
        <f t="shared" si="3"/>
        <v>638.83680851063832</v>
      </c>
      <c r="J26" s="2">
        <f t="shared" si="2"/>
        <v>44.718576595744686</v>
      </c>
      <c r="K26" s="2">
        <f t="shared" si="4"/>
        <v>594.11823191489361</v>
      </c>
      <c r="L26" s="90" t="s">
        <v>297</v>
      </c>
      <c r="M26" s="3">
        <v>10</v>
      </c>
      <c r="N26" s="3">
        <v>11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</row>
    <row r="27" spans="1:45" s="11" customFormat="1" x14ac:dyDescent="0.3">
      <c r="A27" s="88" t="s">
        <v>288</v>
      </c>
      <c r="B27" s="88">
        <v>17</v>
      </c>
      <c r="C27" s="2">
        <f>'GERAL 2022'!G19</f>
        <v>640</v>
      </c>
      <c r="D27" s="2">
        <f>10%*C27</f>
        <v>64</v>
      </c>
      <c r="E27" s="5">
        <f>(C27-D27)</f>
        <v>576</v>
      </c>
      <c r="F27" s="2">
        <v>0</v>
      </c>
      <c r="G27" s="2">
        <f>D86</f>
        <v>2.8368085106382979</v>
      </c>
      <c r="H27" s="2">
        <v>0</v>
      </c>
      <c r="I27" s="109">
        <f t="shared" si="3"/>
        <v>578.83680851063832</v>
      </c>
      <c r="J27" s="2">
        <f t="shared" si="2"/>
        <v>40.518576595744683</v>
      </c>
      <c r="K27" s="2">
        <f t="shared" si="4"/>
        <v>538.31823191489366</v>
      </c>
      <c r="L27" s="5" t="s">
        <v>298</v>
      </c>
      <c r="M27" s="3">
        <v>10</v>
      </c>
      <c r="N27" s="3">
        <v>11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</row>
    <row r="28" spans="1:45" s="11" customFormat="1" ht="14.25" customHeight="1" x14ac:dyDescent="0.3">
      <c r="A28" s="88" t="s">
        <v>103</v>
      </c>
      <c r="B28" s="90">
        <v>18</v>
      </c>
      <c r="C28" s="2">
        <f>'GERAL 2022'!G20</f>
        <v>650</v>
      </c>
      <c r="D28" s="2">
        <f>10%*C28</f>
        <v>65</v>
      </c>
      <c r="E28" s="5">
        <f>C28-D28</f>
        <v>585</v>
      </c>
      <c r="F28" s="2">
        <f>30</f>
        <v>30</v>
      </c>
      <c r="G28" s="2">
        <f>D88</f>
        <v>2.8368085106382979</v>
      </c>
      <c r="H28" s="2">
        <v>0</v>
      </c>
      <c r="I28" s="109">
        <f t="shared" si="3"/>
        <v>617.83680851063832</v>
      </c>
      <c r="J28" s="2">
        <f t="shared" si="2"/>
        <v>43.248576595744687</v>
      </c>
      <c r="K28" s="2">
        <f t="shared" si="4"/>
        <v>574.58823191489364</v>
      </c>
      <c r="L28" s="90" t="s">
        <v>297</v>
      </c>
      <c r="M28" s="3">
        <v>10</v>
      </c>
      <c r="N28" s="3">
        <v>11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</row>
    <row r="29" spans="1:45" s="11" customFormat="1" x14ac:dyDescent="0.3">
      <c r="A29" s="90" t="s">
        <v>142</v>
      </c>
      <c r="B29" s="90">
        <v>19</v>
      </c>
      <c r="C29" s="2">
        <f>'GERAL 2022'!G21</f>
        <v>600</v>
      </c>
      <c r="D29" s="2">
        <f>10%*C29</f>
        <v>60</v>
      </c>
      <c r="E29" s="5">
        <f>(C29-D29)</f>
        <v>540</v>
      </c>
      <c r="F29" s="2">
        <f>50</f>
        <v>50</v>
      </c>
      <c r="G29" s="2">
        <f>D90</f>
        <v>2.8368085106382979</v>
      </c>
      <c r="H29" s="2">
        <v>0</v>
      </c>
      <c r="I29" s="109">
        <f t="shared" si="3"/>
        <v>592.83680851063832</v>
      </c>
      <c r="J29" s="2">
        <f t="shared" si="2"/>
        <v>41.498576595744687</v>
      </c>
      <c r="K29" s="2">
        <f t="shared" si="4"/>
        <v>551.33823191489364</v>
      </c>
      <c r="L29" s="90" t="s">
        <v>299</v>
      </c>
      <c r="M29" s="3">
        <v>10</v>
      </c>
      <c r="N29" s="3">
        <v>11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</row>
    <row r="30" spans="1:45" s="11" customFormat="1" x14ac:dyDescent="0.3">
      <c r="A30" s="88"/>
      <c r="B30" s="90">
        <v>20</v>
      </c>
      <c r="C30" s="2"/>
      <c r="D30" s="2"/>
      <c r="E30" s="5"/>
      <c r="F30" s="2"/>
      <c r="G30" s="2"/>
      <c r="H30" s="2"/>
      <c r="I30" s="109"/>
      <c r="J30" s="2">
        <f t="shared" si="2"/>
        <v>0</v>
      </c>
      <c r="K30" s="2"/>
      <c r="L30" s="90"/>
      <c r="M30" s="125"/>
      <c r="N30" s="3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</row>
    <row r="31" spans="1:45" s="11" customFormat="1" ht="15" customHeight="1" x14ac:dyDescent="0.3">
      <c r="A31" s="88"/>
      <c r="B31" s="90">
        <v>21</v>
      </c>
      <c r="C31" s="2"/>
      <c r="D31" s="2"/>
      <c r="E31" s="5"/>
      <c r="F31" s="2"/>
      <c r="G31" s="2"/>
      <c r="H31" s="2"/>
      <c r="I31" s="109"/>
      <c r="J31" s="2">
        <f t="shared" si="2"/>
        <v>0</v>
      </c>
      <c r="K31" s="2"/>
      <c r="L31" s="90"/>
      <c r="M31" s="125"/>
      <c r="N31" s="3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</row>
    <row r="32" spans="1:45" s="11" customFormat="1" ht="15.75" customHeight="1" x14ac:dyDescent="0.3">
      <c r="A32" s="88"/>
      <c r="B32" s="90">
        <v>22</v>
      </c>
      <c r="C32" s="2"/>
      <c r="D32" s="2"/>
      <c r="E32" s="5"/>
      <c r="F32" s="2"/>
      <c r="G32" s="2"/>
      <c r="H32" s="2"/>
      <c r="I32" s="109"/>
      <c r="J32" s="2">
        <f t="shared" si="2"/>
        <v>0</v>
      </c>
      <c r="K32" s="2"/>
      <c r="L32" s="90"/>
      <c r="M32" s="125"/>
      <c r="N32" s="3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</row>
    <row r="33" spans="1:47" s="11" customFormat="1" x14ac:dyDescent="0.3">
      <c r="A33" s="88"/>
      <c r="B33" s="90">
        <v>23</v>
      </c>
      <c r="C33" s="2"/>
      <c r="D33" s="2"/>
      <c r="E33" s="5"/>
      <c r="F33" s="2"/>
      <c r="G33" s="2"/>
      <c r="H33" s="2"/>
      <c r="I33" s="109"/>
      <c r="J33" s="2">
        <f t="shared" si="2"/>
        <v>0</v>
      </c>
      <c r="K33" s="2"/>
      <c r="L33" s="90"/>
      <c r="M33" s="3"/>
      <c r="N33" s="3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</row>
    <row r="34" spans="1:47" s="11" customFormat="1" x14ac:dyDescent="0.3">
      <c r="A34" s="88" t="s">
        <v>267</v>
      </c>
      <c r="B34" s="90">
        <v>24</v>
      </c>
      <c r="C34" s="2">
        <v>0</v>
      </c>
      <c r="D34" s="2">
        <v>0</v>
      </c>
      <c r="E34" s="5">
        <f>C34-D34</f>
        <v>0</v>
      </c>
      <c r="F34" s="2">
        <v>0</v>
      </c>
      <c r="G34" s="2">
        <v>0</v>
      </c>
      <c r="H34" s="2">
        <v>0</v>
      </c>
      <c r="I34" s="109">
        <f>SUM(E34:H34)</f>
        <v>0</v>
      </c>
      <c r="J34" s="2">
        <f t="shared" si="2"/>
        <v>0</v>
      </c>
      <c r="K34" s="2">
        <f>I34-J34</f>
        <v>0</v>
      </c>
      <c r="L34" s="90" t="s">
        <v>108</v>
      </c>
      <c r="M34" s="3">
        <v>10</v>
      </c>
      <c r="N34" s="3">
        <v>11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</row>
    <row r="35" spans="1:47" s="11" customFormat="1" x14ac:dyDescent="0.3">
      <c r="A35" s="11" t="s">
        <v>87</v>
      </c>
      <c r="B35" s="90">
        <v>25</v>
      </c>
      <c r="C35" s="2">
        <f>'GERAL 2022'!G27</f>
        <v>704</v>
      </c>
      <c r="D35" s="2">
        <f>10%*C35</f>
        <v>70.400000000000006</v>
      </c>
      <c r="E35" s="5">
        <f>C35-D35</f>
        <v>633.6</v>
      </c>
      <c r="F35" s="2">
        <f>30</f>
        <v>30</v>
      </c>
      <c r="G35" s="2">
        <f>D102</f>
        <v>2.8368085106382979</v>
      </c>
      <c r="H35" s="2">
        <v>0</v>
      </c>
      <c r="I35" s="109">
        <f>SUM(E35:H35)</f>
        <v>666.43680851063834</v>
      </c>
      <c r="J35" s="2">
        <f t="shared" si="2"/>
        <v>46.650576595744688</v>
      </c>
      <c r="K35" s="2">
        <f>I35-J35</f>
        <v>619.78623191489362</v>
      </c>
      <c r="L35" s="71" t="s">
        <v>352</v>
      </c>
      <c r="M35" s="98">
        <v>10</v>
      </c>
      <c r="N35" s="3">
        <v>11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</row>
    <row r="36" spans="1:47" s="11" customFormat="1" x14ac:dyDescent="0.3">
      <c r="A36" s="88"/>
      <c r="B36" s="90">
        <v>26</v>
      </c>
      <c r="C36" s="2"/>
      <c r="D36" s="2"/>
      <c r="E36" s="5"/>
      <c r="F36" s="2"/>
      <c r="G36" s="2"/>
      <c r="H36" s="2"/>
      <c r="I36" s="109"/>
      <c r="J36" s="2">
        <f t="shared" si="2"/>
        <v>0</v>
      </c>
      <c r="K36" s="2"/>
      <c r="L36" s="90"/>
      <c r="M36" s="3"/>
      <c r="N36" s="3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</row>
    <row r="37" spans="1:47" s="11" customFormat="1" x14ac:dyDescent="0.3">
      <c r="A37" s="88" t="s">
        <v>86</v>
      </c>
      <c r="B37" s="90">
        <v>27</v>
      </c>
      <c r="C37" s="72">
        <f>'GERAL 2022'!G29/31*29</f>
        <v>608.06451612903231</v>
      </c>
      <c r="D37" s="72">
        <f>10%*C37</f>
        <v>60.806451612903231</v>
      </c>
      <c r="E37" s="5">
        <f>C37-D37</f>
        <v>547.25806451612902</v>
      </c>
      <c r="F37" s="72">
        <f>60/31*29</f>
        <v>56.12903225806452</v>
      </c>
      <c r="G37" s="72">
        <f>D106/31*29</f>
        <v>2.6537886067261498</v>
      </c>
      <c r="H37" s="72">
        <v>0</v>
      </c>
      <c r="I37" s="112">
        <f>SUM(E37:H37)</f>
        <v>606.04088538091969</v>
      </c>
      <c r="J37" s="2">
        <f t="shared" si="2"/>
        <v>42.422861976664379</v>
      </c>
      <c r="K37" s="72">
        <f>I37-J37</f>
        <v>563.61802340425527</v>
      </c>
      <c r="L37" s="71" t="s">
        <v>300</v>
      </c>
      <c r="M37" s="98">
        <v>10</v>
      </c>
      <c r="N37" s="3">
        <v>11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</row>
    <row r="38" spans="1:47" s="11" customFormat="1" ht="14.4" thickBot="1" x14ac:dyDescent="0.35">
      <c r="A38" s="518" t="s">
        <v>4</v>
      </c>
      <c r="B38" s="518"/>
      <c r="C38" s="109">
        <f>SUM(C11:C37)</f>
        <v>5478.5161290322576</v>
      </c>
      <c r="D38" s="109">
        <f t="shared" ref="D38:K38" si="5">SUM(D11:D37)</f>
        <v>444.20645161290321</v>
      </c>
      <c r="E38" s="109">
        <f t="shared" si="5"/>
        <v>5034.3096774193546</v>
      </c>
      <c r="F38" s="109">
        <f t="shared" si="5"/>
        <v>300.32258064516128</v>
      </c>
      <c r="G38" s="109">
        <f t="shared" si="5"/>
        <v>25.168428277282086</v>
      </c>
      <c r="H38" s="109">
        <f t="shared" si="5"/>
        <v>59.178333333333327</v>
      </c>
      <c r="I38" s="109">
        <f>SUM(I11:I37)</f>
        <v>5418.9790196751319</v>
      </c>
      <c r="J38" s="109">
        <f t="shared" si="5"/>
        <v>379.32853137725925</v>
      </c>
      <c r="K38" s="109">
        <f t="shared" si="5"/>
        <v>5039.6504882978725</v>
      </c>
      <c r="L38" s="90"/>
      <c r="M38" s="120"/>
      <c r="N38" s="56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</row>
    <row r="39" spans="1:47" s="11" customFormat="1" x14ac:dyDescent="0.3">
      <c r="A39" s="95"/>
      <c r="B39" s="95"/>
      <c r="C39" s="109"/>
      <c r="D39" s="109"/>
      <c r="E39" s="109"/>
      <c r="F39" s="109"/>
      <c r="G39" s="109"/>
      <c r="H39" s="109"/>
      <c r="I39" s="109"/>
      <c r="J39" s="109"/>
      <c r="K39" s="109"/>
      <c r="L39" s="90"/>
      <c r="M39" s="138"/>
      <c r="N39" s="139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</row>
    <row r="40" spans="1:47" s="11" customFormat="1" ht="28.5" customHeight="1" x14ac:dyDescent="0.3">
      <c r="A40" s="538" t="s">
        <v>294</v>
      </c>
      <c r="B40" s="538"/>
      <c r="C40" s="538"/>
      <c r="D40" s="538"/>
      <c r="E40" s="538"/>
      <c r="F40" s="538"/>
      <c r="G40" s="538"/>
      <c r="H40" s="538"/>
      <c r="I40" s="538"/>
      <c r="J40" s="538"/>
      <c r="K40" s="538"/>
      <c r="L40" s="538"/>
      <c r="M40" s="538"/>
      <c r="N40" s="538"/>
      <c r="O40" s="10"/>
      <c r="P40" s="10"/>
      <c r="Q40" s="10"/>
      <c r="R40" s="10"/>
      <c r="S40" s="10"/>
      <c r="T40" s="10"/>
      <c r="U40" s="10"/>
      <c r="V40" s="10"/>
      <c r="W40" s="10"/>
    </row>
    <row r="41" spans="1:47" s="11" customFormat="1" ht="27.75" customHeight="1" x14ac:dyDescent="0.3">
      <c r="A41" s="127" t="s">
        <v>3</v>
      </c>
      <c r="B41" s="127" t="s">
        <v>0</v>
      </c>
      <c r="C41" s="128" t="s">
        <v>174</v>
      </c>
      <c r="D41" s="555" t="s">
        <v>175</v>
      </c>
      <c r="E41" s="556"/>
      <c r="F41" s="556"/>
      <c r="G41" s="556"/>
      <c r="H41" s="557"/>
      <c r="I41" s="128" t="s">
        <v>4</v>
      </c>
      <c r="J41" s="128" t="s">
        <v>5</v>
      </c>
      <c r="K41" s="128" t="s">
        <v>70</v>
      </c>
      <c r="L41" s="127" t="s">
        <v>59</v>
      </c>
      <c r="M41" s="130" t="s">
        <v>8</v>
      </c>
      <c r="N41" s="130" t="s">
        <v>10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47" s="69" customFormat="1" x14ac:dyDescent="0.3">
      <c r="A42" s="71" t="s">
        <v>86</v>
      </c>
      <c r="B42" s="71">
        <v>27</v>
      </c>
      <c r="C42" s="72">
        <v>1111.5</v>
      </c>
      <c r="D42" s="546" t="s">
        <v>302</v>
      </c>
      <c r="E42" s="547"/>
      <c r="F42" s="547"/>
      <c r="G42" s="547"/>
      <c r="H42" s="548"/>
      <c r="I42" s="5">
        <v>1111.5</v>
      </c>
      <c r="J42" s="5">
        <f>7%*I42</f>
        <v>77.805000000000007</v>
      </c>
      <c r="K42" s="5">
        <f>I42-J42</f>
        <v>1033.6949999999999</v>
      </c>
      <c r="L42" s="90" t="s">
        <v>301</v>
      </c>
      <c r="M42" s="140">
        <v>10</v>
      </c>
      <c r="N42" s="4">
        <v>11</v>
      </c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</row>
    <row r="43" spans="1:47" s="11" customFormat="1" x14ac:dyDescent="0.3">
      <c r="A43" s="518" t="s">
        <v>4</v>
      </c>
      <c r="B43" s="518"/>
      <c r="C43" s="518"/>
      <c r="D43" s="518"/>
      <c r="E43" s="518"/>
      <c r="F43" s="518"/>
      <c r="G43" s="518"/>
      <c r="H43" s="518"/>
      <c r="I43" s="109">
        <f>SUM(I42)</f>
        <v>1111.5</v>
      </c>
      <c r="J43" s="109">
        <f>SUM(J42)</f>
        <v>77.805000000000007</v>
      </c>
      <c r="K43" s="109">
        <f>SUM(K42)</f>
        <v>1033.6949999999999</v>
      </c>
      <c r="L43" s="527"/>
      <c r="M43" s="527"/>
      <c r="N43" s="527"/>
      <c r="O43" s="10"/>
      <c r="P43" s="10"/>
      <c r="Q43" s="10"/>
      <c r="R43" s="10"/>
      <c r="S43" s="10"/>
      <c r="T43" s="10"/>
      <c r="U43" s="10"/>
      <c r="V43" s="10"/>
      <c r="W43" s="10"/>
    </row>
    <row r="44" spans="1:47" s="11" customFormat="1" x14ac:dyDescent="0.3">
      <c r="A44" s="518"/>
      <c r="B44" s="518"/>
      <c r="C44" s="518"/>
      <c r="D44" s="518"/>
      <c r="E44" s="518"/>
      <c r="F44" s="518"/>
      <c r="G44" s="518"/>
      <c r="H44" s="518"/>
      <c r="I44" s="518"/>
      <c r="J44" s="518"/>
      <c r="K44" s="518"/>
      <c r="L44" s="518"/>
      <c r="M44" s="518"/>
      <c r="N44" s="518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</row>
    <row r="45" spans="1:47" s="11" customFormat="1" ht="28.5" customHeight="1" x14ac:dyDescent="0.3">
      <c r="A45" s="521" t="s">
        <v>177</v>
      </c>
      <c r="B45" s="521"/>
      <c r="C45" s="521"/>
      <c r="D45" s="521"/>
      <c r="E45" s="521"/>
      <c r="F45" s="521"/>
      <c r="G45" s="521"/>
      <c r="H45" s="521"/>
      <c r="I45" s="521"/>
      <c r="J45" s="521"/>
      <c r="K45" s="521"/>
      <c r="L45" s="521"/>
      <c r="M45" s="521"/>
      <c r="N45" s="521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1:47" s="11" customFormat="1" ht="25.5" customHeight="1" x14ac:dyDescent="0.3">
      <c r="A46" s="126" t="s">
        <v>173</v>
      </c>
      <c r="B46" s="126" t="s">
        <v>0</v>
      </c>
      <c r="C46" s="126" t="s">
        <v>174</v>
      </c>
      <c r="D46" s="521" t="s">
        <v>175</v>
      </c>
      <c r="E46" s="521"/>
      <c r="F46" s="521"/>
      <c r="G46" s="521"/>
      <c r="H46" s="521"/>
      <c r="I46" s="129" t="s">
        <v>4</v>
      </c>
      <c r="J46" s="128"/>
      <c r="K46" s="128"/>
      <c r="L46" s="127" t="s">
        <v>59</v>
      </c>
      <c r="M46" s="130" t="s">
        <v>8</v>
      </c>
      <c r="N46" s="130" t="s">
        <v>10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1:47" s="69" customFormat="1" ht="15" customHeight="1" x14ac:dyDescent="0.3">
      <c r="A47" s="4" t="s">
        <v>132</v>
      </c>
      <c r="B47" s="4">
        <v>1</v>
      </c>
      <c r="C47" s="5">
        <f>4977.59-1520</f>
        <v>3457.59</v>
      </c>
      <c r="D47" s="546" t="s">
        <v>284</v>
      </c>
      <c r="E47" s="547"/>
      <c r="F47" s="547"/>
      <c r="G47" s="547"/>
      <c r="H47" s="548"/>
      <c r="I47" s="5">
        <f>4977.59-1520</f>
        <v>3457.59</v>
      </c>
      <c r="J47" s="5"/>
      <c r="K47" s="5"/>
      <c r="L47" s="5" t="s">
        <v>283</v>
      </c>
      <c r="M47" s="140">
        <v>10</v>
      </c>
      <c r="N47" s="4">
        <v>11</v>
      </c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</row>
    <row r="48" spans="1:47" s="40" customFormat="1" ht="15" customHeight="1" thickBot="1" x14ac:dyDescent="0.35">
      <c r="A48" s="518" t="s">
        <v>4</v>
      </c>
      <c r="B48" s="518"/>
      <c r="C48" s="518"/>
      <c r="D48" s="518"/>
      <c r="E48" s="518"/>
      <c r="F48" s="518"/>
      <c r="G48" s="518"/>
      <c r="H48" s="518"/>
      <c r="I48" s="114">
        <f>SUM(I47:I47)</f>
        <v>3457.59</v>
      </c>
      <c r="J48" s="90"/>
      <c r="K48" s="90"/>
      <c r="L48" s="90"/>
      <c r="M48" s="90"/>
      <c r="N48" s="9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1"/>
      <c r="AS48" s="11"/>
      <c r="AT48" s="11"/>
      <c r="AU48" s="11"/>
    </row>
    <row r="49" spans="1:58" s="19" customFormat="1" x14ac:dyDescent="0.3">
      <c r="A49" s="536"/>
      <c r="B49" s="537"/>
      <c r="C49" s="537"/>
      <c r="D49" s="537"/>
      <c r="E49" s="537"/>
      <c r="F49" s="537"/>
      <c r="G49" s="537"/>
      <c r="H49" s="537"/>
      <c r="I49" s="537"/>
      <c r="J49" s="537"/>
      <c r="K49" s="537"/>
      <c r="L49" s="537"/>
      <c r="M49" s="524"/>
      <c r="N49" s="525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</row>
    <row r="50" spans="1:58" s="40" customFormat="1" x14ac:dyDescent="0.3">
      <c r="A50" s="543" t="s">
        <v>9</v>
      </c>
      <c r="B50" s="543"/>
      <c r="C50" s="543"/>
      <c r="D50" s="543"/>
      <c r="E50" s="543"/>
      <c r="F50" s="543"/>
      <c r="G50" s="46"/>
      <c r="H50" s="46"/>
      <c r="I50" s="46"/>
      <c r="J50" s="46"/>
      <c r="K50" s="46"/>
      <c r="L50" s="544" t="s">
        <v>315</v>
      </c>
      <c r="M50" s="544"/>
      <c r="N50" s="545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1"/>
      <c r="AS50" s="11"/>
      <c r="AT50" s="11"/>
      <c r="AU50" s="11"/>
    </row>
    <row r="51" spans="1:58" s="40" customFormat="1" x14ac:dyDescent="0.3">
      <c r="A51" s="76" t="s">
        <v>40</v>
      </c>
      <c r="B51" s="77">
        <f>'GERAL 2022'!J3</f>
        <v>118.43</v>
      </c>
      <c r="C51" s="78">
        <v>6</v>
      </c>
      <c r="D51" s="77">
        <f>B51/C51</f>
        <v>19.738333333333333</v>
      </c>
      <c r="E51" s="78"/>
      <c r="F51" s="77"/>
      <c r="G51" s="11"/>
      <c r="H51" s="11"/>
      <c r="I51" s="87"/>
      <c r="J51" s="87"/>
      <c r="K51" s="87"/>
      <c r="L51" s="527" t="s">
        <v>94</v>
      </c>
      <c r="M51" s="527"/>
      <c r="N51" s="49">
        <f>J38+J43</f>
        <v>457.13353137725926</v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1"/>
      <c r="AS51" s="11"/>
      <c r="AT51" s="11"/>
      <c r="AU51" s="11"/>
    </row>
    <row r="52" spans="1:58" s="40" customFormat="1" x14ac:dyDescent="0.3">
      <c r="A52" s="12" t="s">
        <v>46</v>
      </c>
      <c r="B52" s="2">
        <f>'GERAL 2022'!H3</f>
        <v>14.184042553191489</v>
      </c>
      <c r="C52" s="88">
        <v>5</v>
      </c>
      <c r="D52" s="2">
        <f>B52/C52</f>
        <v>2.8368085106382979</v>
      </c>
      <c r="E52" s="88"/>
      <c r="F52" s="88"/>
      <c r="G52" s="11"/>
      <c r="H52" s="11"/>
      <c r="I52" s="14"/>
      <c r="J52" s="14"/>
      <c r="K52" s="14"/>
      <c r="L52" s="534" t="s">
        <v>260</v>
      </c>
      <c r="M52" s="535"/>
      <c r="N52" s="114">
        <f>J8</f>
        <v>1551</v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1"/>
      <c r="AS52" s="11"/>
      <c r="AT52" s="11"/>
      <c r="AU52" s="11"/>
    </row>
    <row r="53" spans="1:58" s="40" customFormat="1" x14ac:dyDescent="0.3">
      <c r="A53" s="79" t="s">
        <v>29</v>
      </c>
      <c r="B53" s="80"/>
      <c r="C53" s="82"/>
      <c r="D53" s="80"/>
      <c r="E53" s="78"/>
      <c r="F53" s="77"/>
      <c r="G53" s="11"/>
      <c r="H53" s="11"/>
      <c r="I53" s="14"/>
      <c r="J53" s="14"/>
      <c r="K53" s="14"/>
      <c r="L53" s="520"/>
      <c r="M53" s="520"/>
      <c r="N53" s="52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1"/>
      <c r="AS53" s="11"/>
      <c r="AT53" s="11"/>
      <c r="AU53" s="11"/>
    </row>
    <row r="54" spans="1:58" s="40" customFormat="1" x14ac:dyDescent="0.3">
      <c r="A54" s="12" t="s">
        <v>30</v>
      </c>
      <c r="B54" s="2"/>
      <c r="C54" s="88"/>
      <c r="D54" s="2"/>
      <c r="E54" s="53"/>
      <c r="F54" s="53"/>
      <c r="G54" s="11"/>
      <c r="H54" s="11"/>
      <c r="I54" s="62"/>
      <c r="J54" s="62"/>
      <c r="K54" s="62"/>
      <c r="L54" s="520"/>
      <c r="M54" s="520"/>
      <c r="N54" s="52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1"/>
      <c r="AS54" s="11"/>
      <c r="AT54" s="11"/>
      <c r="AU54" s="11"/>
    </row>
    <row r="55" spans="1:58" s="40" customFormat="1" x14ac:dyDescent="0.3">
      <c r="A55" s="79" t="s">
        <v>65</v>
      </c>
      <c r="B55" s="80"/>
      <c r="C55" s="82"/>
      <c r="D55" s="80"/>
      <c r="E55" s="78"/>
      <c r="F55" s="77"/>
      <c r="G55" s="11"/>
      <c r="H55" s="11"/>
      <c r="I55" s="14"/>
      <c r="J55" s="14"/>
      <c r="K55" s="14"/>
      <c r="L55" s="529" t="s">
        <v>12</v>
      </c>
      <c r="M55" s="529"/>
      <c r="N55" s="529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1"/>
      <c r="AS55" s="11"/>
      <c r="AT55" s="11"/>
      <c r="AU55" s="11"/>
    </row>
    <row r="56" spans="1:58" s="11" customFormat="1" ht="15" customHeight="1" x14ac:dyDescent="0.3">
      <c r="A56" s="12" t="s">
        <v>62</v>
      </c>
      <c r="B56" s="2"/>
      <c r="C56" s="88"/>
      <c r="D56" s="2"/>
      <c r="E56" s="88"/>
      <c r="F56" s="88"/>
      <c r="I56" s="63"/>
      <c r="J56" s="63"/>
      <c r="K56" s="63"/>
      <c r="L56" s="514" t="s">
        <v>306</v>
      </c>
      <c r="M56" s="514"/>
      <c r="N56" s="2">
        <v>19.64</v>
      </c>
    </row>
    <row r="57" spans="1:58" s="11" customFormat="1" x14ac:dyDescent="0.3">
      <c r="A57" s="79" t="s">
        <v>60</v>
      </c>
      <c r="B57" s="80">
        <f>'GERAL 2022'!J6</f>
        <v>117.85</v>
      </c>
      <c r="C57" s="82">
        <v>6</v>
      </c>
      <c r="D57" s="80">
        <f>B57/C57</f>
        <v>19.641666666666666</v>
      </c>
      <c r="E57" s="78"/>
      <c r="F57" s="77"/>
      <c r="I57" s="14"/>
      <c r="J57" s="14"/>
      <c r="K57" s="14"/>
      <c r="L57" s="514" t="s">
        <v>307</v>
      </c>
      <c r="M57" s="514"/>
      <c r="N57" s="2">
        <v>19.82</v>
      </c>
    </row>
    <row r="58" spans="1:58" s="11" customFormat="1" ht="15" customHeight="1" x14ac:dyDescent="0.3">
      <c r="A58" s="12" t="s">
        <v>61</v>
      </c>
      <c r="B58" s="2">
        <f>'GERAL 2022'!H6</f>
        <v>14.184042553191489</v>
      </c>
      <c r="C58" s="88">
        <v>5</v>
      </c>
      <c r="D58" s="2">
        <f>B58/C58</f>
        <v>2.8368085106382979</v>
      </c>
      <c r="E58" s="88"/>
      <c r="F58" s="88"/>
      <c r="I58" s="63"/>
      <c r="J58" s="63"/>
      <c r="K58" s="63"/>
      <c r="L58" s="514" t="s">
        <v>308</v>
      </c>
      <c r="M58" s="514"/>
      <c r="N58" s="2">
        <v>19.760000000000002</v>
      </c>
    </row>
    <row r="59" spans="1:58" s="11" customFormat="1" x14ac:dyDescent="0.3">
      <c r="A59" s="79" t="s">
        <v>31</v>
      </c>
      <c r="B59" s="80"/>
      <c r="C59" s="82"/>
      <c r="D59" s="80"/>
      <c r="E59" s="78"/>
      <c r="F59" s="77"/>
      <c r="I59" s="14"/>
      <c r="J59" s="14"/>
      <c r="K59" s="14"/>
      <c r="L59" s="514" t="s">
        <v>309</v>
      </c>
      <c r="M59" s="514"/>
      <c r="N59" s="2">
        <v>19.7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</row>
    <row r="60" spans="1:58" s="11" customFormat="1" x14ac:dyDescent="0.3">
      <c r="A60" s="12" t="s">
        <v>32</v>
      </c>
      <c r="B60" s="2"/>
      <c r="C60" s="88"/>
      <c r="D60" s="2"/>
      <c r="E60" s="88"/>
      <c r="F60" s="88"/>
      <c r="I60" s="63"/>
      <c r="J60" s="63"/>
      <c r="K60" s="63"/>
      <c r="L60" s="514" t="s">
        <v>310</v>
      </c>
      <c r="M60" s="514"/>
      <c r="N60" s="2">
        <v>19.649999999999999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</row>
    <row r="61" spans="1:58" s="11" customFormat="1" x14ac:dyDescent="0.3">
      <c r="A61" s="79" t="s">
        <v>57</v>
      </c>
      <c r="B61" s="80">
        <f>'GERAL 2022'!J8</f>
        <v>119.02</v>
      </c>
      <c r="C61" s="82">
        <v>6</v>
      </c>
      <c r="D61" s="80">
        <f>B61/C61</f>
        <v>19.836666666666666</v>
      </c>
      <c r="E61" s="78"/>
      <c r="F61" s="77"/>
      <c r="I61" s="14"/>
      <c r="J61" s="14"/>
      <c r="K61" s="14"/>
      <c r="L61" s="514" t="s">
        <v>165</v>
      </c>
      <c r="M61" s="514"/>
      <c r="N61" s="2">
        <v>19.84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</row>
    <row r="62" spans="1:58" s="11" customFormat="1" ht="12.75" customHeight="1" x14ac:dyDescent="0.3">
      <c r="A62" s="12" t="s">
        <v>58</v>
      </c>
      <c r="B62" s="2">
        <f>'GERAL 2022'!H8</f>
        <v>19.857659574468084</v>
      </c>
      <c r="C62" s="88">
        <v>5</v>
      </c>
      <c r="D62" s="2">
        <f>B62/C62</f>
        <v>3.9715319148936166</v>
      </c>
      <c r="E62" s="88"/>
      <c r="F62" s="88"/>
      <c r="I62" s="63"/>
      <c r="J62" s="63"/>
      <c r="K62" s="63"/>
      <c r="L62" s="514" t="s">
        <v>311</v>
      </c>
      <c r="M62" s="514"/>
      <c r="N62" s="2">
        <v>19.84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</row>
    <row r="63" spans="1:58" s="11" customFormat="1" x14ac:dyDescent="0.3">
      <c r="A63" s="79" t="s">
        <v>63</v>
      </c>
      <c r="B63" s="80"/>
      <c r="C63" s="82"/>
      <c r="D63" s="80"/>
      <c r="E63" s="78"/>
      <c r="F63" s="77"/>
      <c r="I63" s="14"/>
      <c r="J63" s="14"/>
      <c r="K63" s="14"/>
      <c r="L63" s="542" t="s">
        <v>313</v>
      </c>
      <c r="M63" s="542"/>
      <c r="N63" s="2">
        <f>120*4</f>
        <v>480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</row>
    <row r="64" spans="1:58" s="11" customFormat="1" ht="15" customHeight="1" x14ac:dyDescent="0.3">
      <c r="A64" s="12" t="s">
        <v>64</v>
      </c>
      <c r="B64" s="2"/>
      <c r="C64" s="88"/>
      <c r="D64" s="2"/>
      <c r="E64" s="88"/>
      <c r="F64" s="88"/>
      <c r="I64" s="63"/>
      <c r="J64" s="63"/>
      <c r="K64" s="63"/>
      <c r="L64" s="542" t="s">
        <v>314</v>
      </c>
      <c r="M64" s="542"/>
      <c r="N64" s="2">
        <f>8.77*2</f>
        <v>17.54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</row>
    <row r="65" spans="1:46" s="11" customFormat="1" x14ac:dyDescent="0.3">
      <c r="A65" s="79" t="s">
        <v>33</v>
      </c>
      <c r="B65" s="80">
        <f>'GERAL 2022'!J10</f>
        <v>118.53</v>
      </c>
      <c r="C65" s="82">
        <v>6</v>
      </c>
      <c r="D65" s="80">
        <f t="shared" ref="D65:D70" si="6">B65/C65</f>
        <v>19.754999999999999</v>
      </c>
      <c r="E65" s="78"/>
      <c r="F65" s="77"/>
      <c r="I65" s="14"/>
      <c r="J65" s="14"/>
      <c r="K65" s="14"/>
      <c r="L65" s="520" t="s">
        <v>126</v>
      </c>
      <c r="M65" s="520"/>
      <c r="N65" s="2">
        <v>138.6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</row>
    <row r="66" spans="1:46" s="11" customFormat="1" ht="13.5" customHeight="1" x14ac:dyDescent="0.3">
      <c r="A66" s="12" t="s">
        <v>34</v>
      </c>
      <c r="B66" s="2">
        <f>'GERAL 2022'!H10</f>
        <v>14.184042553191489</v>
      </c>
      <c r="C66" s="88">
        <v>5</v>
      </c>
      <c r="D66" s="2">
        <f t="shared" si="6"/>
        <v>2.8368085106382979</v>
      </c>
      <c r="E66" s="88"/>
      <c r="F66" s="88"/>
      <c r="I66" s="63"/>
      <c r="J66" s="63"/>
      <c r="K66" s="63"/>
      <c r="L66" s="520" t="s">
        <v>312</v>
      </c>
      <c r="M66" s="520"/>
      <c r="N66" s="2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</row>
    <row r="67" spans="1:46" s="11" customFormat="1" x14ac:dyDescent="0.3">
      <c r="A67" s="79" t="s">
        <v>41</v>
      </c>
      <c r="B67" s="80">
        <f>'GERAL 2022'!J11</f>
        <v>118.18</v>
      </c>
      <c r="C67" s="82">
        <v>6</v>
      </c>
      <c r="D67" s="80">
        <f t="shared" si="6"/>
        <v>19.696666666666669</v>
      </c>
      <c r="E67" s="78"/>
      <c r="F67" s="77"/>
      <c r="L67" s="520"/>
      <c r="M67" s="520"/>
      <c r="N67" s="2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</row>
    <row r="68" spans="1:46" s="11" customFormat="1" ht="14.4" x14ac:dyDescent="0.3">
      <c r="A68" s="12" t="s">
        <v>42</v>
      </c>
      <c r="B68" s="2">
        <f>'GERAL 2022'!H11</f>
        <v>14.184042553191489</v>
      </c>
      <c r="C68" s="88">
        <v>5</v>
      </c>
      <c r="D68" s="2">
        <f t="shared" si="6"/>
        <v>2.8368085106382979</v>
      </c>
      <c r="E68" s="88"/>
      <c r="F68" s="88"/>
      <c r="I68" s="63"/>
      <c r="J68" s="63"/>
      <c r="K68" s="63"/>
      <c r="L68" s="561"/>
      <c r="M68" s="562"/>
      <c r="N68" s="141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</row>
    <row r="69" spans="1:46" s="11" customFormat="1" ht="14.4" x14ac:dyDescent="0.3">
      <c r="A69" s="79" t="s">
        <v>66</v>
      </c>
      <c r="B69" s="80">
        <f>'GERAL 2022'!J12</f>
        <v>106.95</v>
      </c>
      <c r="C69" s="81">
        <v>6</v>
      </c>
      <c r="D69" s="80">
        <f t="shared" si="6"/>
        <v>17.824999999999999</v>
      </c>
      <c r="E69" s="82"/>
      <c r="F69" s="80"/>
      <c r="I69" s="14"/>
      <c r="J69" s="14"/>
      <c r="K69" s="14"/>
      <c r="L69" s="563"/>
      <c r="M69" s="563"/>
      <c r="N69" s="141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</row>
    <row r="70" spans="1:46" s="11" customFormat="1" ht="14.4" x14ac:dyDescent="0.3">
      <c r="A70" s="12" t="s">
        <v>67</v>
      </c>
      <c r="B70" s="2">
        <f>'GERAL 2022'!H12</f>
        <v>14.184042553191489</v>
      </c>
      <c r="C70" s="88">
        <v>5</v>
      </c>
      <c r="D70" s="2">
        <f t="shared" si="6"/>
        <v>2.8368085106382979</v>
      </c>
      <c r="E70" s="88"/>
      <c r="F70" s="88"/>
      <c r="I70" s="63"/>
      <c r="J70" s="63"/>
      <c r="K70" s="63"/>
      <c r="L70" s="563"/>
      <c r="M70" s="563"/>
      <c r="N70" s="141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</row>
    <row r="71" spans="1:46" s="11" customFormat="1" x14ac:dyDescent="0.3">
      <c r="A71" s="79" t="s">
        <v>14</v>
      </c>
      <c r="B71" s="80"/>
      <c r="C71" s="82"/>
      <c r="D71" s="80"/>
      <c r="E71" s="82"/>
      <c r="F71" s="80"/>
      <c r="I71" s="14"/>
      <c r="J71" s="14"/>
      <c r="K71" s="14"/>
      <c r="L71" s="520"/>
      <c r="M71" s="520"/>
      <c r="N71" s="2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</row>
    <row r="72" spans="1:46" s="11" customFormat="1" x14ac:dyDescent="0.3">
      <c r="A72" s="12" t="s">
        <v>15</v>
      </c>
      <c r="B72" s="2"/>
      <c r="C72" s="88"/>
      <c r="D72" s="2"/>
      <c r="E72" s="88"/>
      <c r="F72" s="88"/>
      <c r="I72" s="87"/>
      <c r="J72" s="87"/>
      <c r="K72" s="87"/>
      <c r="L72" s="520"/>
      <c r="M72" s="520"/>
      <c r="N72" s="9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</row>
    <row r="73" spans="1:46" s="11" customFormat="1" x14ac:dyDescent="0.3">
      <c r="A73" s="79" t="s">
        <v>55</v>
      </c>
      <c r="B73" s="80"/>
      <c r="C73" s="82"/>
      <c r="D73" s="80"/>
      <c r="E73" s="82"/>
      <c r="F73" s="80"/>
      <c r="L73" s="518"/>
      <c r="M73" s="518"/>
      <c r="N73" s="109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</row>
    <row r="74" spans="1:46" s="11" customFormat="1" x14ac:dyDescent="0.3">
      <c r="A74" s="12" t="s">
        <v>56</v>
      </c>
      <c r="B74" s="2"/>
      <c r="C74" s="88"/>
      <c r="D74" s="2"/>
      <c r="E74" s="88"/>
      <c r="F74" s="88"/>
      <c r="L74" s="518" t="s">
        <v>26</v>
      </c>
      <c r="M74" s="518"/>
      <c r="N74" s="109">
        <f>SUM(N51:N73)</f>
        <v>2782.5235313772596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</row>
    <row r="75" spans="1:46" s="11" customFormat="1" x14ac:dyDescent="0.3">
      <c r="A75" s="79" t="s">
        <v>35</v>
      </c>
      <c r="B75" s="80"/>
      <c r="C75" s="82"/>
      <c r="D75" s="80"/>
      <c r="E75" s="82"/>
      <c r="F75" s="80"/>
      <c r="L75" s="543"/>
      <c r="M75" s="543"/>
      <c r="N75" s="135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</row>
    <row r="76" spans="1:46" s="11" customFormat="1" x14ac:dyDescent="0.3">
      <c r="A76" s="12" t="s">
        <v>36</v>
      </c>
      <c r="B76" s="2"/>
      <c r="C76" s="88"/>
      <c r="D76" s="2"/>
      <c r="E76" s="88"/>
      <c r="F76" s="88"/>
      <c r="I76" s="14"/>
      <c r="J76" s="14"/>
      <c r="K76" s="14"/>
      <c r="L76" s="564" t="s">
        <v>11</v>
      </c>
      <c r="M76" s="565"/>
      <c r="N76" s="153">
        <f>I8+I38+I43</f>
        <v>9208.1758281857692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</row>
    <row r="77" spans="1:46" s="11" customFormat="1" x14ac:dyDescent="0.3">
      <c r="A77" s="79" t="s">
        <v>47</v>
      </c>
      <c r="B77" s="80">
        <f>'GERAL 2022'!J16</f>
        <v>117.85</v>
      </c>
      <c r="C77" s="82">
        <v>6</v>
      </c>
      <c r="D77" s="80">
        <f>B77/C77</f>
        <v>19.641666666666666</v>
      </c>
      <c r="E77" s="82"/>
      <c r="F77" s="80"/>
      <c r="I77" s="15"/>
      <c r="J77" s="15"/>
      <c r="K77" s="15"/>
      <c r="L77" s="564" t="s">
        <v>305</v>
      </c>
      <c r="M77" s="565"/>
      <c r="N77" s="152">
        <v>22.56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</row>
    <row r="78" spans="1:46" s="11" customFormat="1" x14ac:dyDescent="0.3">
      <c r="A78" s="12" t="s">
        <v>48</v>
      </c>
      <c r="B78" s="2">
        <f>'GERAL 2022'!H16</f>
        <v>14.184042553191489</v>
      </c>
      <c r="C78" s="88">
        <v>5</v>
      </c>
      <c r="D78" s="2">
        <f>B78/C78</f>
        <v>2.8368085106382979</v>
      </c>
      <c r="E78" s="88"/>
      <c r="F78" s="88"/>
      <c r="I78" s="14"/>
      <c r="J78" s="14"/>
      <c r="K78" s="14"/>
      <c r="L78" s="564" t="s">
        <v>4</v>
      </c>
      <c r="M78" s="565"/>
      <c r="N78" s="151">
        <f>N76+N77</f>
        <v>9230.7358281857687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</row>
    <row r="79" spans="1:46" s="11" customFormat="1" x14ac:dyDescent="0.3">
      <c r="A79" s="79" t="s">
        <v>16</v>
      </c>
      <c r="B79" s="80">
        <f>'GERAL 2022'!J17</f>
        <v>119.94</v>
      </c>
      <c r="C79" s="82">
        <v>6</v>
      </c>
      <c r="D79" s="80">
        <f t="shared" ref="D79:D90" si="7">B79/C79</f>
        <v>19.989999999999998</v>
      </c>
      <c r="E79" s="81"/>
      <c r="F79" s="81"/>
      <c r="I79" s="14"/>
      <c r="J79" s="14"/>
      <c r="K79" s="14"/>
      <c r="L79" s="518"/>
      <c r="M79" s="518"/>
      <c r="N79" s="519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</row>
    <row r="80" spans="1:46" s="11" customFormat="1" x14ac:dyDescent="0.3">
      <c r="A80" s="12" t="s">
        <v>17</v>
      </c>
      <c r="B80" s="2">
        <f>'GERAL 2022'!H17</f>
        <v>19.857659574468084</v>
      </c>
      <c r="C80" s="88">
        <v>5</v>
      </c>
      <c r="D80" s="2">
        <f t="shared" si="7"/>
        <v>3.9715319148936166</v>
      </c>
      <c r="E80" s="88"/>
      <c r="F80" s="88"/>
      <c r="I80" s="14"/>
      <c r="J80" s="14"/>
      <c r="K80" s="14"/>
      <c r="L80" s="513" t="s">
        <v>13</v>
      </c>
      <c r="M80" s="513"/>
      <c r="N80" s="151">
        <f>N78-N74</f>
        <v>6448.2122968085096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</row>
    <row r="81" spans="1:46" s="11" customFormat="1" x14ac:dyDescent="0.3">
      <c r="A81" s="79" t="s">
        <v>273</v>
      </c>
      <c r="B81" s="80">
        <f>'GERAL 2022'!J40</f>
        <v>119.02</v>
      </c>
      <c r="C81" s="82">
        <v>6</v>
      </c>
      <c r="D81" s="80">
        <f t="shared" si="7"/>
        <v>19.836666666666666</v>
      </c>
      <c r="E81" s="81"/>
      <c r="F81" s="81"/>
      <c r="I81" s="14"/>
      <c r="J81" s="14"/>
      <c r="K81" s="14"/>
      <c r="L81" s="123"/>
      <c r="M81" s="123"/>
      <c r="N81" s="133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</row>
    <row r="82" spans="1:46" s="69" customFormat="1" x14ac:dyDescent="0.3">
      <c r="A82" s="12" t="s">
        <v>274</v>
      </c>
      <c r="B82" s="2">
        <f>'GERAL 2022'!H40</f>
        <v>19.857659574468084</v>
      </c>
      <c r="C82" s="88">
        <v>5</v>
      </c>
      <c r="D82" s="2">
        <f t="shared" si="7"/>
        <v>3.9715319148936166</v>
      </c>
      <c r="E82" s="88"/>
      <c r="F82" s="88"/>
      <c r="G82" s="11"/>
      <c r="H82" s="11"/>
      <c r="I82" s="14"/>
      <c r="J82" s="14"/>
      <c r="K82" s="14"/>
      <c r="L82" s="124"/>
      <c r="M82" s="124"/>
      <c r="N82" s="134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</row>
    <row r="83" spans="1:46" s="69" customFormat="1" x14ac:dyDescent="0.3">
      <c r="A83" s="79" t="s">
        <v>27</v>
      </c>
      <c r="B83" s="80">
        <f>'GERAL 2022'!J18</f>
        <v>118.87</v>
      </c>
      <c r="C83" s="82">
        <v>6</v>
      </c>
      <c r="D83" s="80">
        <f t="shared" si="7"/>
        <v>19.811666666666667</v>
      </c>
      <c r="E83" s="81"/>
      <c r="F83" s="82"/>
      <c r="G83" s="11"/>
      <c r="H83" s="11"/>
      <c r="I83" s="14"/>
      <c r="J83" s="14"/>
      <c r="K83" s="14"/>
      <c r="L83" s="124"/>
      <c r="M83" s="124"/>
      <c r="N83" s="57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</row>
    <row r="84" spans="1:46" s="69" customFormat="1" x14ac:dyDescent="0.3">
      <c r="A84" s="12" t="s">
        <v>28</v>
      </c>
      <c r="B84" s="2">
        <f>'GERAL 2022'!H18</f>
        <v>14.184042553191489</v>
      </c>
      <c r="C84" s="88">
        <v>5</v>
      </c>
      <c r="D84" s="2">
        <f t="shared" si="7"/>
        <v>2.8368085106382979</v>
      </c>
      <c r="E84" s="88"/>
      <c r="F84" s="90"/>
      <c r="G84" s="11"/>
      <c r="H84" s="11"/>
      <c r="I84" s="14"/>
      <c r="J84" s="14"/>
      <c r="K84" s="14"/>
      <c r="L84" s="124"/>
      <c r="M84" s="124"/>
      <c r="N84" s="57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</row>
    <row r="85" spans="1:46" s="69" customFormat="1" x14ac:dyDescent="0.3">
      <c r="A85" s="79" t="s">
        <v>18</v>
      </c>
      <c r="B85" s="80">
        <f>'GERAL 2022'!J19</f>
        <v>118.87</v>
      </c>
      <c r="C85" s="82">
        <v>6</v>
      </c>
      <c r="D85" s="80">
        <f t="shared" si="7"/>
        <v>19.811666666666667</v>
      </c>
      <c r="E85" s="82"/>
      <c r="F85" s="80"/>
      <c r="G85" s="11"/>
      <c r="H85" s="11"/>
      <c r="I85" s="14"/>
      <c r="J85" s="14"/>
      <c r="K85" s="14"/>
      <c r="L85" s="124"/>
      <c r="M85" s="124"/>
      <c r="N85" s="57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</row>
    <row r="86" spans="1:46" s="69" customFormat="1" x14ac:dyDescent="0.3">
      <c r="A86" s="12" t="s">
        <v>19</v>
      </c>
      <c r="B86" s="2">
        <f>'GERAL 2022'!H19</f>
        <v>14.184042553191489</v>
      </c>
      <c r="C86" s="88">
        <v>5</v>
      </c>
      <c r="D86" s="2">
        <f t="shared" si="7"/>
        <v>2.8368085106382979</v>
      </c>
      <c r="E86" s="88"/>
      <c r="F86" s="88"/>
      <c r="G86" s="11"/>
      <c r="H86" s="11"/>
      <c r="I86" s="14"/>
      <c r="J86" s="14"/>
      <c r="K86" s="14"/>
      <c r="L86" s="124"/>
      <c r="M86" s="124"/>
      <c r="N86" s="57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</row>
    <row r="87" spans="1:46" s="69" customFormat="1" x14ac:dyDescent="0.3">
      <c r="A87" s="79" t="s">
        <v>37</v>
      </c>
      <c r="B87" s="80">
        <f>'GERAL 2022'!J20</f>
        <v>119.02</v>
      </c>
      <c r="C87" s="82">
        <v>6</v>
      </c>
      <c r="D87" s="80">
        <f t="shared" si="7"/>
        <v>19.836666666666666</v>
      </c>
      <c r="E87" s="81"/>
      <c r="F87" s="82"/>
      <c r="G87" s="11"/>
      <c r="H87" s="11"/>
      <c r="I87" s="14"/>
      <c r="J87" s="14"/>
      <c r="K87" s="14"/>
      <c r="L87" s="15"/>
      <c r="M87" s="14"/>
      <c r="N87" s="57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</row>
    <row r="88" spans="1:46" s="69" customFormat="1" x14ac:dyDescent="0.3">
      <c r="A88" s="12" t="s">
        <v>38</v>
      </c>
      <c r="B88" s="2">
        <f>'GERAL 2022'!H20</f>
        <v>14.184042553191489</v>
      </c>
      <c r="C88" s="88">
        <v>5</v>
      </c>
      <c r="D88" s="2">
        <f t="shared" si="7"/>
        <v>2.8368085106382979</v>
      </c>
      <c r="E88" s="88"/>
      <c r="F88" s="88"/>
      <c r="G88" s="11"/>
      <c r="H88" s="11"/>
      <c r="I88" s="14"/>
      <c r="J88" s="14"/>
      <c r="K88" s="14"/>
      <c r="L88" s="11"/>
      <c r="M88" s="15"/>
      <c r="N88" s="57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</row>
    <row r="89" spans="1:46" s="69" customFormat="1" x14ac:dyDescent="0.3">
      <c r="A89" s="79" t="s">
        <v>45</v>
      </c>
      <c r="B89" s="80">
        <f>'GERAL 2022'!J21</f>
        <v>118.43</v>
      </c>
      <c r="C89" s="82">
        <v>6</v>
      </c>
      <c r="D89" s="80">
        <f t="shared" si="7"/>
        <v>19.738333333333333</v>
      </c>
      <c r="E89" s="81"/>
      <c r="F89" s="82"/>
      <c r="G89" s="11"/>
      <c r="H89" s="11"/>
      <c r="I89" s="14"/>
      <c r="J89" s="14"/>
      <c r="K89" s="14"/>
      <c r="L89" s="11"/>
      <c r="M89" s="11"/>
      <c r="N89" s="57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</row>
    <row r="90" spans="1:46" s="69" customFormat="1" x14ac:dyDescent="0.3">
      <c r="A90" s="12" t="s">
        <v>39</v>
      </c>
      <c r="B90" s="2">
        <f>'GERAL 2022'!H21</f>
        <v>14.184042553191489</v>
      </c>
      <c r="C90" s="88">
        <v>5</v>
      </c>
      <c r="D90" s="2">
        <f t="shared" si="7"/>
        <v>2.8368085106382979</v>
      </c>
      <c r="E90" s="88"/>
      <c r="F90" s="88"/>
      <c r="G90" s="11"/>
      <c r="H90" s="11"/>
      <c r="I90" s="14"/>
      <c r="J90" s="14"/>
      <c r="K90" s="14"/>
      <c r="L90" s="14"/>
      <c r="M90" s="14"/>
      <c r="N90" s="57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</row>
    <row r="91" spans="1:46" s="69" customFormat="1" x14ac:dyDescent="0.3">
      <c r="A91" s="81" t="s">
        <v>49</v>
      </c>
      <c r="B91" s="80"/>
      <c r="C91" s="82"/>
      <c r="D91" s="80"/>
      <c r="E91" s="81"/>
      <c r="F91" s="82"/>
      <c r="G91" s="11"/>
      <c r="H91" s="11"/>
      <c r="I91" s="14"/>
      <c r="J91" s="14"/>
      <c r="K91" s="14"/>
      <c r="L91" s="14"/>
      <c r="M91" s="15"/>
      <c r="N91" s="57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</row>
    <row r="92" spans="1:46" s="69" customFormat="1" x14ac:dyDescent="0.3">
      <c r="A92" s="90" t="s">
        <v>50</v>
      </c>
      <c r="B92" s="2"/>
      <c r="C92" s="88"/>
      <c r="D92" s="2"/>
      <c r="E92" s="88"/>
      <c r="F92" s="88"/>
      <c r="G92" s="11"/>
      <c r="H92" s="11"/>
      <c r="I92" s="14"/>
      <c r="J92" s="14"/>
      <c r="K92" s="14"/>
      <c r="L92" s="14"/>
      <c r="M92" s="11"/>
      <c r="N92" s="57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</row>
    <row r="93" spans="1:46" s="69" customFormat="1" x14ac:dyDescent="0.3">
      <c r="A93" s="81" t="s">
        <v>43</v>
      </c>
      <c r="B93" s="80"/>
      <c r="C93" s="82"/>
      <c r="D93" s="80"/>
      <c r="E93" s="81"/>
      <c r="F93" s="82"/>
      <c r="I93" s="142"/>
      <c r="J93" s="142"/>
      <c r="K93" s="142"/>
      <c r="L93" s="14"/>
      <c r="M93" s="11"/>
      <c r="N93" s="57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</row>
    <row r="94" spans="1:46" s="70" customFormat="1" x14ac:dyDescent="0.3">
      <c r="A94" s="90" t="s">
        <v>44</v>
      </c>
      <c r="B94" s="2"/>
      <c r="C94" s="88"/>
      <c r="D94" s="2"/>
      <c r="E94" s="88"/>
      <c r="F94" s="88"/>
      <c r="G94" s="63"/>
      <c r="H94" s="63"/>
      <c r="I94" s="69"/>
      <c r="J94" s="69"/>
      <c r="K94" s="69"/>
      <c r="L94" s="11"/>
      <c r="M94" s="11"/>
      <c r="N94" s="57"/>
    </row>
    <row r="95" spans="1:46" s="70" customFormat="1" x14ac:dyDescent="0.3">
      <c r="A95" s="81" t="s">
        <v>51</v>
      </c>
      <c r="B95" s="80"/>
      <c r="C95" s="82"/>
      <c r="D95" s="80"/>
      <c r="E95" s="82"/>
      <c r="F95" s="80"/>
      <c r="G95" s="11"/>
      <c r="H95" s="63"/>
      <c r="I95" s="142"/>
      <c r="J95" s="142"/>
      <c r="K95" s="142"/>
      <c r="L95" s="11"/>
      <c r="M95" s="14"/>
      <c r="N95" s="57"/>
      <c r="AT95" s="69"/>
    </row>
    <row r="96" spans="1:46" s="70" customFormat="1" x14ac:dyDescent="0.3">
      <c r="A96" s="90" t="s">
        <v>52</v>
      </c>
      <c r="B96" s="2"/>
      <c r="C96" s="88"/>
      <c r="D96" s="2"/>
      <c r="E96" s="88"/>
      <c r="F96" s="4"/>
      <c r="G96" s="142"/>
      <c r="H96" s="142"/>
      <c r="I96" s="142"/>
      <c r="J96" s="142"/>
      <c r="K96" s="142"/>
      <c r="L96" s="11"/>
      <c r="M96" s="14"/>
      <c r="N96" s="57"/>
      <c r="AT96" s="69"/>
    </row>
    <row r="97" spans="1:46" s="70" customFormat="1" x14ac:dyDescent="0.3">
      <c r="A97" s="81" t="s">
        <v>53</v>
      </c>
      <c r="B97" s="80"/>
      <c r="C97" s="82"/>
      <c r="D97" s="80"/>
      <c r="E97" s="82"/>
      <c r="F97" s="82"/>
      <c r="G97" s="11"/>
      <c r="H97" s="63"/>
      <c r="I97" s="142"/>
      <c r="J97" s="142"/>
      <c r="K97" s="142"/>
      <c r="L97" s="11"/>
      <c r="M97" s="14"/>
      <c r="N97" s="57"/>
      <c r="AT97" s="69"/>
    </row>
    <row r="98" spans="1:46" s="70" customFormat="1" x14ac:dyDescent="0.3">
      <c r="A98" s="90" t="s">
        <v>54</v>
      </c>
      <c r="B98" s="2"/>
      <c r="C98" s="88"/>
      <c r="D98" s="2"/>
      <c r="E98" s="88"/>
      <c r="F98" s="4"/>
      <c r="G98" s="142"/>
      <c r="H98" s="142"/>
      <c r="I98" s="142"/>
      <c r="J98" s="142"/>
      <c r="K98" s="142"/>
      <c r="L98" s="11"/>
      <c r="M98" s="14"/>
      <c r="N98" s="57"/>
      <c r="AT98" s="69"/>
    </row>
    <row r="99" spans="1:46" s="70" customFormat="1" x14ac:dyDescent="0.3">
      <c r="A99" s="81" t="s">
        <v>78</v>
      </c>
      <c r="B99" s="80">
        <f>'GERAL 2022'!J26</f>
        <v>119.02</v>
      </c>
      <c r="C99" s="82">
        <v>6</v>
      </c>
      <c r="D99" s="80">
        <f>B99/C99</f>
        <v>19.836666666666666</v>
      </c>
      <c r="E99" s="82"/>
      <c r="F99" s="82"/>
      <c r="G99" s="11"/>
      <c r="H99" s="63"/>
      <c r="I99" s="142"/>
      <c r="J99" s="142"/>
      <c r="K99" s="142"/>
      <c r="L99" s="11"/>
      <c r="M99" s="11"/>
      <c r="N99" s="57"/>
      <c r="AT99" s="69"/>
    </row>
    <row r="100" spans="1:46" s="70" customFormat="1" x14ac:dyDescent="0.3">
      <c r="A100" s="90" t="s">
        <v>79</v>
      </c>
      <c r="B100" s="2">
        <f>'GERAL 2022'!H26</f>
        <v>19.857659574468084</v>
      </c>
      <c r="C100" s="88">
        <v>5</v>
      </c>
      <c r="D100" s="2">
        <f>B100/C100</f>
        <v>3.9715319148936166</v>
      </c>
      <c r="E100" s="88"/>
      <c r="F100" s="4"/>
      <c r="G100" s="142"/>
      <c r="H100" s="142"/>
      <c r="I100" s="142"/>
      <c r="J100" s="142"/>
      <c r="K100" s="142"/>
      <c r="L100" s="11"/>
      <c r="M100" s="11"/>
      <c r="N100" s="57"/>
      <c r="AT100" s="69"/>
    </row>
    <row r="101" spans="1:46" s="70" customFormat="1" x14ac:dyDescent="0.3">
      <c r="A101" s="81" t="s">
        <v>80</v>
      </c>
      <c r="B101" s="80">
        <f>'GERAL 2022'!J27</f>
        <v>119.7</v>
      </c>
      <c r="C101" s="82">
        <v>6</v>
      </c>
      <c r="D101" s="80">
        <f>B101/C101</f>
        <v>19.95</v>
      </c>
      <c r="E101" s="82"/>
      <c r="F101" s="82"/>
      <c r="G101" s="11"/>
      <c r="H101" s="63"/>
      <c r="I101" s="142"/>
      <c r="J101" s="142"/>
      <c r="K101" s="142"/>
      <c r="L101" s="69"/>
      <c r="M101" s="69"/>
      <c r="N101" s="57"/>
      <c r="AT101" s="69"/>
    </row>
    <row r="102" spans="1:46" s="70" customFormat="1" x14ac:dyDescent="0.3">
      <c r="A102" s="90" t="s">
        <v>81</v>
      </c>
      <c r="B102" s="2">
        <f>'GERAL 2022'!H27</f>
        <v>14.184042553191489</v>
      </c>
      <c r="C102" s="88">
        <v>5</v>
      </c>
      <c r="D102" s="2">
        <f>B102/C102</f>
        <v>2.8368085106382979</v>
      </c>
      <c r="E102" s="88"/>
      <c r="F102" s="4"/>
      <c r="G102" s="142"/>
      <c r="H102" s="142"/>
      <c r="I102" s="142"/>
      <c r="J102" s="142"/>
      <c r="K102" s="142"/>
      <c r="L102" s="69"/>
      <c r="M102" s="11"/>
      <c r="N102" s="57"/>
      <c r="AT102" s="69"/>
    </row>
    <row r="103" spans="1:46" s="70" customFormat="1" x14ac:dyDescent="0.3">
      <c r="A103" s="81" t="s">
        <v>82</v>
      </c>
      <c r="B103" s="80"/>
      <c r="C103" s="82"/>
      <c r="D103" s="80"/>
      <c r="E103" s="82"/>
      <c r="F103" s="82"/>
      <c r="G103" s="11"/>
      <c r="H103" s="63"/>
      <c r="I103" s="142"/>
      <c r="J103" s="142"/>
      <c r="K103" s="142"/>
      <c r="L103" s="142"/>
      <c r="M103" s="142"/>
      <c r="N103" s="57"/>
      <c r="AT103" s="69"/>
    </row>
    <row r="104" spans="1:46" s="70" customFormat="1" x14ac:dyDescent="0.3">
      <c r="A104" s="90" t="s">
        <v>83</v>
      </c>
      <c r="B104" s="2"/>
      <c r="C104" s="88"/>
      <c r="D104" s="2"/>
      <c r="E104" s="88"/>
      <c r="F104" s="4"/>
      <c r="G104" s="142"/>
      <c r="H104" s="142"/>
      <c r="I104" s="142"/>
      <c r="J104" s="142"/>
      <c r="K104" s="142"/>
      <c r="L104" s="69"/>
      <c r="M104" s="11"/>
      <c r="N104" s="57"/>
      <c r="AT104" s="69"/>
    </row>
    <row r="105" spans="1:46" s="70" customFormat="1" x14ac:dyDescent="0.3">
      <c r="A105" s="81" t="s">
        <v>84</v>
      </c>
      <c r="B105" s="80">
        <f>'GERAL 2022'!J29</f>
        <v>119.02</v>
      </c>
      <c r="C105" s="82">
        <v>6</v>
      </c>
      <c r="D105" s="80">
        <f>B105/C105</f>
        <v>19.836666666666666</v>
      </c>
      <c r="E105" s="82"/>
      <c r="F105" s="82"/>
      <c r="G105" s="142"/>
      <c r="H105" s="142"/>
      <c r="I105" s="142"/>
      <c r="J105" s="142"/>
      <c r="K105" s="142"/>
      <c r="L105" s="142"/>
      <c r="M105" s="142"/>
      <c r="N105" s="57"/>
      <c r="AT105" s="69"/>
    </row>
    <row r="106" spans="1:46" s="70" customFormat="1" ht="14.4" thickBot="1" x14ac:dyDescent="0.35">
      <c r="A106" s="90" t="s">
        <v>85</v>
      </c>
      <c r="B106" s="2">
        <f>'GERAL 2022'!H29</f>
        <v>14.184042553191489</v>
      </c>
      <c r="C106" s="88">
        <v>5</v>
      </c>
      <c r="D106" s="2">
        <f>B106/C106</f>
        <v>2.8368085106382979</v>
      </c>
      <c r="E106" s="88"/>
      <c r="F106" s="4"/>
      <c r="G106" s="143"/>
      <c r="H106" s="143"/>
      <c r="I106" s="143"/>
      <c r="J106" s="143"/>
      <c r="K106" s="143"/>
      <c r="L106" s="69"/>
      <c r="M106" s="11"/>
      <c r="N106" s="57"/>
      <c r="AT106" s="69"/>
    </row>
    <row r="107" spans="1:46" s="70" customFormat="1" x14ac:dyDescent="0.3">
      <c r="A107" s="69"/>
      <c r="B107" s="69"/>
      <c r="C107" s="69"/>
      <c r="D107" s="69"/>
      <c r="E107" s="69"/>
      <c r="F107" s="69"/>
      <c r="G107" s="69"/>
      <c r="H107" s="69"/>
      <c r="I107" s="142"/>
      <c r="J107" s="142"/>
      <c r="K107" s="142"/>
      <c r="L107" s="142"/>
      <c r="M107" s="142"/>
      <c r="N107" s="57"/>
      <c r="AT107" s="69"/>
    </row>
    <row r="108" spans="1:46" s="70" customFormat="1" x14ac:dyDescent="0.3">
      <c r="A108" s="69"/>
      <c r="B108" s="69"/>
      <c r="C108" s="69"/>
      <c r="D108" s="69"/>
      <c r="E108" s="69"/>
      <c r="F108" s="69"/>
      <c r="G108" s="69"/>
      <c r="H108" s="69"/>
      <c r="I108" s="142"/>
      <c r="J108" s="142"/>
      <c r="K108" s="142"/>
      <c r="L108" s="142"/>
      <c r="M108" s="142"/>
      <c r="N108" s="57"/>
      <c r="AT108" s="69"/>
    </row>
    <row r="109" spans="1:46" s="70" customFormat="1" x14ac:dyDescent="0.3">
      <c r="A109" s="69"/>
      <c r="B109" s="69"/>
      <c r="C109" s="69"/>
      <c r="D109" s="69"/>
      <c r="E109" s="69"/>
      <c r="F109" s="69"/>
      <c r="G109" s="69"/>
      <c r="H109" s="69"/>
      <c r="I109" s="142"/>
      <c r="J109" s="142"/>
      <c r="K109" s="142"/>
      <c r="L109" s="142"/>
      <c r="M109" s="142"/>
      <c r="N109" s="57"/>
      <c r="AT109" s="69"/>
    </row>
    <row r="110" spans="1:46" s="70" customFormat="1" ht="14.4" thickBot="1" x14ac:dyDescent="0.35">
      <c r="A110" s="69"/>
      <c r="B110" s="69"/>
      <c r="C110" s="69"/>
      <c r="D110" s="69"/>
      <c r="E110" s="69"/>
      <c r="F110" s="69"/>
      <c r="G110" s="69"/>
      <c r="H110" s="69"/>
      <c r="I110" s="142"/>
      <c r="J110" s="142"/>
      <c r="K110" s="142"/>
      <c r="L110" s="143"/>
      <c r="M110" s="143"/>
      <c r="N110" s="143"/>
      <c r="AT110" s="69"/>
    </row>
    <row r="111" spans="1:46" s="70" customFormat="1" x14ac:dyDescent="0.3">
      <c r="A111" s="69"/>
      <c r="B111" s="69"/>
      <c r="C111" s="69"/>
      <c r="D111" s="69"/>
      <c r="E111" s="69"/>
      <c r="F111" s="69"/>
      <c r="G111" s="69"/>
      <c r="H111" s="69"/>
      <c r="I111" s="142"/>
      <c r="J111" s="142"/>
      <c r="K111" s="142"/>
      <c r="L111" s="69"/>
      <c r="M111" s="69"/>
      <c r="N111" s="69"/>
      <c r="AT111" s="69"/>
    </row>
    <row r="112" spans="1:46" s="70" customFormat="1" x14ac:dyDescent="0.3">
      <c r="A112" s="69"/>
      <c r="B112" s="69"/>
      <c r="C112" s="69"/>
      <c r="D112" s="69"/>
      <c r="E112" s="69"/>
      <c r="F112" s="69"/>
      <c r="G112" s="69"/>
      <c r="H112" s="69"/>
      <c r="I112" s="142"/>
      <c r="J112" s="142"/>
      <c r="K112" s="142"/>
      <c r="L112" s="69"/>
      <c r="M112" s="69"/>
      <c r="N112" s="69"/>
      <c r="AT112" s="69"/>
    </row>
    <row r="113" spans="1:46" s="70" customFormat="1" x14ac:dyDescent="0.3">
      <c r="A113" s="69"/>
      <c r="B113" s="69"/>
      <c r="C113" s="69"/>
      <c r="D113" s="69"/>
      <c r="E113" s="69"/>
      <c r="F113" s="69"/>
      <c r="G113" s="69"/>
      <c r="H113" s="69"/>
      <c r="I113" s="142"/>
      <c r="J113" s="142"/>
      <c r="K113" s="142"/>
      <c r="L113" s="69"/>
      <c r="M113" s="69"/>
      <c r="N113" s="69"/>
      <c r="AT113" s="69"/>
    </row>
    <row r="114" spans="1:46" s="70" customFormat="1" x14ac:dyDescent="0.3">
      <c r="A114" s="69"/>
      <c r="B114" s="69"/>
      <c r="C114" s="69"/>
      <c r="D114" s="69"/>
      <c r="E114" s="69"/>
      <c r="F114" s="69"/>
      <c r="G114" s="69"/>
      <c r="H114" s="69"/>
      <c r="I114" s="142"/>
      <c r="J114" s="142"/>
      <c r="K114" s="142"/>
      <c r="L114" s="69"/>
      <c r="M114" s="69"/>
      <c r="N114" s="69"/>
      <c r="AT114" s="69"/>
    </row>
    <row r="115" spans="1:46" s="70" customFormat="1" x14ac:dyDescent="0.3">
      <c r="A115" s="69"/>
      <c r="B115" s="69"/>
      <c r="C115" s="69"/>
      <c r="D115" s="69"/>
      <c r="E115" s="69"/>
      <c r="F115" s="69"/>
      <c r="G115" s="69"/>
      <c r="H115" s="69"/>
      <c r="I115" s="142"/>
      <c r="J115" s="142"/>
      <c r="K115" s="142"/>
      <c r="L115" s="69"/>
      <c r="M115" s="69"/>
      <c r="N115" s="69"/>
      <c r="AT115" s="69"/>
    </row>
    <row r="116" spans="1:46" s="70" customFormat="1" x14ac:dyDescent="0.3">
      <c r="A116" s="69"/>
      <c r="B116" s="69"/>
      <c r="C116" s="69"/>
      <c r="D116" s="69"/>
      <c r="E116" s="69"/>
      <c r="F116" s="69"/>
      <c r="G116" s="69"/>
      <c r="H116" s="69"/>
      <c r="I116" s="142"/>
      <c r="J116" s="142"/>
      <c r="K116" s="142"/>
      <c r="L116" s="69"/>
      <c r="M116" s="69"/>
      <c r="N116" s="69"/>
      <c r="AT116" s="69"/>
    </row>
    <row r="117" spans="1:46" s="70" customFormat="1" x14ac:dyDescent="0.3">
      <c r="A117" s="69"/>
      <c r="B117" s="69"/>
      <c r="C117" s="69"/>
      <c r="D117" s="69"/>
      <c r="E117" s="69"/>
      <c r="F117" s="69"/>
      <c r="G117" s="69"/>
      <c r="H117" s="69"/>
      <c r="I117" s="142"/>
      <c r="J117" s="142"/>
      <c r="K117" s="142"/>
      <c r="L117" s="69"/>
      <c r="M117" s="69"/>
      <c r="N117" s="69"/>
      <c r="AT117" s="69"/>
    </row>
    <row r="118" spans="1:46" s="70" customFormat="1" x14ac:dyDescent="0.3">
      <c r="A118" s="69"/>
      <c r="B118" s="69"/>
      <c r="C118" s="69"/>
      <c r="D118" s="69"/>
      <c r="E118" s="69"/>
      <c r="F118" s="69"/>
      <c r="G118" s="69"/>
      <c r="H118" s="69"/>
      <c r="I118" s="142"/>
      <c r="J118" s="142"/>
      <c r="K118" s="142"/>
      <c r="L118" s="69"/>
      <c r="M118" s="69"/>
      <c r="N118" s="69"/>
      <c r="AT118" s="69"/>
    </row>
    <row r="119" spans="1:46" s="70" customFormat="1" x14ac:dyDescent="0.3">
      <c r="A119" s="69"/>
      <c r="B119" s="69"/>
      <c r="C119" s="69"/>
      <c r="D119" s="69"/>
      <c r="E119" s="69"/>
      <c r="F119" s="69"/>
      <c r="G119" s="69"/>
      <c r="H119" s="69"/>
      <c r="I119" s="142"/>
      <c r="J119" s="142"/>
      <c r="K119" s="142"/>
      <c r="L119" s="69"/>
      <c r="M119" s="69"/>
      <c r="N119" s="69"/>
      <c r="AT119" s="69"/>
    </row>
    <row r="120" spans="1:46" s="70" customFormat="1" x14ac:dyDescent="0.3">
      <c r="A120" s="69"/>
      <c r="B120" s="69"/>
      <c r="C120" s="69"/>
      <c r="D120" s="69"/>
      <c r="E120" s="69"/>
      <c r="F120" s="69"/>
      <c r="G120" s="69"/>
      <c r="H120" s="69"/>
      <c r="I120" s="142"/>
      <c r="J120" s="142"/>
      <c r="K120" s="142"/>
      <c r="L120" s="69"/>
      <c r="M120" s="69"/>
      <c r="N120" s="69"/>
      <c r="AT120" s="69"/>
    </row>
    <row r="121" spans="1:46" s="70" customFormat="1" x14ac:dyDescent="0.3">
      <c r="A121" s="69"/>
      <c r="B121" s="69"/>
      <c r="C121" s="69"/>
      <c r="D121" s="69"/>
      <c r="E121" s="69"/>
      <c r="F121" s="69"/>
      <c r="G121" s="69"/>
      <c r="H121" s="69"/>
      <c r="I121" s="142"/>
      <c r="J121" s="142"/>
      <c r="K121" s="142"/>
      <c r="L121" s="69"/>
      <c r="M121" s="69"/>
      <c r="N121" s="69"/>
      <c r="AT121" s="69"/>
    </row>
    <row r="122" spans="1:46" s="70" customFormat="1" x14ac:dyDescent="0.3">
      <c r="A122" s="69"/>
      <c r="B122" s="69"/>
      <c r="C122" s="69"/>
      <c r="D122" s="69"/>
      <c r="E122" s="69"/>
      <c r="F122" s="69"/>
      <c r="G122" s="69"/>
      <c r="H122" s="69"/>
      <c r="I122" s="142"/>
      <c r="J122" s="142"/>
      <c r="K122" s="142"/>
      <c r="L122" s="69"/>
      <c r="M122" s="69"/>
      <c r="N122" s="69"/>
      <c r="AT122" s="69"/>
    </row>
    <row r="123" spans="1:46" s="70" customFormat="1" x14ac:dyDescent="0.3">
      <c r="A123" s="69"/>
      <c r="B123" s="69"/>
      <c r="C123" s="69"/>
      <c r="D123" s="69"/>
      <c r="E123" s="69"/>
      <c r="F123" s="69"/>
      <c r="G123" s="69"/>
      <c r="H123" s="69"/>
      <c r="I123" s="142"/>
      <c r="J123" s="142"/>
      <c r="K123" s="142"/>
      <c r="L123" s="69"/>
      <c r="M123" s="69"/>
      <c r="N123" s="69"/>
      <c r="AT123" s="69"/>
    </row>
    <row r="124" spans="1:46" s="70" customFormat="1" x14ac:dyDescent="0.3">
      <c r="A124" s="69"/>
      <c r="B124" s="69"/>
      <c r="C124" s="69"/>
      <c r="D124" s="69"/>
      <c r="E124" s="69"/>
      <c r="F124" s="69"/>
      <c r="G124" s="69"/>
      <c r="H124" s="69"/>
      <c r="I124" s="142"/>
      <c r="J124" s="142"/>
      <c r="K124" s="142"/>
      <c r="L124" s="69"/>
      <c r="M124" s="69"/>
      <c r="N124" s="69"/>
      <c r="AT124" s="69"/>
    </row>
    <row r="125" spans="1:46" s="70" customFormat="1" x14ac:dyDescent="0.3">
      <c r="A125" s="69"/>
      <c r="B125" s="69"/>
      <c r="C125" s="69"/>
      <c r="D125" s="69"/>
      <c r="E125" s="69"/>
      <c r="F125" s="69"/>
      <c r="G125" s="69"/>
      <c r="H125" s="69"/>
      <c r="I125" s="142"/>
      <c r="J125" s="142"/>
      <c r="K125" s="142"/>
      <c r="L125" s="69"/>
      <c r="M125" s="69"/>
      <c r="N125" s="69"/>
      <c r="AT125" s="69"/>
    </row>
    <row r="126" spans="1:46" s="70" customFormat="1" x14ac:dyDescent="0.3">
      <c r="A126" s="69"/>
      <c r="B126" s="69"/>
      <c r="C126" s="69"/>
      <c r="D126" s="69"/>
      <c r="E126" s="69"/>
      <c r="F126" s="69"/>
      <c r="G126" s="69"/>
      <c r="H126" s="69"/>
      <c r="I126" s="142"/>
      <c r="J126" s="142"/>
      <c r="K126" s="142"/>
      <c r="L126" s="69"/>
      <c r="M126" s="69"/>
      <c r="N126" s="69"/>
      <c r="AT126" s="69"/>
    </row>
    <row r="127" spans="1:46" s="70" customFormat="1" x14ac:dyDescent="0.3">
      <c r="A127" s="69"/>
      <c r="B127" s="69"/>
      <c r="C127" s="69"/>
      <c r="D127" s="69"/>
      <c r="E127" s="69"/>
      <c r="F127" s="69"/>
      <c r="G127" s="69"/>
      <c r="H127" s="69"/>
      <c r="I127" s="142"/>
      <c r="J127" s="142"/>
      <c r="K127" s="142"/>
      <c r="L127" s="69"/>
      <c r="M127" s="69"/>
      <c r="N127" s="69"/>
      <c r="AT127" s="69"/>
    </row>
    <row r="128" spans="1:46" s="70" customFormat="1" x14ac:dyDescent="0.3">
      <c r="A128" s="69"/>
      <c r="B128" s="69"/>
      <c r="C128" s="69"/>
      <c r="D128" s="69"/>
      <c r="E128" s="69"/>
      <c r="F128" s="69"/>
      <c r="G128" s="69"/>
      <c r="H128" s="69"/>
      <c r="I128" s="142"/>
      <c r="J128" s="142"/>
      <c r="K128" s="142"/>
      <c r="L128" s="69"/>
      <c r="M128" s="69"/>
      <c r="N128" s="69"/>
      <c r="AT128" s="69"/>
    </row>
    <row r="129" spans="1:46" s="70" customFormat="1" x14ac:dyDescent="0.3">
      <c r="A129" s="69"/>
      <c r="B129" s="69"/>
      <c r="C129" s="69"/>
      <c r="D129" s="69"/>
      <c r="E129" s="69"/>
      <c r="F129" s="69"/>
      <c r="G129" s="69"/>
      <c r="H129" s="69"/>
      <c r="I129" s="142"/>
      <c r="J129" s="142"/>
      <c r="K129" s="142"/>
      <c r="L129" s="69"/>
      <c r="M129" s="69"/>
      <c r="N129" s="69"/>
      <c r="AT129" s="69"/>
    </row>
    <row r="130" spans="1:46" s="70" customFormat="1" x14ac:dyDescent="0.3">
      <c r="A130" s="69"/>
      <c r="B130" s="69"/>
      <c r="C130" s="69"/>
      <c r="D130" s="69"/>
      <c r="E130" s="69"/>
      <c r="F130" s="69"/>
      <c r="G130" s="69"/>
      <c r="H130" s="69"/>
      <c r="I130" s="142"/>
      <c r="J130" s="142"/>
      <c r="K130" s="142"/>
      <c r="L130" s="69"/>
      <c r="M130" s="69"/>
      <c r="N130" s="69"/>
      <c r="AT130" s="69"/>
    </row>
    <row r="131" spans="1:46" s="70" customFormat="1" x14ac:dyDescent="0.3">
      <c r="A131" s="69"/>
      <c r="B131" s="69"/>
      <c r="C131" s="69"/>
      <c r="D131" s="69"/>
      <c r="E131" s="69"/>
      <c r="F131" s="69"/>
      <c r="G131" s="69"/>
      <c r="H131" s="69"/>
      <c r="I131" s="142"/>
      <c r="J131" s="142"/>
      <c r="K131" s="142"/>
      <c r="L131" s="69"/>
      <c r="M131" s="69"/>
      <c r="N131" s="69"/>
      <c r="AT131" s="69"/>
    </row>
    <row r="132" spans="1:46" s="70" customFormat="1" x14ac:dyDescent="0.3">
      <c r="A132" s="69"/>
      <c r="B132" s="69"/>
      <c r="C132" s="69"/>
      <c r="D132" s="69"/>
      <c r="E132" s="69"/>
      <c r="F132" s="69"/>
      <c r="G132" s="69"/>
      <c r="H132" s="69"/>
      <c r="I132" s="142"/>
      <c r="J132" s="142"/>
      <c r="K132" s="142"/>
      <c r="L132" s="144"/>
      <c r="M132" s="69"/>
      <c r="N132" s="69"/>
      <c r="AT132" s="69"/>
    </row>
    <row r="133" spans="1:46" s="70" customFormat="1" x14ac:dyDescent="0.3">
      <c r="A133" s="69"/>
      <c r="B133" s="69"/>
      <c r="C133" s="69"/>
      <c r="D133" s="69"/>
      <c r="E133" s="69"/>
      <c r="F133" s="69"/>
      <c r="G133" s="69"/>
      <c r="H133" s="69"/>
      <c r="I133" s="142"/>
      <c r="J133" s="142"/>
      <c r="K133" s="142"/>
      <c r="L133" s="144"/>
      <c r="M133" s="69"/>
      <c r="N133" s="69"/>
      <c r="AT133" s="69"/>
    </row>
    <row r="134" spans="1:46" s="70" customFormat="1" x14ac:dyDescent="0.3">
      <c r="A134" s="69"/>
      <c r="B134" s="69"/>
      <c r="C134" s="69"/>
      <c r="D134" s="69"/>
      <c r="E134" s="69"/>
      <c r="F134" s="69"/>
      <c r="G134" s="69"/>
      <c r="H134" s="69"/>
      <c r="I134" s="142"/>
      <c r="J134" s="142"/>
      <c r="K134" s="142"/>
      <c r="L134" s="144"/>
      <c r="M134" s="69"/>
      <c r="AT134" s="69"/>
    </row>
    <row r="135" spans="1:46" s="70" customFormat="1" x14ac:dyDescent="0.3">
      <c r="A135" s="69"/>
      <c r="B135" s="69"/>
      <c r="C135" s="69"/>
      <c r="D135" s="69"/>
      <c r="E135" s="69"/>
      <c r="F135" s="69"/>
      <c r="I135" s="142"/>
      <c r="J135" s="142"/>
      <c r="K135" s="142"/>
      <c r="L135" s="144"/>
      <c r="M135" s="69"/>
      <c r="AT135" s="69"/>
    </row>
    <row r="136" spans="1:46" s="70" customFormat="1" x14ac:dyDescent="0.3">
      <c r="I136" s="142"/>
      <c r="J136" s="142"/>
      <c r="K136" s="142"/>
      <c r="L136" s="144"/>
      <c r="M136" s="69"/>
      <c r="AT136" s="69"/>
    </row>
    <row r="137" spans="1:46" s="70" customFormat="1" x14ac:dyDescent="0.3">
      <c r="I137" s="142"/>
      <c r="J137" s="142"/>
      <c r="K137" s="142"/>
      <c r="L137" s="144"/>
      <c r="M137" s="144"/>
      <c r="AT137" s="69"/>
    </row>
    <row r="138" spans="1:46" s="70" customFormat="1" x14ac:dyDescent="0.3">
      <c r="I138" s="142"/>
      <c r="J138" s="142"/>
      <c r="K138" s="142"/>
      <c r="L138" s="144"/>
      <c r="M138" s="144"/>
      <c r="AT138" s="69"/>
    </row>
    <row r="139" spans="1:46" s="70" customFormat="1" x14ac:dyDescent="0.3">
      <c r="I139" s="142"/>
      <c r="J139" s="142"/>
      <c r="K139" s="142"/>
      <c r="L139" s="144"/>
      <c r="M139" s="144"/>
      <c r="AT139" s="69"/>
    </row>
    <row r="140" spans="1:46" s="70" customFormat="1" x14ac:dyDescent="0.3">
      <c r="I140" s="142"/>
      <c r="J140" s="142"/>
      <c r="K140" s="142"/>
      <c r="L140" s="144"/>
      <c r="M140" s="144"/>
      <c r="AT140" s="69"/>
    </row>
    <row r="141" spans="1:46" s="70" customFormat="1" x14ac:dyDescent="0.3">
      <c r="I141" s="142"/>
      <c r="J141" s="142"/>
      <c r="K141" s="142"/>
      <c r="L141" s="144"/>
      <c r="M141" s="144"/>
      <c r="AT141" s="69"/>
    </row>
    <row r="142" spans="1:46" s="70" customFormat="1" x14ac:dyDescent="0.3">
      <c r="I142" s="142"/>
      <c r="J142" s="142"/>
      <c r="K142" s="142"/>
      <c r="L142" s="144"/>
      <c r="M142" s="144"/>
      <c r="AT142" s="69"/>
    </row>
    <row r="143" spans="1:46" s="70" customFormat="1" x14ac:dyDescent="0.3">
      <c r="I143" s="142"/>
      <c r="J143" s="142"/>
      <c r="K143" s="142"/>
      <c r="L143" s="144"/>
      <c r="M143" s="144"/>
      <c r="AT143" s="69"/>
    </row>
    <row r="144" spans="1:46" s="70" customFormat="1" x14ac:dyDescent="0.3">
      <c r="I144" s="142"/>
      <c r="J144" s="142"/>
      <c r="K144" s="142"/>
      <c r="L144" s="144"/>
      <c r="M144" s="144"/>
      <c r="AT144" s="69"/>
    </row>
    <row r="145" spans="9:46" s="70" customFormat="1" x14ac:dyDescent="0.3">
      <c r="I145" s="142"/>
      <c r="J145" s="142"/>
      <c r="K145" s="142"/>
      <c r="L145" s="144"/>
      <c r="M145" s="144"/>
      <c r="AT145" s="69"/>
    </row>
    <row r="146" spans="9:46" s="70" customFormat="1" x14ac:dyDescent="0.3">
      <c r="I146" s="142"/>
      <c r="J146" s="142"/>
      <c r="K146" s="142"/>
      <c r="L146" s="144"/>
      <c r="M146" s="144"/>
      <c r="AT146" s="69"/>
    </row>
    <row r="147" spans="9:46" s="70" customFormat="1" x14ac:dyDescent="0.3">
      <c r="I147" s="142"/>
      <c r="J147" s="142"/>
      <c r="K147" s="142"/>
      <c r="L147" s="144"/>
      <c r="M147" s="144"/>
      <c r="AT147" s="69"/>
    </row>
    <row r="148" spans="9:46" s="70" customFormat="1" x14ac:dyDescent="0.3">
      <c r="I148" s="142"/>
      <c r="J148" s="142"/>
      <c r="K148" s="142"/>
      <c r="L148" s="144"/>
      <c r="M148" s="144"/>
      <c r="AT148" s="69"/>
    </row>
    <row r="149" spans="9:46" s="70" customFormat="1" x14ac:dyDescent="0.3">
      <c r="I149" s="142"/>
      <c r="J149" s="142"/>
      <c r="K149" s="142"/>
      <c r="L149" s="144"/>
      <c r="M149" s="144"/>
      <c r="AT149" s="69"/>
    </row>
    <row r="150" spans="9:46" s="70" customFormat="1" x14ac:dyDescent="0.3">
      <c r="I150" s="142"/>
      <c r="J150" s="142"/>
      <c r="K150" s="142"/>
      <c r="L150" s="144"/>
      <c r="M150" s="144"/>
      <c r="AT150" s="69"/>
    </row>
    <row r="151" spans="9:46" s="70" customFormat="1" x14ac:dyDescent="0.3">
      <c r="I151" s="142"/>
      <c r="J151" s="142"/>
      <c r="K151" s="142"/>
      <c r="L151" s="144"/>
      <c r="M151" s="144"/>
      <c r="AT151" s="69"/>
    </row>
    <row r="152" spans="9:46" s="70" customFormat="1" x14ac:dyDescent="0.3">
      <c r="I152" s="142"/>
      <c r="J152" s="142"/>
      <c r="K152" s="142"/>
      <c r="L152" s="144"/>
      <c r="M152" s="144"/>
      <c r="AT152" s="69"/>
    </row>
    <row r="153" spans="9:46" s="70" customFormat="1" x14ac:dyDescent="0.3">
      <c r="I153" s="142"/>
      <c r="J153" s="142"/>
      <c r="K153" s="142"/>
      <c r="L153" s="144"/>
      <c r="M153" s="144"/>
      <c r="AT153" s="69"/>
    </row>
    <row r="154" spans="9:46" s="70" customFormat="1" x14ac:dyDescent="0.3">
      <c r="I154" s="142"/>
      <c r="J154" s="142"/>
      <c r="K154" s="142"/>
      <c r="L154" s="144"/>
      <c r="M154" s="144"/>
      <c r="AT154" s="69"/>
    </row>
    <row r="155" spans="9:46" s="70" customFormat="1" x14ac:dyDescent="0.3">
      <c r="I155" s="142"/>
      <c r="J155" s="142"/>
      <c r="K155" s="142"/>
      <c r="L155" s="144"/>
      <c r="M155" s="144"/>
      <c r="AT155" s="69"/>
    </row>
    <row r="156" spans="9:46" s="70" customFormat="1" x14ac:dyDescent="0.3">
      <c r="I156" s="142"/>
      <c r="J156" s="142"/>
      <c r="K156" s="142"/>
      <c r="L156" s="144"/>
      <c r="M156" s="144"/>
      <c r="AT156" s="69"/>
    </row>
    <row r="157" spans="9:46" s="70" customFormat="1" x14ac:dyDescent="0.3">
      <c r="I157" s="142"/>
      <c r="J157" s="142"/>
      <c r="K157" s="142"/>
      <c r="L157" s="144"/>
      <c r="M157" s="144"/>
      <c r="AT157" s="69"/>
    </row>
    <row r="158" spans="9:46" s="70" customFormat="1" x14ac:dyDescent="0.3">
      <c r="I158" s="142"/>
      <c r="J158" s="142"/>
      <c r="K158" s="142"/>
      <c r="L158" s="144"/>
      <c r="M158" s="144"/>
      <c r="AT158" s="69"/>
    </row>
    <row r="159" spans="9:46" s="70" customFormat="1" x14ac:dyDescent="0.3">
      <c r="I159" s="142"/>
      <c r="J159" s="142"/>
      <c r="K159" s="142"/>
      <c r="L159" s="144"/>
      <c r="M159" s="144"/>
      <c r="AT159" s="69"/>
    </row>
    <row r="160" spans="9:46" s="70" customFormat="1" x14ac:dyDescent="0.3">
      <c r="I160" s="142"/>
      <c r="J160" s="142"/>
      <c r="K160" s="142"/>
      <c r="L160" s="144"/>
      <c r="M160" s="144"/>
      <c r="AT160" s="69"/>
    </row>
    <row r="161" spans="9:46" s="70" customFormat="1" x14ac:dyDescent="0.3">
      <c r="I161" s="142"/>
      <c r="J161" s="142"/>
      <c r="K161" s="142"/>
      <c r="L161" s="144"/>
      <c r="M161" s="144"/>
      <c r="AT161" s="69"/>
    </row>
    <row r="162" spans="9:46" s="70" customFormat="1" x14ac:dyDescent="0.3">
      <c r="I162" s="142"/>
      <c r="J162" s="142"/>
      <c r="K162" s="142"/>
      <c r="L162" s="144"/>
      <c r="M162" s="144"/>
      <c r="AT162" s="69"/>
    </row>
    <row r="163" spans="9:46" s="70" customFormat="1" x14ac:dyDescent="0.3">
      <c r="I163" s="142"/>
      <c r="J163" s="142"/>
      <c r="K163" s="142"/>
      <c r="L163" s="144"/>
      <c r="M163" s="144"/>
      <c r="AT163" s="69"/>
    </row>
    <row r="164" spans="9:46" s="70" customFormat="1" x14ac:dyDescent="0.3">
      <c r="I164" s="142"/>
      <c r="J164" s="142"/>
      <c r="K164" s="142"/>
      <c r="L164" s="144"/>
      <c r="M164" s="144"/>
      <c r="AT164" s="69"/>
    </row>
    <row r="165" spans="9:46" s="70" customFormat="1" x14ac:dyDescent="0.3">
      <c r="I165" s="142"/>
      <c r="J165" s="142"/>
      <c r="K165" s="142"/>
      <c r="L165" s="144"/>
      <c r="M165" s="144"/>
      <c r="AT165" s="69"/>
    </row>
    <row r="166" spans="9:46" s="70" customFormat="1" x14ac:dyDescent="0.3">
      <c r="I166" s="142"/>
      <c r="J166" s="142"/>
      <c r="K166" s="142"/>
      <c r="L166" s="144"/>
      <c r="M166" s="144"/>
      <c r="AT166" s="69"/>
    </row>
    <row r="167" spans="9:46" s="70" customFormat="1" x14ac:dyDescent="0.3">
      <c r="I167" s="142"/>
      <c r="J167" s="142"/>
      <c r="K167" s="142"/>
      <c r="L167" s="144"/>
      <c r="M167" s="144"/>
      <c r="AT167" s="69"/>
    </row>
    <row r="168" spans="9:46" s="70" customFormat="1" x14ac:dyDescent="0.3">
      <c r="I168" s="142"/>
      <c r="J168" s="142"/>
      <c r="K168" s="142"/>
      <c r="L168" s="144"/>
      <c r="M168" s="144"/>
      <c r="AT168" s="69"/>
    </row>
    <row r="169" spans="9:46" s="70" customFormat="1" x14ac:dyDescent="0.3">
      <c r="I169" s="142"/>
      <c r="J169" s="142"/>
      <c r="K169" s="142"/>
      <c r="L169" s="144"/>
      <c r="M169" s="144"/>
      <c r="AT169" s="69"/>
    </row>
    <row r="170" spans="9:46" s="70" customFormat="1" x14ac:dyDescent="0.3">
      <c r="I170" s="142"/>
      <c r="J170" s="142"/>
      <c r="K170" s="142"/>
      <c r="L170" s="144"/>
      <c r="M170" s="144"/>
      <c r="AT170" s="69"/>
    </row>
    <row r="171" spans="9:46" s="70" customFormat="1" x14ac:dyDescent="0.3">
      <c r="I171" s="142"/>
      <c r="J171" s="142"/>
      <c r="K171" s="142"/>
      <c r="L171" s="144"/>
      <c r="M171" s="144"/>
      <c r="AT171" s="69"/>
    </row>
    <row r="172" spans="9:46" s="70" customFormat="1" x14ac:dyDescent="0.3">
      <c r="I172" s="142"/>
      <c r="J172" s="142"/>
      <c r="K172" s="142"/>
      <c r="L172" s="144"/>
      <c r="M172" s="144"/>
      <c r="AT172" s="69"/>
    </row>
    <row r="173" spans="9:46" s="70" customFormat="1" x14ac:dyDescent="0.3">
      <c r="I173" s="142"/>
      <c r="J173" s="142"/>
      <c r="K173" s="142"/>
      <c r="L173" s="144"/>
      <c r="M173" s="144"/>
      <c r="AT173" s="69"/>
    </row>
    <row r="174" spans="9:46" s="70" customFormat="1" x14ac:dyDescent="0.3">
      <c r="I174" s="142"/>
      <c r="J174" s="142"/>
      <c r="K174" s="142"/>
      <c r="L174" s="144"/>
      <c r="M174" s="144"/>
      <c r="AT174" s="69"/>
    </row>
    <row r="175" spans="9:46" s="70" customFormat="1" x14ac:dyDescent="0.3">
      <c r="I175" s="142"/>
      <c r="J175" s="142"/>
      <c r="K175" s="142"/>
      <c r="L175" s="144"/>
      <c r="M175" s="144"/>
      <c r="AT175" s="69"/>
    </row>
    <row r="176" spans="9:46" s="70" customFormat="1" x14ac:dyDescent="0.3">
      <c r="I176" s="142"/>
      <c r="J176" s="142"/>
      <c r="K176" s="142"/>
      <c r="L176" s="144"/>
      <c r="M176" s="144"/>
      <c r="AT176" s="69"/>
    </row>
    <row r="177" spans="1:47" s="70" customFormat="1" x14ac:dyDescent="0.3">
      <c r="I177" s="142"/>
      <c r="J177" s="142"/>
      <c r="K177" s="142"/>
      <c r="L177" s="144"/>
      <c r="M177" s="144"/>
      <c r="AT177" s="69"/>
    </row>
    <row r="178" spans="1:47" s="70" customFormat="1" x14ac:dyDescent="0.3">
      <c r="I178" s="142"/>
      <c r="J178" s="142"/>
      <c r="K178" s="142"/>
      <c r="L178" s="144"/>
      <c r="M178" s="144"/>
      <c r="AT178" s="69"/>
    </row>
    <row r="179" spans="1:47" s="70" customFormat="1" x14ac:dyDescent="0.3">
      <c r="I179" s="142"/>
      <c r="J179" s="142"/>
      <c r="K179" s="142"/>
      <c r="L179" s="144"/>
      <c r="M179" s="144"/>
      <c r="AT179" s="69"/>
    </row>
    <row r="180" spans="1:47" s="70" customFormat="1" x14ac:dyDescent="0.3">
      <c r="I180" s="142"/>
      <c r="J180" s="142"/>
      <c r="K180" s="142"/>
      <c r="L180" s="144"/>
      <c r="M180" s="144"/>
      <c r="AT180" s="69"/>
    </row>
    <row r="181" spans="1:47" s="70" customFormat="1" x14ac:dyDescent="0.3">
      <c r="I181" s="142"/>
      <c r="J181" s="142"/>
      <c r="K181" s="142"/>
      <c r="L181" s="144"/>
      <c r="M181" s="144"/>
      <c r="AT181" s="69"/>
    </row>
    <row r="182" spans="1:47" s="70" customFormat="1" x14ac:dyDescent="0.3">
      <c r="I182" s="142"/>
      <c r="J182" s="142"/>
      <c r="K182" s="142"/>
      <c r="L182" s="144"/>
      <c r="M182" s="144"/>
      <c r="AT182" s="69"/>
    </row>
    <row r="183" spans="1:47" s="70" customFormat="1" x14ac:dyDescent="0.3">
      <c r="I183" s="142"/>
      <c r="J183" s="142"/>
      <c r="K183" s="142"/>
      <c r="L183" s="144"/>
      <c r="M183" s="144"/>
      <c r="AT183" s="69"/>
    </row>
    <row r="184" spans="1:47" s="70" customFormat="1" x14ac:dyDescent="0.3">
      <c r="I184" s="142"/>
      <c r="J184" s="142"/>
      <c r="K184" s="142"/>
      <c r="L184" s="144"/>
      <c r="M184" s="144"/>
      <c r="AT184" s="69"/>
    </row>
    <row r="185" spans="1:47" s="70" customFormat="1" x14ac:dyDescent="0.3">
      <c r="I185" s="142"/>
      <c r="J185" s="142"/>
      <c r="K185" s="142"/>
      <c r="L185" s="144"/>
      <c r="M185" s="144"/>
      <c r="AT185" s="69"/>
    </row>
    <row r="186" spans="1:47" s="70" customFormat="1" x14ac:dyDescent="0.3">
      <c r="I186" s="142"/>
      <c r="J186" s="142"/>
      <c r="K186" s="142"/>
      <c r="L186" s="144"/>
      <c r="M186" s="144"/>
      <c r="AT186" s="69"/>
    </row>
    <row r="187" spans="1:47" s="70" customFormat="1" x14ac:dyDescent="0.3">
      <c r="I187" s="142"/>
      <c r="J187" s="142"/>
      <c r="K187" s="142"/>
      <c r="L187" s="144"/>
      <c r="M187" s="144"/>
      <c r="AT187" s="69"/>
    </row>
    <row r="188" spans="1:47" s="70" customFormat="1" x14ac:dyDescent="0.3">
      <c r="I188" s="142"/>
      <c r="J188" s="142"/>
      <c r="K188" s="142"/>
      <c r="L188" s="144"/>
      <c r="M188" s="144"/>
      <c r="AT188" s="69"/>
    </row>
    <row r="189" spans="1:47" s="70" customFormat="1" x14ac:dyDescent="0.3">
      <c r="I189" s="142"/>
      <c r="J189" s="142"/>
      <c r="K189" s="142"/>
      <c r="L189" s="144"/>
      <c r="M189" s="144"/>
      <c r="AT189" s="69"/>
    </row>
    <row r="190" spans="1:47" s="145" customFormat="1" x14ac:dyDescent="0.3">
      <c r="A190" s="70"/>
      <c r="B190" s="70"/>
      <c r="C190" s="70"/>
      <c r="D190" s="70"/>
      <c r="E190" s="70"/>
      <c r="F190" s="70"/>
      <c r="G190" s="70"/>
      <c r="H190" s="70"/>
      <c r="I190" s="142"/>
      <c r="J190" s="142"/>
      <c r="K190" s="142"/>
      <c r="L190" s="144"/>
      <c r="M190" s="144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69"/>
      <c r="AU190" s="70"/>
    </row>
    <row r="191" spans="1:47" s="145" customFormat="1" x14ac:dyDescent="0.3">
      <c r="A191" s="70"/>
      <c r="B191" s="70"/>
      <c r="C191" s="70"/>
      <c r="D191" s="70"/>
      <c r="E191" s="70"/>
      <c r="F191" s="70"/>
      <c r="G191" s="70"/>
      <c r="H191" s="70"/>
      <c r="I191" s="142"/>
      <c r="J191" s="142"/>
      <c r="K191" s="142"/>
      <c r="L191" s="144"/>
      <c r="M191" s="144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69"/>
      <c r="AU191" s="70"/>
    </row>
    <row r="192" spans="1:47" s="145" customFormat="1" x14ac:dyDescent="0.3">
      <c r="A192" s="70"/>
      <c r="B192" s="70"/>
      <c r="C192" s="70"/>
      <c r="D192" s="70"/>
      <c r="E192" s="70"/>
      <c r="F192" s="70"/>
      <c r="G192" s="70"/>
      <c r="H192" s="70"/>
      <c r="I192" s="142"/>
      <c r="J192" s="142"/>
      <c r="K192" s="142"/>
      <c r="L192" s="144"/>
      <c r="M192" s="144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69"/>
      <c r="AU192" s="70"/>
    </row>
    <row r="193" spans="1:47" s="145" customFormat="1" x14ac:dyDescent="0.3">
      <c r="A193" s="70"/>
      <c r="B193" s="70"/>
      <c r="C193" s="70"/>
      <c r="D193" s="70"/>
      <c r="E193" s="70"/>
      <c r="F193" s="70"/>
      <c r="G193" s="70"/>
      <c r="H193" s="70"/>
      <c r="I193" s="142"/>
      <c r="J193" s="142"/>
      <c r="K193" s="142"/>
      <c r="L193" s="144"/>
      <c r="M193" s="144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69"/>
      <c r="AU193" s="70"/>
    </row>
    <row r="194" spans="1:47" s="145" customFormat="1" x14ac:dyDescent="0.3">
      <c r="A194" s="70"/>
      <c r="B194" s="70"/>
      <c r="C194" s="70"/>
      <c r="D194" s="70"/>
      <c r="E194" s="70"/>
      <c r="F194" s="70"/>
      <c r="G194" s="70"/>
      <c r="H194" s="70"/>
      <c r="I194" s="142"/>
      <c r="J194" s="142"/>
      <c r="K194" s="142"/>
      <c r="L194" s="144"/>
      <c r="M194" s="144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69"/>
      <c r="AU194" s="70"/>
    </row>
    <row r="195" spans="1:47" s="145" customFormat="1" x14ac:dyDescent="0.3">
      <c r="A195" s="70"/>
      <c r="B195" s="70"/>
      <c r="C195" s="70"/>
      <c r="D195" s="70"/>
      <c r="E195" s="70"/>
      <c r="F195" s="70"/>
      <c r="G195" s="70"/>
      <c r="H195" s="70"/>
      <c r="I195" s="142"/>
      <c r="J195" s="142"/>
      <c r="K195" s="142"/>
      <c r="L195" s="144"/>
      <c r="M195" s="144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69"/>
      <c r="AU195" s="70"/>
    </row>
    <row r="196" spans="1:47" s="145" customFormat="1" x14ac:dyDescent="0.3">
      <c r="A196" s="70"/>
      <c r="B196" s="70"/>
      <c r="C196" s="70"/>
      <c r="D196" s="70"/>
      <c r="E196" s="70"/>
      <c r="F196" s="70"/>
      <c r="G196" s="70"/>
      <c r="H196" s="70"/>
      <c r="I196" s="142"/>
      <c r="J196" s="142"/>
      <c r="K196" s="142"/>
      <c r="L196" s="144"/>
      <c r="M196" s="144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69"/>
      <c r="AU196" s="70"/>
    </row>
    <row r="197" spans="1:47" s="145" customFormat="1" x14ac:dyDescent="0.3">
      <c r="A197" s="70"/>
      <c r="B197" s="70"/>
      <c r="C197" s="70"/>
      <c r="D197" s="70"/>
      <c r="E197" s="70"/>
      <c r="F197" s="70"/>
      <c r="G197" s="70"/>
      <c r="H197" s="70"/>
      <c r="I197" s="142"/>
      <c r="J197" s="142"/>
      <c r="K197" s="142"/>
      <c r="L197" s="144"/>
      <c r="M197" s="144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69"/>
      <c r="AU197" s="70"/>
    </row>
    <row r="198" spans="1:47" s="145" customFormat="1" x14ac:dyDescent="0.3">
      <c r="A198" s="70"/>
      <c r="B198" s="70"/>
      <c r="C198" s="70"/>
      <c r="D198" s="70"/>
      <c r="E198" s="70"/>
      <c r="F198" s="70"/>
      <c r="G198" s="70"/>
      <c r="H198" s="70"/>
      <c r="I198" s="142"/>
      <c r="J198" s="142"/>
      <c r="K198" s="142"/>
      <c r="L198" s="144"/>
      <c r="M198" s="144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69"/>
      <c r="AU198" s="70"/>
    </row>
    <row r="199" spans="1:47" s="145" customFormat="1" x14ac:dyDescent="0.3">
      <c r="A199" s="70"/>
      <c r="B199" s="70"/>
      <c r="C199" s="70"/>
      <c r="D199" s="70"/>
      <c r="E199" s="70"/>
      <c r="F199" s="70"/>
      <c r="G199" s="70"/>
      <c r="H199" s="70"/>
      <c r="I199" s="142"/>
      <c r="J199" s="142"/>
      <c r="K199" s="142"/>
      <c r="L199" s="144"/>
      <c r="M199" s="144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69"/>
      <c r="AU199" s="70"/>
    </row>
    <row r="200" spans="1:47" s="145" customFormat="1" x14ac:dyDescent="0.3">
      <c r="A200" s="70"/>
      <c r="B200" s="70"/>
      <c r="C200" s="70"/>
      <c r="D200" s="70"/>
      <c r="E200" s="70"/>
      <c r="F200" s="70"/>
      <c r="G200" s="70"/>
      <c r="H200" s="70"/>
      <c r="I200" s="142"/>
      <c r="J200" s="142"/>
      <c r="K200" s="142"/>
      <c r="L200" s="144"/>
      <c r="M200" s="144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69"/>
      <c r="AU200" s="70"/>
    </row>
    <row r="201" spans="1:47" s="145" customFormat="1" x14ac:dyDescent="0.3">
      <c r="A201" s="70"/>
      <c r="B201" s="70"/>
      <c r="C201" s="70"/>
      <c r="D201" s="70"/>
      <c r="E201" s="70"/>
      <c r="F201" s="70"/>
      <c r="G201" s="70"/>
      <c r="H201" s="70"/>
      <c r="I201" s="142"/>
      <c r="J201" s="142"/>
      <c r="K201" s="142"/>
      <c r="L201" s="144"/>
      <c r="M201" s="144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69"/>
      <c r="AU201" s="70"/>
    </row>
    <row r="202" spans="1:47" s="145" customFormat="1" x14ac:dyDescent="0.3">
      <c r="A202" s="70"/>
      <c r="B202" s="70"/>
      <c r="C202" s="70"/>
      <c r="D202" s="70"/>
      <c r="E202" s="70"/>
      <c r="F202" s="70"/>
      <c r="G202" s="70"/>
      <c r="H202" s="70"/>
      <c r="I202" s="146"/>
      <c r="J202" s="146"/>
      <c r="K202" s="146"/>
      <c r="L202" s="144"/>
      <c r="M202" s="144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69"/>
      <c r="AU202" s="70"/>
    </row>
    <row r="203" spans="1:47" s="145" customFormat="1" x14ac:dyDescent="0.3">
      <c r="A203" s="70"/>
      <c r="B203" s="70"/>
      <c r="C203" s="70"/>
      <c r="D203" s="70"/>
      <c r="E203" s="70"/>
      <c r="F203" s="70"/>
      <c r="G203" s="70"/>
      <c r="H203" s="70"/>
      <c r="I203" s="146"/>
      <c r="J203" s="146"/>
      <c r="K203" s="146"/>
      <c r="L203" s="144"/>
      <c r="M203" s="144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69"/>
      <c r="AU203" s="70"/>
    </row>
    <row r="204" spans="1:47" s="145" customFormat="1" x14ac:dyDescent="0.3">
      <c r="A204" s="70"/>
      <c r="B204" s="70"/>
      <c r="C204" s="70"/>
      <c r="D204" s="70"/>
      <c r="E204" s="70"/>
      <c r="F204" s="70"/>
      <c r="G204" s="70"/>
      <c r="H204" s="70"/>
      <c r="I204" s="146"/>
      <c r="J204" s="146"/>
      <c r="K204" s="146"/>
      <c r="L204" s="144"/>
      <c r="M204" s="144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69"/>
      <c r="AU204" s="70"/>
    </row>
    <row r="205" spans="1:47" s="145" customFormat="1" x14ac:dyDescent="0.3">
      <c r="A205" s="70"/>
      <c r="B205" s="70"/>
      <c r="C205" s="70"/>
      <c r="D205" s="70"/>
      <c r="E205" s="70"/>
      <c r="F205" s="70"/>
      <c r="G205" s="70"/>
      <c r="H205" s="70"/>
      <c r="I205" s="146"/>
      <c r="J205" s="146"/>
      <c r="K205" s="146"/>
      <c r="L205" s="144"/>
      <c r="M205" s="144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69"/>
      <c r="AU205" s="70"/>
    </row>
    <row r="206" spans="1:47" s="145" customFormat="1" x14ac:dyDescent="0.3">
      <c r="A206" s="70"/>
      <c r="B206" s="70"/>
      <c r="C206" s="70"/>
      <c r="D206" s="70"/>
      <c r="E206" s="70"/>
      <c r="F206" s="70"/>
      <c r="G206" s="70"/>
      <c r="H206" s="70"/>
      <c r="I206" s="146"/>
      <c r="J206" s="146"/>
      <c r="K206" s="146"/>
      <c r="L206" s="144"/>
      <c r="M206" s="144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69"/>
      <c r="AU206" s="70"/>
    </row>
    <row r="207" spans="1:47" x14ac:dyDescent="0.3">
      <c r="A207" s="70"/>
      <c r="B207" s="70"/>
      <c r="C207" s="70"/>
      <c r="D207" s="70"/>
      <c r="E207" s="70"/>
      <c r="F207" s="70"/>
      <c r="G207" s="70"/>
      <c r="H207" s="70"/>
      <c r="I207" s="146"/>
      <c r="J207" s="146"/>
      <c r="K207" s="146"/>
      <c r="L207" s="144"/>
      <c r="M207" s="144"/>
      <c r="N207" s="70"/>
      <c r="AT207" s="148"/>
      <c r="AU207" s="148"/>
    </row>
    <row r="208" spans="1:47" x14ac:dyDescent="0.3">
      <c r="A208" s="70"/>
      <c r="B208" s="70"/>
      <c r="C208" s="70"/>
      <c r="D208" s="70"/>
      <c r="E208" s="70"/>
      <c r="F208" s="70"/>
      <c r="G208" s="70"/>
      <c r="H208" s="70"/>
      <c r="I208" s="146"/>
      <c r="J208" s="146"/>
      <c r="K208" s="146"/>
      <c r="L208" s="144"/>
      <c r="M208" s="144"/>
      <c r="N208" s="70"/>
      <c r="AT208" s="148"/>
      <c r="AU208" s="148"/>
    </row>
    <row r="209" spans="1:47" x14ac:dyDescent="0.3">
      <c r="A209" s="70"/>
      <c r="B209" s="70"/>
      <c r="C209" s="70"/>
      <c r="D209" s="70"/>
      <c r="E209" s="70"/>
      <c r="F209" s="70"/>
      <c r="G209" s="70"/>
      <c r="H209" s="70"/>
      <c r="I209" s="146"/>
      <c r="J209" s="146"/>
      <c r="K209" s="146"/>
      <c r="L209" s="147"/>
      <c r="M209" s="144"/>
      <c r="N209" s="70"/>
      <c r="AT209" s="148"/>
      <c r="AU209" s="148"/>
    </row>
    <row r="210" spans="1:47" x14ac:dyDescent="0.3">
      <c r="A210" s="70"/>
      <c r="B210" s="70"/>
      <c r="C210" s="70"/>
      <c r="D210" s="70"/>
      <c r="E210" s="70"/>
      <c r="F210" s="70"/>
      <c r="G210" s="70"/>
      <c r="H210" s="70"/>
      <c r="I210" s="146"/>
      <c r="J210" s="146"/>
      <c r="K210" s="146"/>
      <c r="L210" s="147"/>
      <c r="M210" s="144"/>
      <c r="N210" s="70"/>
      <c r="AT210" s="148"/>
      <c r="AU210" s="148"/>
    </row>
    <row r="211" spans="1:47" x14ac:dyDescent="0.3">
      <c r="A211" s="70"/>
      <c r="B211" s="70"/>
      <c r="C211" s="70"/>
      <c r="D211" s="70"/>
      <c r="E211" s="70"/>
      <c r="F211" s="70"/>
      <c r="G211" s="70"/>
      <c r="H211" s="70"/>
      <c r="I211" s="146"/>
      <c r="J211" s="146"/>
      <c r="K211" s="146"/>
      <c r="L211" s="147"/>
      <c r="M211" s="144"/>
      <c r="N211" s="70"/>
      <c r="AT211" s="148"/>
      <c r="AU211" s="148"/>
    </row>
    <row r="212" spans="1:47" x14ac:dyDescent="0.3">
      <c r="A212" s="70"/>
      <c r="B212" s="70"/>
      <c r="C212" s="70"/>
      <c r="D212" s="70"/>
      <c r="E212" s="70"/>
      <c r="F212" s="70"/>
      <c r="G212" s="149"/>
      <c r="H212" s="149"/>
      <c r="I212" s="146"/>
      <c r="J212" s="146"/>
      <c r="K212" s="146"/>
      <c r="L212" s="147"/>
      <c r="M212" s="144"/>
      <c r="N212" s="149"/>
      <c r="AT212" s="148"/>
      <c r="AU212" s="148"/>
    </row>
    <row r="213" spans="1:47" x14ac:dyDescent="0.3">
      <c r="A213" s="149"/>
      <c r="B213" s="149"/>
      <c r="C213" s="149"/>
      <c r="D213" s="149"/>
      <c r="E213" s="149"/>
      <c r="F213" s="149"/>
      <c r="G213" s="149"/>
      <c r="H213" s="149"/>
      <c r="I213" s="146"/>
      <c r="J213" s="146"/>
      <c r="K213" s="146"/>
      <c r="L213" s="147"/>
      <c r="M213" s="144"/>
      <c r="N213" s="149"/>
      <c r="AT213" s="148"/>
      <c r="AU213" s="148"/>
    </row>
    <row r="214" spans="1:47" x14ac:dyDescent="0.3">
      <c r="A214" s="149"/>
      <c r="B214" s="149"/>
      <c r="C214" s="149"/>
      <c r="D214" s="149"/>
      <c r="E214" s="149"/>
      <c r="F214" s="149"/>
      <c r="G214" s="149"/>
      <c r="H214" s="149"/>
      <c r="I214" s="146"/>
      <c r="J214" s="146"/>
      <c r="K214" s="146"/>
      <c r="L214" s="147"/>
      <c r="M214" s="147"/>
      <c r="N214" s="149"/>
      <c r="AT214" s="148"/>
      <c r="AU214" s="148"/>
    </row>
    <row r="215" spans="1:47" x14ac:dyDescent="0.3">
      <c r="A215" s="149"/>
      <c r="B215" s="149"/>
      <c r="C215" s="149"/>
      <c r="D215" s="149"/>
      <c r="E215" s="149"/>
      <c r="F215" s="149"/>
      <c r="G215" s="149"/>
      <c r="H215" s="149"/>
      <c r="I215" s="146"/>
      <c r="J215" s="146"/>
      <c r="K215" s="146"/>
      <c r="L215" s="147"/>
      <c r="M215" s="147"/>
      <c r="N215" s="149"/>
      <c r="AT215" s="148"/>
      <c r="AU215" s="148"/>
    </row>
    <row r="216" spans="1:47" x14ac:dyDescent="0.3">
      <c r="A216" s="149"/>
      <c r="B216" s="149"/>
      <c r="C216" s="149"/>
      <c r="D216" s="149"/>
      <c r="E216" s="149"/>
      <c r="F216" s="149"/>
      <c r="G216" s="149"/>
      <c r="H216" s="149"/>
      <c r="I216" s="146"/>
      <c r="J216" s="146"/>
      <c r="K216" s="146"/>
      <c r="L216" s="147"/>
      <c r="M216" s="147"/>
      <c r="N216" s="149"/>
      <c r="AT216" s="148"/>
      <c r="AU216" s="148"/>
    </row>
    <row r="217" spans="1:47" x14ac:dyDescent="0.3">
      <c r="A217" s="149"/>
      <c r="B217" s="149"/>
      <c r="C217" s="149"/>
      <c r="D217" s="149"/>
      <c r="E217" s="149"/>
      <c r="F217" s="149"/>
      <c r="G217" s="149"/>
      <c r="H217" s="149"/>
      <c r="I217" s="146"/>
      <c r="J217" s="146"/>
      <c r="K217" s="146"/>
      <c r="L217" s="147"/>
      <c r="M217" s="147"/>
      <c r="N217" s="149"/>
      <c r="AT217" s="148"/>
      <c r="AU217" s="148"/>
    </row>
    <row r="218" spans="1:47" x14ac:dyDescent="0.3">
      <c r="A218" s="149"/>
      <c r="B218" s="149"/>
      <c r="C218" s="149"/>
      <c r="D218" s="149"/>
      <c r="E218" s="149"/>
      <c r="F218" s="149"/>
      <c r="G218" s="149"/>
      <c r="H218" s="149"/>
      <c r="I218" s="146"/>
      <c r="J218" s="146"/>
      <c r="K218" s="146"/>
      <c r="L218" s="147"/>
      <c r="M218" s="147"/>
      <c r="N218" s="149"/>
      <c r="AT218" s="148"/>
      <c r="AU218" s="148"/>
    </row>
    <row r="219" spans="1:47" x14ac:dyDescent="0.3">
      <c r="A219" s="149"/>
      <c r="B219" s="149"/>
      <c r="C219" s="149"/>
      <c r="D219" s="149"/>
      <c r="E219" s="149"/>
      <c r="F219" s="149"/>
      <c r="G219" s="149"/>
      <c r="H219" s="149"/>
      <c r="L219" s="147"/>
      <c r="M219" s="147"/>
      <c r="N219" s="149"/>
    </row>
    <row r="220" spans="1:47" x14ac:dyDescent="0.3">
      <c r="A220" s="149"/>
      <c r="B220" s="149"/>
      <c r="C220" s="149"/>
      <c r="D220" s="149"/>
      <c r="E220" s="149"/>
      <c r="F220" s="149"/>
      <c r="G220" s="149"/>
      <c r="H220" s="149"/>
      <c r="L220" s="147"/>
      <c r="M220" s="147"/>
      <c r="N220" s="14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69"/>
      <c r="AJ220" s="69"/>
      <c r="AK220" s="69"/>
      <c r="AL220" s="69"/>
      <c r="AM220" s="69"/>
      <c r="AN220" s="69"/>
      <c r="AO220" s="69"/>
      <c r="AP220" s="69"/>
      <c r="AQ220" s="69"/>
      <c r="AR220" s="69"/>
      <c r="AS220" s="69"/>
      <c r="AT220" s="148"/>
      <c r="AU220" s="148"/>
    </row>
    <row r="221" spans="1:47" x14ac:dyDescent="0.3">
      <c r="A221" s="149"/>
      <c r="B221" s="149"/>
      <c r="C221" s="149"/>
      <c r="D221" s="149"/>
      <c r="E221" s="149"/>
      <c r="F221" s="149"/>
      <c r="G221" s="149"/>
      <c r="H221" s="149"/>
      <c r="L221" s="147"/>
      <c r="M221" s="147"/>
      <c r="N221" s="149"/>
    </row>
    <row r="222" spans="1:47" x14ac:dyDescent="0.3">
      <c r="A222" s="149"/>
      <c r="B222" s="149"/>
      <c r="C222" s="149"/>
      <c r="D222" s="149"/>
      <c r="E222" s="149"/>
      <c r="F222" s="149"/>
      <c r="G222" s="149"/>
      <c r="H222" s="149"/>
      <c r="L222" s="147"/>
      <c r="M222" s="147"/>
      <c r="N222" s="149"/>
    </row>
    <row r="223" spans="1:47" x14ac:dyDescent="0.3">
      <c r="A223" s="149"/>
      <c r="B223" s="149"/>
      <c r="C223" s="149"/>
      <c r="D223" s="149"/>
      <c r="E223" s="149"/>
      <c r="F223" s="149"/>
      <c r="G223" s="149"/>
      <c r="H223" s="149"/>
      <c r="L223" s="147"/>
      <c r="M223" s="147"/>
      <c r="N223" s="149"/>
    </row>
    <row r="224" spans="1:47" x14ac:dyDescent="0.3">
      <c r="A224" s="149"/>
      <c r="B224" s="149"/>
      <c r="C224" s="149"/>
      <c r="D224" s="149"/>
      <c r="E224" s="149"/>
      <c r="F224" s="149"/>
      <c r="G224" s="149"/>
      <c r="H224" s="149"/>
      <c r="L224" s="147"/>
      <c r="M224" s="147"/>
    </row>
    <row r="225" spans="1:13" x14ac:dyDescent="0.3">
      <c r="A225" s="149"/>
      <c r="B225" s="149"/>
      <c r="C225" s="149"/>
      <c r="D225" s="149"/>
      <c r="E225" s="149"/>
      <c r="F225" s="149"/>
      <c r="G225" s="149"/>
      <c r="H225" s="149"/>
      <c r="L225" s="147"/>
      <c r="M225" s="147"/>
    </row>
    <row r="226" spans="1:13" x14ac:dyDescent="0.3">
      <c r="A226" s="149"/>
      <c r="B226" s="149"/>
      <c r="C226" s="149"/>
      <c r="D226" s="149"/>
      <c r="E226" s="149"/>
      <c r="F226" s="149"/>
      <c r="G226" s="149"/>
      <c r="H226" s="149"/>
      <c r="M226" s="147"/>
    </row>
    <row r="227" spans="1:13" x14ac:dyDescent="0.3">
      <c r="A227" s="149"/>
      <c r="B227" s="149"/>
      <c r="C227" s="149"/>
      <c r="D227" s="149"/>
      <c r="E227" s="149"/>
      <c r="F227" s="149"/>
      <c r="G227" s="149"/>
      <c r="H227" s="149"/>
      <c r="M227" s="147"/>
    </row>
    <row r="228" spans="1:13" x14ac:dyDescent="0.3">
      <c r="A228" s="149"/>
      <c r="B228" s="149"/>
      <c r="C228" s="149"/>
      <c r="D228" s="149"/>
      <c r="E228" s="149"/>
      <c r="F228" s="149"/>
      <c r="G228" s="149"/>
      <c r="H228" s="149"/>
      <c r="M228" s="147"/>
    </row>
    <row r="229" spans="1:13" x14ac:dyDescent="0.3">
      <c r="A229" s="149"/>
      <c r="B229" s="149"/>
      <c r="C229" s="149"/>
      <c r="D229" s="149"/>
      <c r="E229" s="149"/>
      <c r="F229" s="149"/>
      <c r="M229" s="147"/>
    </row>
    <row r="230" spans="1:13" x14ac:dyDescent="0.3">
      <c r="L230" s="148"/>
      <c r="M230" s="147"/>
    </row>
    <row r="232" spans="1:13" x14ac:dyDescent="0.3">
      <c r="I232" s="148"/>
      <c r="J232" s="148"/>
      <c r="K232" s="148"/>
    </row>
    <row r="1048564" spans="1:58" s="70" customFormat="1" x14ac:dyDescent="0.3">
      <c r="A1048564" s="148"/>
      <c r="B1048564" s="148"/>
      <c r="C1048564" s="148"/>
      <c r="D1048564" s="148"/>
      <c r="E1048564" s="148"/>
      <c r="F1048564" s="148"/>
      <c r="G1048564" s="148"/>
      <c r="H1048564" s="148"/>
      <c r="I1048564" s="150"/>
      <c r="J1048564" s="150"/>
      <c r="K1048564" s="150"/>
      <c r="L1048564" s="150"/>
      <c r="M1048564" s="150"/>
      <c r="N1048564" s="148"/>
      <c r="AT1048564" s="69"/>
      <c r="AU1048564" s="69"/>
      <c r="AV1048564" s="148"/>
      <c r="AW1048564" s="148"/>
      <c r="AX1048564" s="148"/>
      <c r="AY1048564" s="148"/>
      <c r="AZ1048564" s="148"/>
      <c r="BA1048564" s="148"/>
      <c r="BB1048564" s="148"/>
      <c r="BC1048564" s="148"/>
      <c r="BD1048564" s="148"/>
      <c r="BE1048564" s="148"/>
      <c r="BF1048564" s="148"/>
    </row>
    <row r="1048568" spans="1:58" x14ac:dyDescent="0.3">
      <c r="N1048568" s="57"/>
    </row>
  </sheetData>
  <mergeCells count="47">
    <mergeCell ref="L80:M80"/>
    <mergeCell ref="L73:M73"/>
    <mergeCell ref="L74:M74"/>
    <mergeCell ref="L75:M75"/>
    <mergeCell ref="L79:N79"/>
    <mergeCell ref="L76:M76"/>
    <mergeCell ref="L77:M77"/>
    <mergeCell ref="L78:M78"/>
    <mergeCell ref="L72:M72"/>
    <mergeCell ref="L59:M59"/>
    <mergeCell ref="L61:M61"/>
    <mergeCell ref="L62:M62"/>
    <mergeCell ref="L63:M63"/>
    <mergeCell ref="L65:M65"/>
    <mergeCell ref="L66:M66"/>
    <mergeCell ref="L67:M67"/>
    <mergeCell ref="L68:M68"/>
    <mergeCell ref="L69:M69"/>
    <mergeCell ref="L70:M70"/>
    <mergeCell ref="L71:M71"/>
    <mergeCell ref="L60:M60"/>
    <mergeCell ref="L64:M64"/>
    <mergeCell ref="L58:M58"/>
    <mergeCell ref="A45:N45"/>
    <mergeCell ref="D46:H46"/>
    <mergeCell ref="D47:H47"/>
    <mergeCell ref="A48:H48"/>
    <mergeCell ref="A49:N49"/>
    <mergeCell ref="A50:F50"/>
    <mergeCell ref="L50:N50"/>
    <mergeCell ref="L51:M51"/>
    <mergeCell ref="L52:M52"/>
    <mergeCell ref="L53:N54"/>
    <mergeCell ref="L55:N55"/>
    <mergeCell ref="L56:M56"/>
    <mergeCell ref="L57:M57"/>
    <mergeCell ref="A44:N44"/>
    <mergeCell ref="A1:N1"/>
    <mergeCell ref="A2:N2"/>
    <mergeCell ref="A8:B8"/>
    <mergeCell ref="A9:N9"/>
    <mergeCell ref="A38:B38"/>
    <mergeCell ref="A40:N40"/>
    <mergeCell ref="D41:H41"/>
    <mergeCell ref="D42:H42"/>
    <mergeCell ref="A43:H43"/>
    <mergeCell ref="L43:N43"/>
  </mergeCells>
  <pageMargins left="0" right="0" top="0" bottom="0" header="0.31496062992125984" footer="0.31496062992125984"/>
  <pageSetup paperSize="9" scale="1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E030-D10B-473F-B4D0-07E7A2F280D9}">
  <sheetPr>
    <pageSetUpPr fitToPage="1"/>
  </sheetPr>
  <dimension ref="A1:BF1048557"/>
  <sheetViews>
    <sheetView zoomScale="70" zoomScaleNormal="70" workbookViewId="0">
      <selection activeCell="H19" sqref="H19"/>
    </sheetView>
  </sheetViews>
  <sheetFormatPr defaultColWidth="9.109375" defaultRowHeight="13.8" x14ac:dyDescent="0.3"/>
  <cols>
    <col min="1" max="1" width="23.109375" style="148" customWidth="1"/>
    <col min="2" max="2" width="12" style="148" bestFit="1" customWidth="1"/>
    <col min="3" max="3" width="18" style="148" bestFit="1" customWidth="1"/>
    <col min="4" max="4" width="19" style="148" customWidth="1"/>
    <col min="5" max="5" width="18.44140625" style="148" customWidth="1"/>
    <col min="6" max="6" width="17.6640625" style="148" customWidth="1"/>
    <col min="7" max="8" width="14.109375" style="148" bestFit="1" customWidth="1"/>
    <col min="9" max="9" width="19.109375" style="150" bestFit="1" customWidth="1"/>
    <col min="10" max="10" width="17.109375" style="150" bestFit="1" customWidth="1"/>
    <col min="11" max="11" width="18" style="150" bestFit="1" customWidth="1"/>
    <col min="12" max="12" width="121.44140625" style="150" bestFit="1" customWidth="1"/>
    <col min="13" max="13" width="9.5546875" style="150" customWidth="1"/>
    <col min="14" max="14" width="17.5546875" style="148" bestFit="1" customWidth="1"/>
    <col min="15" max="15" width="10.5546875" style="70" bestFit="1" customWidth="1"/>
    <col min="16" max="45" width="9.109375" style="70"/>
    <col min="46" max="47" width="9.109375" style="69"/>
    <col min="48" max="16384" width="9.109375" style="148"/>
  </cols>
  <sheetData>
    <row r="1" spans="1:45" s="10" customFormat="1" ht="29.25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</row>
    <row r="2" spans="1:45" s="10" customFormat="1" ht="28.5" customHeight="1" x14ac:dyDescent="0.3">
      <c r="A2" s="538" t="s">
        <v>517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</row>
    <row r="3" spans="1:45" s="10" customFormat="1" ht="28.5" customHeight="1" x14ac:dyDescent="0.3">
      <c r="A3" s="83" t="s">
        <v>3</v>
      </c>
      <c r="B3" s="83" t="s">
        <v>0</v>
      </c>
      <c r="C3" s="84" t="s">
        <v>1</v>
      </c>
      <c r="D3" s="84" t="s">
        <v>68</v>
      </c>
      <c r="E3" s="84" t="s">
        <v>69</v>
      </c>
      <c r="F3" s="85" t="s">
        <v>2</v>
      </c>
      <c r="G3" s="84" t="s">
        <v>6</v>
      </c>
      <c r="H3" s="84" t="s">
        <v>7</v>
      </c>
      <c r="I3" s="84" t="s">
        <v>4</v>
      </c>
      <c r="J3" s="84" t="s">
        <v>5</v>
      </c>
      <c r="K3" s="84" t="s">
        <v>70</v>
      </c>
      <c r="L3" s="83" t="s">
        <v>59</v>
      </c>
      <c r="M3" s="86" t="s">
        <v>8</v>
      </c>
      <c r="N3" s="86" t="s">
        <v>10</v>
      </c>
    </row>
    <row r="4" spans="1:45" s="11" customFormat="1" x14ac:dyDescent="0.3">
      <c r="A4" s="90" t="s">
        <v>292</v>
      </c>
      <c r="B4" s="90">
        <v>6</v>
      </c>
      <c r="C4" s="5">
        <f>'GERAL 2022'!G8</f>
        <v>650</v>
      </c>
      <c r="D4" s="5">
        <v>0</v>
      </c>
      <c r="E4" s="5">
        <f>C4-D4</f>
        <v>650</v>
      </c>
      <c r="F4" s="2">
        <f>25</f>
        <v>25</v>
      </c>
      <c r="G4" s="2">
        <f>D55</f>
        <v>3.9715319148936166</v>
      </c>
      <c r="H4" s="2">
        <f>D54</f>
        <v>19.836666666666666</v>
      </c>
      <c r="I4" s="109">
        <f>SUM(E4:H4)</f>
        <v>698.8081985815603</v>
      </c>
      <c r="J4" s="2">
        <f>60%*(C4+F4)</f>
        <v>405</v>
      </c>
      <c r="K4" s="2">
        <f>I4-J4</f>
        <v>293.8081985815603</v>
      </c>
      <c r="L4" s="90" t="s">
        <v>319</v>
      </c>
      <c r="M4" s="3">
        <v>10</v>
      </c>
      <c r="N4" s="3">
        <v>11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</row>
    <row r="5" spans="1:45" s="69" customFormat="1" x14ac:dyDescent="0.3">
      <c r="A5" s="4" t="s">
        <v>291</v>
      </c>
      <c r="B5" s="4">
        <v>14</v>
      </c>
      <c r="C5" s="2">
        <f>'GERAL 2022'!G16</f>
        <v>550</v>
      </c>
      <c r="D5" s="2">
        <v>0</v>
      </c>
      <c r="E5" s="5">
        <f>C5-D5</f>
        <v>550</v>
      </c>
      <c r="F5" s="2">
        <v>0</v>
      </c>
      <c r="G5" s="2">
        <f>D71</f>
        <v>2.8368085106382979</v>
      </c>
      <c r="H5" s="2">
        <f>D70</f>
        <v>19.641666666666666</v>
      </c>
      <c r="I5" s="109">
        <f>SUM(E5:H5)</f>
        <v>572.47847517730497</v>
      </c>
      <c r="J5" s="2">
        <f>60%*(C5+F5)</f>
        <v>330</v>
      </c>
      <c r="K5" s="2">
        <f>I5-J5</f>
        <v>242.47847517730497</v>
      </c>
      <c r="L5" s="90" t="s">
        <v>331</v>
      </c>
      <c r="M5" s="3">
        <v>10</v>
      </c>
      <c r="N5" s="4">
        <v>11</v>
      </c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</row>
    <row r="6" spans="1:45" s="10" customFormat="1" x14ac:dyDescent="0.3">
      <c r="A6" s="518" t="s">
        <v>4</v>
      </c>
      <c r="B6" s="518"/>
      <c r="C6" s="109">
        <f>SUM(C4:C5)</f>
        <v>1200</v>
      </c>
      <c r="D6" s="109">
        <f t="shared" ref="D6:J6" si="0">SUM(D4:D5)</f>
        <v>0</v>
      </c>
      <c r="E6" s="109">
        <f t="shared" si="0"/>
        <v>1200</v>
      </c>
      <c r="F6" s="109">
        <f t="shared" si="0"/>
        <v>25</v>
      </c>
      <c r="G6" s="109">
        <f t="shared" si="0"/>
        <v>6.8083404255319149</v>
      </c>
      <c r="H6" s="109">
        <f t="shared" si="0"/>
        <v>39.478333333333332</v>
      </c>
      <c r="I6" s="109">
        <f t="shared" si="0"/>
        <v>1271.2866737588652</v>
      </c>
      <c r="J6" s="109">
        <f t="shared" si="0"/>
        <v>735</v>
      </c>
      <c r="K6" s="109">
        <f>SUM(K4:K5)</f>
        <v>536.28667375886528</v>
      </c>
      <c r="L6" s="90"/>
      <c r="M6" s="3"/>
      <c r="N6" s="3"/>
    </row>
    <row r="7" spans="1:45" s="11" customFormat="1" ht="29.25" customHeight="1" x14ac:dyDescent="0.3">
      <c r="A7" s="521" t="s">
        <v>316</v>
      </c>
      <c r="B7" s="521"/>
      <c r="C7" s="521"/>
      <c r="D7" s="521"/>
      <c r="E7" s="521"/>
      <c r="F7" s="521"/>
      <c r="G7" s="521"/>
      <c r="H7" s="521"/>
      <c r="I7" s="521"/>
      <c r="J7" s="521"/>
      <c r="K7" s="521"/>
      <c r="L7" s="521"/>
      <c r="M7" s="521"/>
      <c r="N7" s="521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 spans="1:45" s="11" customFormat="1" ht="27.6" x14ac:dyDescent="0.3">
      <c r="A8" s="83" t="s">
        <v>3</v>
      </c>
      <c r="B8" s="83" t="s">
        <v>0</v>
      </c>
      <c r="C8" s="84" t="s">
        <v>1</v>
      </c>
      <c r="D8" s="84" t="s">
        <v>68</v>
      </c>
      <c r="E8" s="84" t="s">
        <v>69</v>
      </c>
      <c r="F8" s="85" t="s">
        <v>2</v>
      </c>
      <c r="G8" s="84" t="s">
        <v>6</v>
      </c>
      <c r="H8" s="84" t="s">
        <v>7</v>
      </c>
      <c r="I8" s="84" t="s">
        <v>4</v>
      </c>
      <c r="J8" s="84" t="s">
        <v>5</v>
      </c>
      <c r="K8" s="84" t="s">
        <v>70</v>
      </c>
      <c r="L8" s="83" t="s">
        <v>59</v>
      </c>
      <c r="M8" s="86" t="s">
        <v>8</v>
      </c>
      <c r="N8" s="86" t="s">
        <v>10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</row>
    <row r="9" spans="1:45" s="15" customFormat="1" x14ac:dyDescent="0.3">
      <c r="A9" s="88"/>
      <c r="B9" s="90">
        <v>1</v>
      </c>
      <c r="C9" s="2"/>
      <c r="D9" s="2"/>
      <c r="E9" s="2"/>
      <c r="F9" s="5"/>
      <c r="G9" s="2"/>
      <c r="H9" s="2"/>
      <c r="I9" s="109"/>
      <c r="J9" s="2"/>
      <c r="K9" s="2"/>
      <c r="L9" s="5"/>
      <c r="M9" s="3"/>
      <c r="N9" s="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5" s="96" customFormat="1" x14ac:dyDescent="0.3">
      <c r="A10" s="90"/>
      <c r="B10" s="4">
        <v>2</v>
      </c>
      <c r="C10" s="5"/>
      <c r="D10" s="5"/>
      <c r="E10" s="5"/>
      <c r="F10" s="5"/>
      <c r="G10" s="5"/>
      <c r="H10" s="5"/>
      <c r="I10" s="109"/>
      <c r="J10" s="2">
        <f t="shared" ref="J10:J15" si="1">7%*I10</f>
        <v>0</v>
      </c>
      <c r="K10" s="2"/>
      <c r="L10" s="90"/>
      <c r="M10" s="3"/>
      <c r="N10" s="3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16"/>
      <c r="AK10" s="17"/>
      <c r="AL10" s="17"/>
      <c r="AM10" s="17"/>
      <c r="AN10" s="17"/>
    </row>
    <row r="11" spans="1:45" s="6" customFormat="1" x14ac:dyDescent="0.3">
      <c r="A11" s="90"/>
      <c r="B11" s="4">
        <v>3</v>
      </c>
      <c r="C11" s="5"/>
      <c r="D11" s="5"/>
      <c r="E11" s="5"/>
      <c r="F11" s="5"/>
      <c r="G11" s="5"/>
      <c r="H11" s="5"/>
      <c r="I11" s="109"/>
      <c r="J11" s="2">
        <f t="shared" si="1"/>
        <v>0</v>
      </c>
      <c r="K11" s="2"/>
      <c r="L11" s="90"/>
      <c r="M11" s="3"/>
      <c r="N11" s="3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</row>
    <row r="12" spans="1:45" s="15" customFormat="1" x14ac:dyDescent="0.3">
      <c r="A12" s="90" t="s">
        <v>263</v>
      </c>
      <c r="B12" s="90">
        <v>4</v>
      </c>
      <c r="C12" s="2">
        <f>'GERAL 2022'!G16</f>
        <v>550</v>
      </c>
      <c r="D12" s="2">
        <v>0</v>
      </c>
      <c r="E12" s="2">
        <f>C12-D12</f>
        <v>550</v>
      </c>
      <c r="F12" s="2">
        <v>50</v>
      </c>
      <c r="G12" s="2">
        <f>D51</f>
        <v>2.8368085106382979</v>
      </c>
      <c r="H12" s="2">
        <f>D50</f>
        <v>19.641666666666666</v>
      </c>
      <c r="I12" s="109">
        <f>SUM(E12:H12)</f>
        <v>622.47847517730497</v>
      </c>
      <c r="J12" s="2">
        <f>7%*I12</f>
        <v>43.573493262411354</v>
      </c>
      <c r="K12" s="2">
        <f>I12-J12</f>
        <v>578.9049819148936</v>
      </c>
      <c r="L12" s="90" t="s">
        <v>317</v>
      </c>
      <c r="M12" s="3">
        <v>10</v>
      </c>
      <c r="N12" s="4">
        <v>11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</row>
    <row r="13" spans="1:45" s="15" customFormat="1" x14ac:dyDescent="0.3">
      <c r="A13" s="90"/>
      <c r="B13" s="90">
        <v>5</v>
      </c>
      <c r="C13" s="2"/>
      <c r="D13" s="2"/>
      <c r="E13" s="2"/>
      <c r="F13" s="2"/>
      <c r="G13" s="2"/>
      <c r="H13" s="2"/>
      <c r="I13" s="109"/>
      <c r="J13" s="2">
        <f t="shared" si="1"/>
        <v>0</v>
      </c>
      <c r="K13" s="2"/>
      <c r="L13" s="90"/>
      <c r="M13" s="3"/>
      <c r="N13" s="3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</row>
    <row r="14" spans="1:45" s="11" customFormat="1" x14ac:dyDescent="0.3">
      <c r="A14" s="90" t="s">
        <v>292</v>
      </c>
      <c r="B14" s="90">
        <v>6</v>
      </c>
      <c r="C14" s="5">
        <v>0</v>
      </c>
      <c r="D14" s="5">
        <v>0</v>
      </c>
      <c r="E14" s="5">
        <f>C14-D14</f>
        <v>0</v>
      </c>
      <c r="F14" s="2">
        <v>0</v>
      </c>
      <c r="G14" s="2">
        <v>0</v>
      </c>
      <c r="H14" s="2">
        <v>0</v>
      </c>
      <c r="I14" s="109">
        <f>SUM(E14:H14)</f>
        <v>0</v>
      </c>
      <c r="J14" s="2">
        <f>7%*I14</f>
        <v>0</v>
      </c>
      <c r="K14" s="2">
        <f>I14-J14</f>
        <v>0</v>
      </c>
      <c r="L14" s="90" t="s">
        <v>108</v>
      </c>
      <c r="M14" s="3">
        <v>10</v>
      </c>
      <c r="N14" s="3">
        <v>11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</row>
    <row r="15" spans="1:45" s="15" customFormat="1" ht="14.25" customHeight="1" x14ac:dyDescent="0.3">
      <c r="A15" s="90"/>
      <c r="B15" s="90">
        <v>7</v>
      </c>
      <c r="C15" s="2"/>
      <c r="D15" s="2"/>
      <c r="E15" s="5"/>
      <c r="F15" s="2"/>
      <c r="G15" s="2"/>
      <c r="H15" s="2"/>
      <c r="I15" s="109">
        <v>0</v>
      </c>
      <c r="J15" s="2">
        <f t="shared" si="1"/>
        <v>0</v>
      </c>
      <c r="K15" s="2"/>
      <c r="L15" s="90"/>
      <c r="M15" s="3"/>
      <c r="N15" s="3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</row>
    <row r="16" spans="1:45" s="15" customFormat="1" x14ac:dyDescent="0.3">
      <c r="A16" s="90" t="s">
        <v>265</v>
      </c>
      <c r="B16" s="90">
        <v>8</v>
      </c>
      <c r="C16" s="2">
        <f>'GERAL 2022'!G10</f>
        <v>610</v>
      </c>
      <c r="D16" s="2">
        <v>0</v>
      </c>
      <c r="E16" s="5">
        <f>C16-D16</f>
        <v>610</v>
      </c>
      <c r="F16" s="2">
        <v>0</v>
      </c>
      <c r="G16" s="2">
        <f>D59</f>
        <v>2.8368085106382979</v>
      </c>
      <c r="H16" s="2">
        <f>D58</f>
        <v>19.754999999999999</v>
      </c>
      <c r="I16" s="109">
        <f>SUM(E16:H16)</f>
        <v>632.59180851063832</v>
      </c>
      <c r="J16" s="2">
        <f>7%*I16</f>
        <v>44.281426595744684</v>
      </c>
      <c r="K16" s="2">
        <f>I16-J16</f>
        <v>588.31038191489358</v>
      </c>
      <c r="L16" s="90" t="s">
        <v>318</v>
      </c>
      <c r="M16" s="3">
        <v>10</v>
      </c>
      <c r="N16" s="3">
        <v>11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</row>
    <row r="17" spans="1:45" s="15" customFormat="1" ht="14.25" customHeight="1" x14ac:dyDescent="0.3">
      <c r="A17" s="90" t="s">
        <v>246</v>
      </c>
      <c r="B17" s="90">
        <v>9</v>
      </c>
      <c r="C17" s="2">
        <f>'GERAL 2022'!G11</f>
        <v>580</v>
      </c>
      <c r="D17" s="2">
        <v>0</v>
      </c>
      <c r="E17" s="5">
        <f>C17-D17</f>
        <v>580</v>
      </c>
      <c r="F17" s="2">
        <f>50</f>
        <v>50</v>
      </c>
      <c r="G17" s="2">
        <f>D61</f>
        <v>2.8368085106382979</v>
      </c>
      <c r="H17" s="2">
        <f>D60</f>
        <v>19.696666666666669</v>
      </c>
      <c r="I17" s="109">
        <f>SUM(E17:H17)</f>
        <v>652.53347517730504</v>
      </c>
      <c r="J17" s="2">
        <f>7%*I17</f>
        <v>45.677343262411355</v>
      </c>
      <c r="K17" s="2">
        <f>I17-J17</f>
        <v>606.85613191489369</v>
      </c>
      <c r="L17" s="90" t="s">
        <v>320</v>
      </c>
      <c r="M17" s="125">
        <v>10</v>
      </c>
      <c r="N17" s="3">
        <v>11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</row>
    <row r="18" spans="1:45" s="69" customFormat="1" x14ac:dyDescent="0.3">
      <c r="A18" s="4"/>
      <c r="B18" s="4">
        <v>10</v>
      </c>
      <c r="C18" s="2"/>
      <c r="D18" s="2"/>
      <c r="E18" s="5"/>
      <c r="F18" s="2"/>
      <c r="G18" s="2"/>
      <c r="H18" s="2"/>
      <c r="I18" s="109"/>
      <c r="J18" s="2"/>
      <c r="K18" s="2"/>
      <c r="L18" s="5"/>
      <c r="M18" s="3"/>
      <c r="N18" s="4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</row>
    <row r="19" spans="1:45" s="69" customFormat="1" x14ac:dyDescent="0.3">
      <c r="A19" s="96" t="s">
        <v>321</v>
      </c>
      <c r="B19" s="4">
        <v>11</v>
      </c>
      <c r="C19" s="2">
        <f>'GERAL 2022'!G13</f>
        <v>550</v>
      </c>
      <c r="D19" s="2">
        <v>0</v>
      </c>
      <c r="E19" s="5">
        <f>C19-D19</f>
        <v>550</v>
      </c>
      <c r="F19" s="2">
        <v>0</v>
      </c>
      <c r="G19" s="2">
        <f>D65</f>
        <v>2.8368085106382979</v>
      </c>
      <c r="H19" s="2">
        <f>D64</f>
        <v>19.641666666666666</v>
      </c>
      <c r="I19" s="109">
        <f>SUM(E19:H19)</f>
        <v>572.47847517730497</v>
      </c>
      <c r="J19" s="2">
        <f t="shared" ref="J19:J34" si="2">7%*I19</f>
        <v>40.073493262411354</v>
      </c>
      <c r="K19" s="2">
        <f>I19-J19</f>
        <v>532.4049819148936</v>
      </c>
      <c r="L19" s="5" t="s">
        <v>323</v>
      </c>
      <c r="M19" s="3">
        <v>10</v>
      </c>
      <c r="N19" s="4">
        <v>11</v>
      </c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</row>
    <row r="20" spans="1:45" s="15" customFormat="1" x14ac:dyDescent="0.3">
      <c r="A20" s="90"/>
      <c r="B20" s="90">
        <v>12</v>
      </c>
      <c r="C20" s="2"/>
      <c r="D20" s="2"/>
      <c r="E20" s="5"/>
      <c r="F20" s="5"/>
      <c r="G20" s="5"/>
      <c r="H20" s="5"/>
      <c r="I20" s="109"/>
      <c r="J20" s="2">
        <f t="shared" si="2"/>
        <v>0</v>
      </c>
      <c r="K20" s="2"/>
      <c r="L20" s="90"/>
      <c r="M20" s="3"/>
      <c r="N20" s="3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</row>
    <row r="21" spans="1:45" s="69" customFormat="1" x14ac:dyDescent="0.3">
      <c r="A21" s="4"/>
      <c r="B21" s="4">
        <v>13</v>
      </c>
      <c r="C21" s="2"/>
      <c r="D21" s="2"/>
      <c r="E21" s="5"/>
      <c r="F21" s="2"/>
      <c r="G21" s="2"/>
      <c r="H21" s="2"/>
      <c r="I21" s="109"/>
      <c r="J21" s="2">
        <f t="shared" si="2"/>
        <v>0</v>
      </c>
      <c r="K21" s="2"/>
      <c r="L21" s="90"/>
      <c r="M21" s="3"/>
      <c r="N21" s="4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</row>
    <row r="22" spans="1:45" s="69" customFormat="1" x14ac:dyDescent="0.3">
      <c r="A22" s="4" t="s">
        <v>291</v>
      </c>
      <c r="B22" s="4">
        <v>14</v>
      </c>
      <c r="C22" s="2">
        <v>0</v>
      </c>
      <c r="D22" s="2">
        <v>0</v>
      </c>
      <c r="E22" s="5">
        <f>C22-D22</f>
        <v>0</v>
      </c>
      <c r="F22" s="2">
        <v>0</v>
      </c>
      <c r="G22" s="2">
        <v>0</v>
      </c>
      <c r="H22" s="2">
        <v>0</v>
      </c>
      <c r="I22" s="109">
        <f t="shared" ref="I22:I27" si="3">SUM(E22:H22)</f>
        <v>0</v>
      </c>
      <c r="J22" s="2">
        <f>7%*I22</f>
        <v>0</v>
      </c>
      <c r="K22" s="2">
        <f t="shared" ref="K22:K27" si="4">I22-J22</f>
        <v>0</v>
      </c>
      <c r="L22" s="90" t="s">
        <v>108</v>
      </c>
      <c r="M22" s="3">
        <v>10</v>
      </c>
      <c r="N22" s="4">
        <v>11</v>
      </c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</row>
    <row r="23" spans="1:45" s="6" customFormat="1" x14ac:dyDescent="0.3">
      <c r="A23" s="90" t="s">
        <v>272</v>
      </c>
      <c r="B23" s="90">
        <v>15</v>
      </c>
      <c r="C23" s="2">
        <f>'GERAL 2022'!G40</f>
        <v>650</v>
      </c>
      <c r="D23" s="2">
        <v>0</v>
      </c>
      <c r="E23" s="5">
        <f>C23-D23</f>
        <v>650</v>
      </c>
      <c r="F23" s="2">
        <v>25</v>
      </c>
      <c r="G23" s="2">
        <f>D73</f>
        <v>3.9715319148936166</v>
      </c>
      <c r="H23" s="2">
        <f>D72</f>
        <v>19.836666666666666</v>
      </c>
      <c r="I23" s="109">
        <f t="shared" si="3"/>
        <v>698.8081985815603</v>
      </c>
      <c r="J23" s="2">
        <f>7%*I23</f>
        <v>48.916573900709224</v>
      </c>
      <c r="K23" s="2">
        <f t="shared" si="4"/>
        <v>649.89162468085112</v>
      </c>
      <c r="L23" s="90" t="s">
        <v>318</v>
      </c>
      <c r="M23" s="125"/>
      <c r="N23" s="3"/>
      <c r="O23" s="9"/>
      <c r="P23" s="9"/>
      <c r="Q23" s="9"/>
      <c r="R23" s="9"/>
      <c r="S23" s="9"/>
      <c r="T23" s="9"/>
      <c r="U23" s="9"/>
      <c r="V23" s="9"/>
      <c r="W23" s="9"/>
    </row>
    <row r="24" spans="1:45" s="11" customFormat="1" x14ac:dyDescent="0.3">
      <c r="A24" s="3" t="s">
        <v>100</v>
      </c>
      <c r="B24" s="3">
        <v>16</v>
      </c>
      <c r="C24" s="2">
        <f>'GERAL 2022'!G18</f>
        <v>640</v>
      </c>
      <c r="D24" s="2">
        <f>10%*C24</f>
        <v>64</v>
      </c>
      <c r="E24" s="5">
        <f>C24-D24</f>
        <v>576</v>
      </c>
      <c r="F24" s="2">
        <f>60</f>
        <v>60</v>
      </c>
      <c r="G24" s="2">
        <f>D77</f>
        <v>2.8368085106382979</v>
      </c>
      <c r="H24" s="2">
        <v>0</v>
      </c>
      <c r="I24" s="109">
        <f t="shared" si="3"/>
        <v>638.83680851063832</v>
      </c>
      <c r="J24" s="2">
        <f t="shared" si="2"/>
        <v>44.718576595744686</v>
      </c>
      <c r="K24" s="2">
        <f t="shared" si="4"/>
        <v>594.11823191489361</v>
      </c>
      <c r="L24" s="90" t="s">
        <v>332</v>
      </c>
      <c r="M24" s="3">
        <v>10</v>
      </c>
      <c r="N24" s="3">
        <v>11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</row>
    <row r="25" spans="1:45" s="11" customFormat="1" x14ac:dyDescent="0.3">
      <c r="A25" s="88" t="s">
        <v>288</v>
      </c>
      <c r="B25" s="88">
        <v>17</v>
      </c>
      <c r="C25" s="2">
        <f>'GERAL 2022'!G19</f>
        <v>640</v>
      </c>
      <c r="D25" s="2">
        <f>10%*C25</f>
        <v>64</v>
      </c>
      <c r="E25" s="5">
        <f>(C25-D25)</f>
        <v>576</v>
      </c>
      <c r="F25" s="2">
        <v>0</v>
      </c>
      <c r="G25" s="2">
        <f>D79</f>
        <v>2.8368085106382979</v>
      </c>
      <c r="H25" s="2">
        <v>0</v>
      </c>
      <c r="I25" s="109">
        <f t="shared" si="3"/>
        <v>578.83680851063832</v>
      </c>
      <c r="J25" s="2">
        <f t="shared" si="2"/>
        <v>40.518576595744683</v>
      </c>
      <c r="K25" s="2">
        <f t="shared" si="4"/>
        <v>538.31823191489366</v>
      </c>
      <c r="L25" s="5" t="s">
        <v>333</v>
      </c>
      <c r="M25" s="3">
        <v>10</v>
      </c>
      <c r="N25" s="3">
        <v>11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</row>
    <row r="26" spans="1:45" s="11" customFormat="1" ht="16.5" customHeight="1" x14ac:dyDescent="0.3">
      <c r="A26" s="88" t="s">
        <v>103</v>
      </c>
      <c r="B26" s="90">
        <v>18</v>
      </c>
      <c r="C26" s="2">
        <f>'GERAL 2022'!G20</f>
        <v>650</v>
      </c>
      <c r="D26" s="2">
        <f>10%*C26</f>
        <v>65</v>
      </c>
      <c r="E26" s="5">
        <f>C26-D26</f>
        <v>585</v>
      </c>
      <c r="F26" s="2">
        <f>30</f>
        <v>30</v>
      </c>
      <c r="G26" s="2">
        <f>D81</f>
        <v>2.8368085106382979</v>
      </c>
      <c r="H26" s="2">
        <v>0</v>
      </c>
      <c r="I26" s="109">
        <f t="shared" si="3"/>
        <v>617.83680851063832</v>
      </c>
      <c r="J26" s="2">
        <f t="shared" si="2"/>
        <v>43.248576595744687</v>
      </c>
      <c r="K26" s="2">
        <f t="shared" si="4"/>
        <v>574.58823191489364</v>
      </c>
      <c r="L26" s="90" t="s">
        <v>332</v>
      </c>
      <c r="M26" s="3">
        <v>10</v>
      </c>
      <c r="N26" s="3">
        <v>11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</row>
    <row r="27" spans="1:45" s="11" customFormat="1" x14ac:dyDescent="0.3">
      <c r="A27" s="90" t="s">
        <v>142</v>
      </c>
      <c r="B27" s="90">
        <v>19</v>
      </c>
      <c r="C27" s="2">
        <f>'GERAL 2022'!G21</f>
        <v>600</v>
      </c>
      <c r="D27" s="2">
        <f>10%*C27</f>
        <v>60</v>
      </c>
      <c r="E27" s="5">
        <f>(C27-D27)</f>
        <v>540</v>
      </c>
      <c r="F27" s="2">
        <f>50</f>
        <v>50</v>
      </c>
      <c r="G27" s="2">
        <f>D83</f>
        <v>2.8368085106382979</v>
      </c>
      <c r="H27" s="2">
        <v>0</v>
      </c>
      <c r="I27" s="109">
        <f t="shared" si="3"/>
        <v>592.83680851063832</v>
      </c>
      <c r="J27" s="2">
        <f t="shared" si="2"/>
        <v>41.498576595744687</v>
      </c>
      <c r="K27" s="2">
        <f t="shared" si="4"/>
        <v>551.33823191489364</v>
      </c>
      <c r="L27" s="90" t="s">
        <v>334</v>
      </c>
      <c r="M27" s="3">
        <v>10</v>
      </c>
      <c r="N27" s="3">
        <v>11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</row>
    <row r="28" spans="1:45" s="11" customFormat="1" x14ac:dyDescent="0.3">
      <c r="A28" s="88"/>
      <c r="B28" s="90">
        <v>20</v>
      </c>
      <c r="C28" s="2"/>
      <c r="D28" s="2"/>
      <c r="E28" s="5"/>
      <c r="F28" s="2"/>
      <c r="G28" s="2"/>
      <c r="H28" s="2"/>
      <c r="I28" s="109"/>
      <c r="J28" s="2">
        <f t="shared" si="2"/>
        <v>0</v>
      </c>
      <c r="K28" s="2"/>
      <c r="L28" s="90"/>
      <c r="M28" s="125"/>
      <c r="N28" s="3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</row>
    <row r="29" spans="1:45" s="11" customFormat="1" ht="15" customHeight="1" x14ac:dyDescent="0.3">
      <c r="A29" s="88"/>
      <c r="B29" s="90">
        <v>21</v>
      </c>
      <c r="C29" s="2"/>
      <c r="D29" s="2"/>
      <c r="E29" s="5"/>
      <c r="F29" s="2"/>
      <c r="G29" s="2"/>
      <c r="H29" s="2"/>
      <c r="I29" s="109"/>
      <c r="J29" s="2">
        <f t="shared" si="2"/>
        <v>0</v>
      </c>
      <c r="K29" s="2"/>
      <c r="L29" s="90"/>
      <c r="M29" s="125"/>
      <c r="N29" s="3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</row>
    <row r="30" spans="1:45" s="11" customFormat="1" ht="15.75" customHeight="1" x14ac:dyDescent="0.3">
      <c r="A30" s="88"/>
      <c r="B30" s="90">
        <v>22</v>
      </c>
      <c r="C30" s="2"/>
      <c r="D30" s="2"/>
      <c r="E30" s="5"/>
      <c r="F30" s="2"/>
      <c r="G30" s="2"/>
      <c r="H30" s="2"/>
      <c r="I30" s="109"/>
      <c r="J30" s="2">
        <f t="shared" si="2"/>
        <v>0</v>
      </c>
      <c r="K30" s="2"/>
      <c r="L30" s="90"/>
      <c r="M30" s="125"/>
      <c r="N30" s="3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</row>
    <row r="31" spans="1:45" s="11" customFormat="1" x14ac:dyDescent="0.3">
      <c r="A31" s="88"/>
      <c r="B31" s="90">
        <v>23</v>
      </c>
      <c r="C31" s="2"/>
      <c r="D31" s="2"/>
      <c r="E31" s="5"/>
      <c r="F31" s="2"/>
      <c r="G31" s="2"/>
      <c r="H31" s="2"/>
      <c r="I31" s="109"/>
      <c r="J31" s="2">
        <f t="shared" si="2"/>
        <v>0</v>
      </c>
      <c r="K31" s="2"/>
      <c r="L31" s="90"/>
      <c r="M31" s="3"/>
      <c r="N31" s="3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</row>
    <row r="32" spans="1:45" s="6" customFormat="1" x14ac:dyDescent="0.3">
      <c r="A32" s="90" t="s">
        <v>267</v>
      </c>
      <c r="B32" s="90">
        <v>24</v>
      </c>
      <c r="C32" s="2">
        <f>'GERAL 2022'!G26</f>
        <v>650</v>
      </c>
      <c r="D32" s="2">
        <v>0</v>
      </c>
      <c r="E32" s="5">
        <f>C32-D32</f>
        <v>650</v>
      </c>
      <c r="F32" s="2">
        <v>50</v>
      </c>
      <c r="G32" s="2">
        <f>D93</f>
        <v>3.9715319148936166</v>
      </c>
      <c r="H32" s="2">
        <f>D92</f>
        <v>19.836666666666666</v>
      </c>
      <c r="I32" s="109">
        <f>SUM(E32:H32)</f>
        <v>723.8081985815603</v>
      </c>
      <c r="J32" s="2">
        <f>7%*I32</f>
        <v>50.666573900709224</v>
      </c>
      <c r="K32" s="2">
        <f>I32-J32</f>
        <v>673.14162468085112</v>
      </c>
      <c r="L32" s="90" t="s">
        <v>318</v>
      </c>
      <c r="M32" s="125"/>
      <c r="N32" s="3"/>
      <c r="O32" s="9"/>
      <c r="P32" s="9"/>
      <c r="Q32" s="9"/>
      <c r="R32" s="9"/>
      <c r="S32" s="9"/>
      <c r="T32" s="9"/>
      <c r="U32" s="9"/>
      <c r="V32" s="9"/>
      <c r="W32" s="9"/>
    </row>
    <row r="33" spans="1:58" s="11" customFormat="1" x14ac:dyDescent="0.3">
      <c r="A33" s="11" t="s">
        <v>87</v>
      </c>
      <c r="B33" s="90">
        <v>25</v>
      </c>
      <c r="C33" s="2">
        <f>'GERAL 2022'!G27</f>
        <v>704</v>
      </c>
      <c r="D33" s="2">
        <f>10%*C33</f>
        <v>70.400000000000006</v>
      </c>
      <c r="E33" s="5">
        <f>C33-D33</f>
        <v>633.6</v>
      </c>
      <c r="F33" s="2">
        <f>30</f>
        <v>30</v>
      </c>
      <c r="G33" s="2">
        <f>D95</f>
        <v>2.8368085106382979</v>
      </c>
      <c r="H33" s="2">
        <v>0</v>
      </c>
      <c r="I33" s="109">
        <f>SUM(E33:H33)</f>
        <v>666.43680851063834</v>
      </c>
      <c r="J33" s="2">
        <f t="shared" si="2"/>
        <v>46.650576595744688</v>
      </c>
      <c r="K33" s="2">
        <f>I33-J33</f>
        <v>619.78623191489362</v>
      </c>
      <c r="L33" s="71" t="s">
        <v>353</v>
      </c>
      <c r="M33" s="98">
        <v>10</v>
      </c>
      <c r="N33" s="3">
        <v>11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</row>
    <row r="34" spans="1:58" s="11" customFormat="1" x14ac:dyDescent="0.3">
      <c r="A34" s="88"/>
      <c r="B34" s="90">
        <v>26</v>
      </c>
      <c r="C34" s="2"/>
      <c r="D34" s="2"/>
      <c r="E34" s="5"/>
      <c r="F34" s="2"/>
      <c r="G34" s="2"/>
      <c r="H34" s="2"/>
      <c r="I34" s="109"/>
      <c r="J34" s="2">
        <f t="shared" si="2"/>
        <v>0</v>
      </c>
      <c r="K34" s="2"/>
      <c r="L34" s="90"/>
      <c r="M34" s="3"/>
      <c r="N34" s="3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</row>
    <row r="35" spans="1:58" s="11" customFormat="1" x14ac:dyDescent="0.3">
      <c r="A35" s="88"/>
      <c r="B35" s="90">
        <v>27</v>
      </c>
      <c r="C35" s="72"/>
      <c r="D35" s="72"/>
      <c r="E35" s="5"/>
      <c r="F35" s="72"/>
      <c r="G35" s="72"/>
      <c r="H35" s="72"/>
      <c r="I35" s="112"/>
      <c r="J35" s="2"/>
      <c r="K35" s="72"/>
      <c r="L35" s="71"/>
      <c r="M35" s="98"/>
      <c r="N35" s="3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</row>
    <row r="36" spans="1:58" s="11" customFormat="1" ht="14.4" thickBot="1" x14ac:dyDescent="0.35">
      <c r="A36" s="518" t="s">
        <v>4</v>
      </c>
      <c r="B36" s="518"/>
      <c r="C36" s="109">
        <f>SUM(C9:C35)</f>
        <v>6824</v>
      </c>
      <c r="D36" s="109">
        <f t="shared" ref="D36:K36" si="5">SUM(D9:D35)</f>
        <v>323.39999999999998</v>
      </c>
      <c r="E36" s="109">
        <f t="shared" si="5"/>
        <v>6500.6</v>
      </c>
      <c r="F36" s="109">
        <f t="shared" si="5"/>
        <v>345</v>
      </c>
      <c r="G36" s="109">
        <f t="shared" si="5"/>
        <v>33.474340425531921</v>
      </c>
      <c r="H36" s="109">
        <f t="shared" si="5"/>
        <v>118.40833333333333</v>
      </c>
      <c r="I36" s="109">
        <f t="shared" si="5"/>
        <v>6997.4826737588655</v>
      </c>
      <c r="J36" s="109">
        <f t="shared" si="5"/>
        <v>489.82378716312058</v>
      </c>
      <c r="K36" s="109">
        <f t="shared" si="5"/>
        <v>6507.6588865957456</v>
      </c>
      <c r="L36" s="90"/>
      <c r="M36" s="120"/>
      <c r="N36" s="155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</row>
    <row r="37" spans="1:58" s="11" customFormat="1" x14ac:dyDescent="0.3">
      <c r="A37" s="95"/>
      <c r="B37" s="95"/>
      <c r="C37" s="109"/>
      <c r="D37" s="109"/>
      <c r="E37" s="109"/>
      <c r="F37" s="109"/>
      <c r="G37" s="109"/>
      <c r="H37" s="109"/>
      <c r="I37" s="109"/>
      <c r="J37" s="109"/>
      <c r="K37" s="109"/>
      <c r="L37" s="90"/>
      <c r="M37" s="138"/>
      <c r="N37" s="3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</row>
    <row r="38" spans="1:58" s="11" customFormat="1" ht="28.5" customHeight="1" x14ac:dyDescent="0.3">
      <c r="A38" s="521" t="s">
        <v>177</v>
      </c>
      <c r="B38" s="521"/>
      <c r="C38" s="521"/>
      <c r="D38" s="521"/>
      <c r="E38" s="521"/>
      <c r="F38" s="521"/>
      <c r="G38" s="521"/>
      <c r="H38" s="521"/>
      <c r="I38" s="521"/>
      <c r="J38" s="521"/>
      <c r="K38" s="521"/>
      <c r="L38" s="521"/>
      <c r="M38" s="521"/>
      <c r="N38" s="521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58" s="11" customFormat="1" ht="25.5" customHeight="1" x14ac:dyDescent="0.3">
      <c r="A39" s="126" t="s">
        <v>173</v>
      </c>
      <c r="B39" s="126" t="s">
        <v>0</v>
      </c>
      <c r="C39" s="126" t="s">
        <v>174</v>
      </c>
      <c r="D39" s="521" t="s">
        <v>175</v>
      </c>
      <c r="E39" s="521"/>
      <c r="F39" s="521"/>
      <c r="G39" s="521"/>
      <c r="H39" s="521"/>
      <c r="I39" s="129" t="s">
        <v>4</v>
      </c>
      <c r="J39" s="128"/>
      <c r="K39" s="128"/>
      <c r="L39" s="127" t="s">
        <v>59</v>
      </c>
      <c r="M39" s="130" t="s">
        <v>8</v>
      </c>
      <c r="N39" s="130" t="s">
        <v>10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58" s="69" customFormat="1" ht="15" customHeight="1" x14ac:dyDescent="0.3">
      <c r="A40" s="4" t="s">
        <v>132</v>
      </c>
      <c r="B40" s="4">
        <v>1</v>
      </c>
      <c r="C40" s="5">
        <f>4977.59-1520</f>
        <v>3457.59</v>
      </c>
      <c r="D40" s="546" t="s">
        <v>284</v>
      </c>
      <c r="E40" s="547"/>
      <c r="F40" s="547"/>
      <c r="G40" s="547"/>
      <c r="H40" s="548"/>
      <c r="I40" s="5">
        <f>4977.59-1520</f>
        <v>3457.59</v>
      </c>
      <c r="J40" s="5"/>
      <c r="K40" s="5"/>
      <c r="L40" s="5" t="s">
        <v>283</v>
      </c>
      <c r="M40" s="140">
        <v>10</v>
      </c>
      <c r="N40" s="4">
        <v>11</v>
      </c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</row>
    <row r="41" spans="1:58" s="40" customFormat="1" ht="15" customHeight="1" thickBot="1" x14ac:dyDescent="0.35">
      <c r="A41" s="518" t="s">
        <v>4</v>
      </c>
      <c r="B41" s="518"/>
      <c r="C41" s="518"/>
      <c r="D41" s="518"/>
      <c r="E41" s="518"/>
      <c r="F41" s="518"/>
      <c r="G41" s="518"/>
      <c r="H41" s="518"/>
      <c r="I41" s="114">
        <f>SUM(I40:I40)</f>
        <v>3457.59</v>
      </c>
      <c r="J41" s="90"/>
      <c r="K41" s="90"/>
      <c r="L41" s="90"/>
      <c r="M41" s="90"/>
      <c r="N41" s="9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1"/>
      <c r="AS41" s="11"/>
      <c r="AT41" s="11"/>
      <c r="AU41" s="11"/>
    </row>
    <row r="42" spans="1:58" s="19" customFormat="1" x14ac:dyDescent="0.3">
      <c r="A42" s="536"/>
      <c r="B42" s="537"/>
      <c r="C42" s="537"/>
      <c r="D42" s="537"/>
      <c r="E42" s="537"/>
      <c r="F42" s="537"/>
      <c r="G42" s="537"/>
      <c r="H42" s="537"/>
      <c r="I42" s="537"/>
      <c r="J42" s="537"/>
      <c r="K42" s="537"/>
      <c r="L42" s="537"/>
      <c r="M42" s="524"/>
      <c r="N42" s="525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</row>
    <row r="43" spans="1:58" s="40" customFormat="1" x14ac:dyDescent="0.3">
      <c r="A43" s="543" t="s">
        <v>9</v>
      </c>
      <c r="B43" s="543"/>
      <c r="C43" s="543"/>
      <c r="D43" s="543"/>
      <c r="E43" s="543"/>
      <c r="F43" s="543"/>
      <c r="G43" s="46"/>
      <c r="H43" s="46"/>
      <c r="I43" s="46"/>
      <c r="J43" s="46"/>
      <c r="K43" s="46"/>
      <c r="L43" s="544" t="s">
        <v>315</v>
      </c>
      <c r="M43" s="544"/>
      <c r="N43" s="545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1"/>
      <c r="AS43" s="11"/>
      <c r="AT43" s="11"/>
      <c r="AU43" s="11"/>
    </row>
    <row r="44" spans="1:58" s="40" customFormat="1" x14ac:dyDescent="0.3">
      <c r="A44" s="76" t="s">
        <v>40</v>
      </c>
      <c r="B44" s="77">
        <f>'GERAL 2022'!J3</f>
        <v>118.43</v>
      </c>
      <c r="C44" s="78">
        <v>6</v>
      </c>
      <c r="D44" s="77">
        <f>B44/C44</f>
        <v>19.738333333333333</v>
      </c>
      <c r="E44" s="78"/>
      <c r="F44" s="77"/>
      <c r="G44" s="11"/>
      <c r="H44" s="11"/>
      <c r="I44" s="87"/>
      <c r="J44" s="87"/>
      <c r="K44" s="87"/>
      <c r="L44" s="527" t="s">
        <v>94</v>
      </c>
      <c r="M44" s="527"/>
      <c r="N44" s="49">
        <f>J36</f>
        <v>489.82378716312058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1"/>
      <c r="AS44" s="11"/>
      <c r="AT44" s="11"/>
      <c r="AU44" s="11"/>
    </row>
    <row r="45" spans="1:58" s="40" customFormat="1" x14ac:dyDescent="0.3">
      <c r="A45" s="12" t="s">
        <v>46</v>
      </c>
      <c r="B45" s="2">
        <f>'GERAL 2022'!H3</f>
        <v>14.184042553191489</v>
      </c>
      <c r="C45" s="88">
        <v>5</v>
      </c>
      <c r="D45" s="2">
        <f>B45/C45</f>
        <v>2.8368085106382979</v>
      </c>
      <c r="E45" s="88"/>
      <c r="F45" s="88"/>
      <c r="G45" s="11"/>
      <c r="H45" s="11"/>
      <c r="I45" s="14"/>
      <c r="J45" s="14"/>
      <c r="K45" s="14"/>
      <c r="L45" s="534" t="s">
        <v>260</v>
      </c>
      <c r="M45" s="535"/>
      <c r="N45" s="114">
        <f>J6</f>
        <v>735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1"/>
      <c r="AS45" s="11"/>
      <c r="AT45" s="11"/>
      <c r="AU45" s="11"/>
    </row>
    <row r="46" spans="1:58" s="40" customFormat="1" x14ac:dyDescent="0.3">
      <c r="A46" s="79" t="s">
        <v>29</v>
      </c>
      <c r="B46" s="80"/>
      <c r="C46" s="82"/>
      <c r="D46" s="80"/>
      <c r="E46" s="78"/>
      <c r="F46" s="77"/>
      <c r="G46" s="11"/>
      <c r="H46" s="11"/>
      <c r="I46" s="14"/>
      <c r="J46" s="14"/>
      <c r="K46" s="14"/>
      <c r="L46" s="520"/>
      <c r="M46" s="520"/>
      <c r="N46" s="52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1"/>
      <c r="AS46" s="11"/>
      <c r="AT46" s="11"/>
      <c r="AU46" s="11"/>
    </row>
    <row r="47" spans="1:58" s="40" customFormat="1" x14ac:dyDescent="0.3">
      <c r="A47" s="12" t="s">
        <v>30</v>
      </c>
      <c r="B47" s="2"/>
      <c r="C47" s="88"/>
      <c r="D47" s="2"/>
      <c r="E47" s="53"/>
      <c r="F47" s="53"/>
      <c r="G47" s="11"/>
      <c r="H47" s="11"/>
      <c r="I47" s="62"/>
      <c r="J47" s="62"/>
      <c r="K47" s="62"/>
      <c r="L47" s="520"/>
      <c r="M47" s="520"/>
      <c r="N47" s="52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1"/>
      <c r="AS47" s="11"/>
      <c r="AT47" s="11"/>
      <c r="AU47" s="11"/>
    </row>
    <row r="48" spans="1:58" s="40" customFormat="1" x14ac:dyDescent="0.3">
      <c r="A48" s="79" t="s">
        <v>65</v>
      </c>
      <c r="B48" s="80"/>
      <c r="C48" s="82"/>
      <c r="D48" s="80"/>
      <c r="E48" s="78"/>
      <c r="F48" s="77"/>
      <c r="G48" s="11"/>
      <c r="H48" s="11"/>
      <c r="I48" s="14"/>
      <c r="J48" s="14"/>
      <c r="K48" s="14"/>
      <c r="L48" s="529" t="s">
        <v>12</v>
      </c>
      <c r="M48" s="529"/>
      <c r="N48" s="529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1"/>
      <c r="AS48" s="11"/>
      <c r="AT48" s="11"/>
      <c r="AU48" s="11"/>
    </row>
    <row r="49" spans="1:45" s="11" customFormat="1" ht="15" customHeight="1" x14ac:dyDescent="0.3">
      <c r="A49" s="12" t="s">
        <v>62</v>
      </c>
      <c r="B49" s="2"/>
      <c r="C49" s="88"/>
      <c r="D49" s="2"/>
      <c r="E49" s="88"/>
      <c r="F49" s="88"/>
      <c r="I49" s="63"/>
      <c r="J49" s="63"/>
      <c r="K49" s="63"/>
      <c r="L49" s="514" t="s">
        <v>324</v>
      </c>
      <c r="M49" s="514"/>
      <c r="N49" s="2">
        <v>19.64</v>
      </c>
    </row>
    <row r="50" spans="1:45" s="11" customFormat="1" x14ac:dyDescent="0.3">
      <c r="A50" s="79" t="s">
        <v>60</v>
      </c>
      <c r="B50" s="80">
        <f>'GERAL 2022'!J6</f>
        <v>117.85</v>
      </c>
      <c r="C50" s="82">
        <v>6</v>
      </c>
      <c r="D50" s="80">
        <f>B50/C50</f>
        <v>19.641666666666666</v>
      </c>
      <c r="E50" s="78"/>
      <c r="F50" s="77"/>
      <c r="I50" s="14"/>
      <c r="J50" s="14"/>
      <c r="K50" s="14"/>
      <c r="L50" s="514" t="s">
        <v>325</v>
      </c>
      <c r="M50" s="514"/>
      <c r="N50" s="2">
        <v>19.84</v>
      </c>
    </row>
    <row r="51" spans="1:45" s="11" customFormat="1" ht="15" customHeight="1" x14ac:dyDescent="0.3">
      <c r="A51" s="12" t="s">
        <v>61</v>
      </c>
      <c r="B51" s="2">
        <f>'GERAL 2022'!H6</f>
        <v>14.184042553191489</v>
      </c>
      <c r="C51" s="88">
        <v>5</v>
      </c>
      <c r="D51" s="2">
        <f>B51/C51</f>
        <v>2.8368085106382979</v>
      </c>
      <c r="E51" s="88"/>
      <c r="F51" s="88"/>
      <c r="I51" s="63"/>
      <c r="J51" s="63"/>
      <c r="K51" s="63"/>
      <c r="L51" s="514" t="s">
        <v>326</v>
      </c>
      <c r="M51" s="514"/>
      <c r="N51" s="2">
        <v>19.760000000000002</v>
      </c>
    </row>
    <row r="52" spans="1:45" s="11" customFormat="1" x14ac:dyDescent="0.3">
      <c r="A52" s="79" t="s">
        <v>31</v>
      </c>
      <c r="B52" s="80"/>
      <c r="C52" s="82"/>
      <c r="D52" s="80"/>
      <c r="E52" s="78"/>
      <c r="F52" s="77"/>
      <c r="I52" s="14"/>
      <c r="J52" s="14"/>
      <c r="K52" s="14"/>
      <c r="L52" s="514" t="s">
        <v>327</v>
      </c>
      <c r="M52" s="514"/>
      <c r="N52" s="2">
        <v>19.7</v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</row>
    <row r="53" spans="1:45" s="11" customFormat="1" x14ac:dyDescent="0.3">
      <c r="A53" s="12" t="s">
        <v>32</v>
      </c>
      <c r="B53" s="2"/>
      <c r="C53" s="88"/>
      <c r="D53" s="2"/>
      <c r="E53" s="88"/>
      <c r="F53" s="88"/>
      <c r="I53" s="63"/>
      <c r="J53" s="63"/>
      <c r="K53" s="63"/>
      <c r="L53" s="514" t="s">
        <v>337</v>
      </c>
      <c r="M53" s="514"/>
      <c r="N53" s="2">
        <v>19.649999999999999</v>
      </c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</row>
    <row r="54" spans="1:45" s="11" customFormat="1" x14ac:dyDescent="0.3">
      <c r="A54" s="79" t="s">
        <v>57</v>
      </c>
      <c r="B54" s="80">
        <f>'GERAL 2022'!J8</f>
        <v>119.02</v>
      </c>
      <c r="C54" s="82">
        <v>6</v>
      </c>
      <c r="D54" s="80">
        <f>B54/C54</f>
        <v>19.836666666666666</v>
      </c>
      <c r="E54" s="78"/>
      <c r="F54" s="77"/>
      <c r="I54" s="14"/>
      <c r="J54" s="14"/>
      <c r="K54" s="14"/>
      <c r="L54" s="514" t="s">
        <v>328</v>
      </c>
      <c r="M54" s="514"/>
      <c r="N54" s="2">
        <v>19.64</v>
      </c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</row>
    <row r="55" spans="1:45" s="11" customFormat="1" ht="12.75" customHeight="1" x14ac:dyDescent="0.3">
      <c r="A55" s="12" t="s">
        <v>58</v>
      </c>
      <c r="B55" s="2">
        <f>'GERAL 2022'!H8</f>
        <v>19.857659574468084</v>
      </c>
      <c r="C55" s="88">
        <v>5</v>
      </c>
      <c r="D55" s="2">
        <f>B55/C55</f>
        <v>3.9715319148936166</v>
      </c>
      <c r="E55" s="88"/>
      <c r="F55" s="88"/>
      <c r="I55" s="63"/>
      <c r="J55" s="63"/>
      <c r="K55" s="63"/>
      <c r="L55" s="514" t="s">
        <v>183</v>
      </c>
      <c r="M55" s="514"/>
      <c r="N55" s="2">
        <v>19.84</v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</row>
    <row r="56" spans="1:45" s="11" customFormat="1" x14ac:dyDescent="0.3">
      <c r="A56" s="79" t="s">
        <v>63</v>
      </c>
      <c r="B56" s="80"/>
      <c r="C56" s="82"/>
      <c r="D56" s="80"/>
      <c r="E56" s="78"/>
      <c r="F56" s="77"/>
      <c r="I56" s="14"/>
      <c r="J56" s="14"/>
      <c r="K56" s="14"/>
      <c r="L56" s="514" t="s">
        <v>329</v>
      </c>
      <c r="M56" s="514"/>
      <c r="N56" s="2">
        <v>19.84</v>
      </c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</row>
    <row r="57" spans="1:45" s="11" customFormat="1" ht="15" customHeight="1" x14ac:dyDescent="0.3">
      <c r="A57" s="12" t="s">
        <v>64</v>
      </c>
      <c r="B57" s="2"/>
      <c r="C57" s="88"/>
      <c r="D57" s="2"/>
      <c r="E57" s="88"/>
      <c r="F57" s="88"/>
      <c r="I57" s="63"/>
      <c r="J57" s="63"/>
      <c r="K57" s="63"/>
      <c r="L57" s="542" t="s">
        <v>330</v>
      </c>
      <c r="M57" s="542"/>
      <c r="N57" s="2">
        <f>120*5</f>
        <v>600</v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</row>
    <row r="58" spans="1:45" s="11" customFormat="1" x14ac:dyDescent="0.3">
      <c r="A58" s="79" t="s">
        <v>33</v>
      </c>
      <c r="B58" s="80">
        <f>'GERAL 2022'!J10</f>
        <v>118.53</v>
      </c>
      <c r="C58" s="82">
        <v>6</v>
      </c>
      <c r="D58" s="80">
        <f t="shared" ref="D58:D65" si="6">B58/C58</f>
        <v>19.754999999999999</v>
      </c>
      <c r="E58" s="78"/>
      <c r="F58" s="77"/>
      <c r="I58" s="14"/>
      <c r="J58" s="14"/>
      <c r="K58" s="14"/>
      <c r="L58" s="542" t="s">
        <v>335</v>
      </c>
      <c r="M58" s="542"/>
      <c r="N58" s="2">
        <f>8.77</f>
        <v>8.77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</row>
    <row r="59" spans="1:45" s="11" customFormat="1" ht="13.5" customHeight="1" x14ac:dyDescent="0.3">
      <c r="A59" s="12" t="s">
        <v>34</v>
      </c>
      <c r="B59" s="2">
        <f>'GERAL 2022'!H10</f>
        <v>14.184042553191489</v>
      </c>
      <c r="C59" s="88">
        <v>5</v>
      </c>
      <c r="D59" s="2">
        <f t="shared" si="6"/>
        <v>2.8368085106382979</v>
      </c>
      <c r="E59" s="88"/>
      <c r="F59" s="88"/>
      <c r="I59" s="63"/>
      <c r="J59" s="63"/>
      <c r="K59" s="63"/>
      <c r="L59" s="520" t="s">
        <v>126</v>
      </c>
      <c r="M59" s="520"/>
      <c r="N59" s="2">
        <v>148.87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</row>
    <row r="60" spans="1:45" s="11" customFormat="1" x14ac:dyDescent="0.3">
      <c r="A60" s="79" t="s">
        <v>41</v>
      </c>
      <c r="B60" s="80">
        <f>'GERAL 2022'!J11</f>
        <v>118.18</v>
      </c>
      <c r="C60" s="82">
        <v>6</v>
      </c>
      <c r="D60" s="80">
        <f t="shared" si="6"/>
        <v>19.696666666666669</v>
      </c>
      <c r="E60" s="78"/>
      <c r="F60" s="77"/>
      <c r="L60" s="520" t="s">
        <v>336</v>
      </c>
      <c r="M60" s="520"/>
      <c r="N60" s="2">
        <v>192.8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</row>
    <row r="61" spans="1:45" s="11" customFormat="1" x14ac:dyDescent="0.3">
      <c r="A61" s="12" t="s">
        <v>42</v>
      </c>
      <c r="B61" s="2">
        <f>'GERAL 2022'!H11</f>
        <v>14.184042553191489</v>
      </c>
      <c r="C61" s="88">
        <v>5</v>
      </c>
      <c r="D61" s="2">
        <f t="shared" si="6"/>
        <v>2.8368085106382979</v>
      </c>
      <c r="E61" s="88"/>
      <c r="F61" s="88"/>
      <c r="I61" s="63"/>
      <c r="J61" s="63"/>
      <c r="K61" s="63"/>
      <c r="L61" s="520" t="s">
        <v>277</v>
      </c>
      <c r="M61" s="520"/>
      <c r="N61" s="2">
        <v>53.55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</row>
    <row r="62" spans="1:45" s="11" customFormat="1" ht="14.4" x14ac:dyDescent="0.3">
      <c r="A62" s="79" t="s">
        <v>66</v>
      </c>
      <c r="B62" s="80">
        <f>'GERAL 2022'!J12</f>
        <v>106.95</v>
      </c>
      <c r="C62" s="81">
        <v>6</v>
      </c>
      <c r="D62" s="80">
        <f t="shared" si="6"/>
        <v>17.824999999999999</v>
      </c>
      <c r="E62" s="82"/>
      <c r="F62" s="80"/>
      <c r="I62" s="14"/>
      <c r="J62" s="14"/>
      <c r="K62" s="14"/>
      <c r="L62" s="561"/>
      <c r="M62" s="562"/>
      <c r="N62" s="141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</row>
    <row r="63" spans="1:45" s="11" customFormat="1" ht="14.4" x14ac:dyDescent="0.3">
      <c r="A63" s="12" t="s">
        <v>67</v>
      </c>
      <c r="B63" s="2">
        <f>'GERAL 2022'!H12</f>
        <v>14.184042553191489</v>
      </c>
      <c r="C63" s="88">
        <v>5</v>
      </c>
      <c r="D63" s="2">
        <f t="shared" si="6"/>
        <v>2.8368085106382979</v>
      </c>
      <c r="E63" s="88"/>
      <c r="F63" s="88"/>
      <c r="I63" s="63"/>
      <c r="J63" s="63"/>
      <c r="K63" s="63"/>
      <c r="L63" s="563"/>
      <c r="M63" s="563"/>
      <c r="N63" s="141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</row>
    <row r="64" spans="1:45" s="11" customFormat="1" ht="14.4" x14ac:dyDescent="0.3">
      <c r="A64" s="79" t="s">
        <v>14</v>
      </c>
      <c r="B64" s="80">
        <f>'GERAL 2022'!J13</f>
        <v>117.85</v>
      </c>
      <c r="C64" s="82">
        <v>6</v>
      </c>
      <c r="D64" s="80">
        <f t="shared" si="6"/>
        <v>19.641666666666666</v>
      </c>
      <c r="E64" s="82"/>
      <c r="F64" s="80"/>
      <c r="I64" s="14"/>
      <c r="J64" s="14"/>
      <c r="K64" s="14"/>
      <c r="L64" s="563"/>
      <c r="M64" s="563"/>
      <c r="N64" s="141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</row>
    <row r="65" spans="1:46" s="11" customFormat="1" x14ac:dyDescent="0.3">
      <c r="A65" s="12" t="s">
        <v>15</v>
      </c>
      <c r="B65" s="2">
        <f>'GERAL 2022'!H13</f>
        <v>14.184042553191489</v>
      </c>
      <c r="C65" s="88">
        <v>5</v>
      </c>
      <c r="D65" s="2">
        <f t="shared" si="6"/>
        <v>2.8368085106382979</v>
      </c>
      <c r="E65" s="88"/>
      <c r="F65" s="88"/>
      <c r="I65" s="87"/>
      <c r="J65" s="87"/>
      <c r="K65" s="87"/>
      <c r="L65" s="520"/>
      <c r="M65" s="520"/>
      <c r="N65" s="2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</row>
    <row r="66" spans="1:46" s="11" customFormat="1" x14ac:dyDescent="0.3">
      <c r="A66" s="79" t="s">
        <v>55</v>
      </c>
      <c r="B66" s="80"/>
      <c r="C66" s="82"/>
      <c r="D66" s="80"/>
      <c r="E66" s="82"/>
      <c r="F66" s="80"/>
      <c r="L66" s="520"/>
      <c r="M66" s="520"/>
      <c r="N66" s="9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</row>
    <row r="67" spans="1:46" s="11" customFormat="1" x14ac:dyDescent="0.3">
      <c r="A67" s="12" t="s">
        <v>56</v>
      </c>
      <c r="B67" s="2"/>
      <c r="C67" s="88"/>
      <c r="D67" s="2"/>
      <c r="E67" s="88"/>
      <c r="F67" s="88"/>
      <c r="L67" s="518"/>
      <c r="M67" s="518"/>
      <c r="N67" s="109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</row>
    <row r="68" spans="1:46" s="11" customFormat="1" x14ac:dyDescent="0.3">
      <c r="A68" s="79" t="s">
        <v>35</v>
      </c>
      <c r="B68" s="80"/>
      <c r="C68" s="82"/>
      <c r="D68" s="80"/>
      <c r="E68" s="82"/>
      <c r="F68" s="80"/>
      <c r="L68" s="518" t="s">
        <v>26</v>
      </c>
      <c r="M68" s="518"/>
      <c r="N68" s="109">
        <f>SUM(N44:N67)</f>
        <v>2386.723787163121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</row>
    <row r="69" spans="1:46" s="11" customFormat="1" x14ac:dyDescent="0.3">
      <c r="A69" s="12" t="s">
        <v>36</v>
      </c>
      <c r="B69" s="2"/>
      <c r="C69" s="88"/>
      <c r="D69" s="2"/>
      <c r="E69" s="88"/>
      <c r="F69" s="88"/>
      <c r="I69" s="14"/>
      <c r="J69" s="14"/>
      <c r="K69" s="14"/>
      <c r="L69" s="543"/>
      <c r="M69" s="543"/>
      <c r="N69" s="135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</row>
    <row r="70" spans="1:46" s="11" customFormat="1" x14ac:dyDescent="0.3">
      <c r="A70" s="79" t="s">
        <v>47</v>
      </c>
      <c r="B70" s="80">
        <f>'GERAL 2022'!J16</f>
        <v>117.85</v>
      </c>
      <c r="C70" s="82">
        <v>6</v>
      </c>
      <c r="D70" s="80">
        <f>B70/C70</f>
        <v>19.641666666666666</v>
      </c>
      <c r="E70" s="82"/>
      <c r="F70" s="80"/>
      <c r="I70" s="15"/>
      <c r="J70" s="15"/>
      <c r="K70" s="15"/>
      <c r="L70" s="564" t="s">
        <v>11</v>
      </c>
      <c r="M70" s="565"/>
      <c r="N70" s="153">
        <f>I6+I36</f>
        <v>8268.7693475177311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</row>
    <row r="71" spans="1:46" s="11" customFormat="1" x14ac:dyDescent="0.3">
      <c r="A71" s="12" t="s">
        <v>48</v>
      </c>
      <c r="B71" s="2">
        <f>'GERAL 2022'!H16</f>
        <v>14.184042553191489</v>
      </c>
      <c r="C71" s="88">
        <v>5</v>
      </c>
      <c r="D71" s="2">
        <f>B71/C71</f>
        <v>2.8368085106382979</v>
      </c>
      <c r="E71" s="88"/>
      <c r="F71" s="88"/>
      <c r="I71" s="14"/>
      <c r="J71" s="14"/>
      <c r="K71" s="14"/>
      <c r="L71" s="518"/>
      <c r="M71" s="518"/>
      <c r="N71" s="519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</row>
    <row r="72" spans="1:46" s="11" customFormat="1" x14ac:dyDescent="0.3">
      <c r="A72" s="79" t="s">
        <v>16</v>
      </c>
      <c r="B72" s="80">
        <f>'GERAL 2022'!J40</f>
        <v>119.02</v>
      </c>
      <c r="C72" s="82">
        <v>6</v>
      </c>
      <c r="D72" s="80">
        <f t="shared" ref="D72:D83" si="7">B72/C72</f>
        <v>19.836666666666666</v>
      </c>
      <c r="E72" s="81"/>
      <c r="F72" s="81"/>
      <c r="I72" s="14"/>
      <c r="J72" s="14"/>
      <c r="K72" s="14"/>
      <c r="L72" s="513" t="s">
        <v>13</v>
      </c>
      <c r="M72" s="513"/>
      <c r="N72" s="151">
        <f>N70-N68</f>
        <v>5882.0455603546106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</row>
    <row r="73" spans="1:46" s="11" customFormat="1" x14ac:dyDescent="0.3">
      <c r="A73" s="12" t="s">
        <v>17</v>
      </c>
      <c r="B73" s="2">
        <f>'GERAL 2022'!H17</f>
        <v>19.857659574468084</v>
      </c>
      <c r="C73" s="88">
        <v>5</v>
      </c>
      <c r="D73" s="2">
        <f t="shared" si="7"/>
        <v>3.9715319148936166</v>
      </c>
      <c r="E73" s="88"/>
      <c r="F73" s="88"/>
      <c r="I73" s="14"/>
      <c r="J73" s="14"/>
      <c r="K73" s="14"/>
      <c r="L73" s="123"/>
      <c r="M73" s="123"/>
      <c r="N73" s="133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</row>
    <row r="74" spans="1:46" s="11" customFormat="1" x14ac:dyDescent="0.3">
      <c r="A74" s="79" t="s">
        <v>273</v>
      </c>
      <c r="B74" s="80">
        <f>'GERAL 2022'!J40</f>
        <v>119.02</v>
      </c>
      <c r="C74" s="82">
        <v>6</v>
      </c>
      <c r="D74" s="80">
        <f t="shared" si="7"/>
        <v>19.836666666666666</v>
      </c>
      <c r="E74" s="81"/>
      <c r="F74" s="81"/>
      <c r="I74" s="14"/>
      <c r="J74" s="14"/>
      <c r="K74" s="14"/>
      <c r="L74" s="124"/>
      <c r="M74" s="124"/>
      <c r="N74" s="134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</row>
    <row r="75" spans="1:46" s="69" customFormat="1" x14ac:dyDescent="0.3">
      <c r="A75" s="12" t="s">
        <v>274</v>
      </c>
      <c r="B75" s="2">
        <f>'GERAL 2022'!H40</f>
        <v>19.857659574468084</v>
      </c>
      <c r="C75" s="88">
        <v>5</v>
      </c>
      <c r="D75" s="2">
        <f t="shared" si="7"/>
        <v>3.9715319148936166</v>
      </c>
      <c r="E75" s="88"/>
      <c r="F75" s="88"/>
      <c r="G75" s="11"/>
      <c r="H75" s="11"/>
      <c r="I75" s="14"/>
      <c r="J75" s="14"/>
      <c r="K75" s="14"/>
      <c r="L75" s="124"/>
      <c r="M75" s="124"/>
      <c r="N75" s="57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</row>
    <row r="76" spans="1:46" s="69" customFormat="1" x14ac:dyDescent="0.3">
      <c r="A76" s="79" t="s">
        <v>27</v>
      </c>
      <c r="B76" s="80">
        <f>'GERAL 2022'!J18</f>
        <v>118.87</v>
      </c>
      <c r="C76" s="82">
        <v>6</v>
      </c>
      <c r="D76" s="80">
        <f t="shared" si="7"/>
        <v>19.811666666666667</v>
      </c>
      <c r="E76" s="81"/>
      <c r="F76" s="82"/>
      <c r="G76" s="11"/>
      <c r="H76" s="11"/>
      <c r="I76" s="14"/>
      <c r="J76" s="14"/>
      <c r="K76" s="14"/>
      <c r="L76" s="124"/>
      <c r="M76" s="124"/>
      <c r="N76" s="57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</row>
    <row r="77" spans="1:46" s="69" customFormat="1" x14ac:dyDescent="0.3">
      <c r="A77" s="12" t="s">
        <v>28</v>
      </c>
      <c r="B77" s="2">
        <f>'GERAL 2022'!H18</f>
        <v>14.184042553191489</v>
      </c>
      <c r="C77" s="88">
        <v>5</v>
      </c>
      <c r="D77" s="2">
        <f t="shared" si="7"/>
        <v>2.8368085106382979</v>
      </c>
      <c r="E77" s="88"/>
      <c r="F77" s="90"/>
      <c r="G77" s="11"/>
      <c r="H77" s="11"/>
      <c r="I77" s="14"/>
      <c r="J77" s="14"/>
      <c r="K77" s="14"/>
      <c r="L77" s="124"/>
      <c r="M77" s="124"/>
      <c r="N77" s="57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</row>
    <row r="78" spans="1:46" s="69" customFormat="1" x14ac:dyDescent="0.3">
      <c r="A78" s="79" t="s">
        <v>18</v>
      </c>
      <c r="B78" s="80">
        <f>'GERAL 2022'!J19</f>
        <v>118.87</v>
      </c>
      <c r="C78" s="82">
        <v>6</v>
      </c>
      <c r="D78" s="80">
        <f t="shared" si="7"/>
        <v>19.811666666666667</v>
      </c>
      <c r="E78" s="82"/>
      <c r="F78" s="80"/>
      <c r="G78" s="11"/>
      <c r="H78" s="11"/>
      <c r="I78" s="14"/>
      <c r="J78" s="14"/>
      <c r="K78" s="14"/>
      <c r="L78" s="124"/>
      <c r="M78" s="124"/>
      <c r="N78" s="57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</row>
    <row r="79" spans="1:46" s="69" customFormat="1" x14ac:dyDescent="0.3">
      <c r="A79" s="12" t="s">
        <v>19</v>
      </c>
      <c r="B79" s="2">
        <f>'GERAL 2022'!H19</f>
        <v>14.184042553191489</v>
      </c>
      <c r="C79" s="88">
        <v>5</v>
      </c>
      <c r="D79" s="2">
        <f t="shared" si="7"/>
        <v>2.8368085106382979</v>
      </c>
      <c r="E79" s="88"/>
      <c r="F79" s="88"/>
      <c r="G79" s="11"/>
      <c r="H79" s="11"/>
      <c r="I79" s="14"/>
      <c r="J79" s="14"/>
      <c r="K79" s="14"/>
      <c r="L79" s="15"/>
      <c r="M79" s="14"/>
      <c r="N79" s="57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</row>
    <row r="80" spans="1:46" s="69" customFormat="1" x14ac:dyDescent="0.3">
      <c r="A80" s="79" t="s">
        <v>37</v>
      </c>
      <c r="B80" s="80">
        <f>'GERAL 2022'!J20</f>
        <v>119.02</v>
      </c>
      <c r="C80" s="82">
        <v>6</v>
      </c>
      <c r="D80" s="80">
        <f t="shared" si="7"/>
        <v>19.836666666666666</v>
      </c>
      <c r="E80" s="81"/>
      <c r="F80" s="82"/>
      <c r="G80" s="11"/>
      <c r="H80" s="11"/>
      <c r="I80" s="14"/>
      <c r="J80" s="14"/>
      <c r="K80" s="14"/>
      <c r="L80" s="11"/>
      <c r="M80" s="15"/>
      <c r="N80" s="57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</row>
    <row r="81" spans="1:46" s="69" customFormat="1" x14ac:dyDescent="0.3">
      <c r="A81" s="12" t="s">
        <v>38</v>
      </c>
      <c r="B81" s="2">
        <f>'GERAL 2022'!H20</f>
        <v>14.184042553191489</v>
      </c>
      <c r="C81" s="88">
        <v>5</v>
      </c>
      <c r="D81" s="2">
        <f t="shared" si="7"/>
        <v>2.8368085106382979</v>
      </c>
      <c r="E81" s="88"/>
      <c r="F81" s="88"/>
      <c r="G81" s="11"/>
      <c r="H81" s="11"/>
      <c r="I81" s="14"/>
      <c r="J81" s="14"/>
      <c r="K81" s="14"/>
      <c r="L81" s="11"/>
      <c r="M81" s="11"/>
      <c r="N81" s="57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</row>
    <row r="82" spans="1:46" s="69" customFormat="1" x14ac:dyDescent="0.3">
      <c r="A82" s="79" t="s">
        <v>45</v>
      </c>
      <c r="B82" s="80">
        <f>'GERAL 2022'!J21</f>
        <v>118.43</v>
      </c>
      <c r="C82" s="82">
        <v>6</v>
      </c>
      <c r="D82" s="80">
        <f t="shared" si="7"/>
        <v>19.738333333333333</v>
      </c>
      <c r="E82" s="81"/>
      <c r="F82" s="82"/>
      <c r="G82" s="11"/>
      <c r="H82" s="11"/>
      <c r="I82" s="14"/>
      <c r="J82" s="14"/>
      <c r="K82" s="14"/>
      <c r="L82" s="14"/>
      <c r="M82" s="14"/>
      <c r="N82" s="57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</row>
    <row r="83" spans="1:46" s="69" customFormat="1" x14ac:dyDescent="0.3">
      <c r="A83" s="12" t="s">
        <v>39</v>
      </c>
      <c r="B83" s="2">
        <f>'GERAL 2022'!H21</f>
        <v>14.184042553191489</v>
      </c>
      <c r="C83" s="88">
        <v>5</v>
      </c>
      <c r="D83" s="2">
        <f t="shared" si="7"/>
        <v>2.8368085106382979</v>
      </c>
      <c r="E83" s="88"/>
      <c r="F83" s="88"/>
      <c r="G83" s="11"/>
      <c r="H83" s="11"/>
      <c r="I83" s="14"/>
      <c r="J83" s="14"/>
      <c r="K83" s="14"/>
      <c r="L83" s="14"/>
      <c r="M83" s="15"/>
      <c r="N83" s="57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</row>
    <row r="84" spans="1:46" s="69" customFormat="1" x14ac:dyDescent="0.3">
      <c r="A84" s="81" t="s">
        <v>49</v>
      </c>
      <c r="B84" s="80"/>
      <c r="C84" s="82"/>
      <c r="D84" s="80"/>
      <c r="E84" s="81"/>
      <c r="F84" s="82"/>
      <c r="G84" s="11"/>
      <c r="H84" s="11"/>
      <c r="I84" s="14"/>
      <c r="J84" s="14"/>
      <c r="K84" s="14"/>
      <c r="L84" s="14"/>
      <c r="M84" s="11"/>
      <c r="N84" s="57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</row>
    <row r="85" spans="1:46" s="69" customFormat="1" x14ac:dyDescent="0.3">
      <c r="A85" s="90" t="s">
        <v>50</v>
      </c>
      <c r="B85" s="2"/>
      <c r="C85" s="88"/>
      <c r="D85" s="2"/>
      <c r="E85" s="88"/>
      <c r="F85" s="88"/>
      <c r="G85" s="11"/>
      <c r="H85" s="11"/>
      <c r="I85" s="14"/>
      <c r="J85" s="14"/>
      <c r="K85" s="14"/>
      <c r="L85" s="14"/>
      <c r="M85" s="11"/>
      <c r="N85" s="57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</row>
    <row r="86" spans="1:46" s="69" customFormat="1" x14ac:dyDescent="0.3">
      <c r="A86" s="81" t="s">
        <v>43</v>
      </c>
      <c r="B86" s="80"/>
      <c r="C86" s="82"/>
      <c r="D86" s="80"/>
      <c r="E86" s="81"/>
      <c r="F86" s="82"/>
      <c r="I86" s="142"/>
      <c r="J86" s="142"/>
      <c r="K86" s="142"/>
      <c r="L86" s="11"/>
      <c r="M86" s="11"/>
      <c r="N86" s="57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</row>
    <row r="87" spans="1:46" s="70" customFormat="1" x14ac:dyDescent="0.3">
      <c r="A87" s="90" t="s">
        <v>44</v>
      </c>
      <c r="B87" s="2"/>
      <c r="C87" s="88"/>
      <c r="D87" s="2"/>
      <c r="E87" s="88"/>
      <c r="F87" s="88"/>
      <c r="G87" s="63"/>
      <c r="H87" s="63"/>
      <c r="I87" s="69"/>
      <c r="J87" s="69"/>
      <c r="K87" s="69"/>
      <c r="L87" s="11"/>
      <c r="M87" s="14"/>
      <c r="N87" s="57"/>
    </row>
    <row r="88" spans="1:46" s="70" customFormat="1" x14ac:dyDescent="0.3">
      <c r="A88" s="81" t="s">
        <v>51</v>
      </c>
      <c r="B88" s="80"/>
      <c r="C88" s="82"/>
      <c r="D88" s="80"/>
      <c r="E88" s="82"/>
      <c r="F88" s="80"/>
      <c r="G88" s="11"/>
      <c r="H88" s="63"/>
      <c r="I88" s="142"/>
      <c r="J88" s="142"/>
      <c r="K88" s="142"/>
      <c r="L88" s="11"/>
      <c r="M88" s="14"/>
      <c r="N88" s="57"/>
      <c r="AT88" s="69"/>
    </row>
    <row r="89" spans="1:46" s="70" customFormat="1" x14ac:dyDescent="0.3">
      <c r="A89" s="90" t="s">
        <v>52</v>
      </c>
      <c r="B89" s="2"/>
      <c r="C89" s="88"/>
      <c r="D89" s="2"/>
      <c r="E89" s="88"/>
      <c r="F89" s="4"/>
      <c r="G89" s="142"/>
      <c r="H89" s="142"/>
      <c r="I89" s="142"/>
      <c r="J89" s="142"/>
      <c r="K89" s="142"/>
      <c r="L89" s="11"/>
      <c r="M89" s="14"/>
      <c r="N89" s="57"/>
      <c r="AT89" s="69"/>
    </row>
    <row r="90" spans="1:46" s="70" customFormat="1" x14ac:dyDescent="0.3">
      <c r="A90" s="81" t="s">
        <v>53</v>
      </c>
      <c r="B90" s="80"/>
      <c r="C90" s="82"/>
      <c r="D90" s="80"/>
      <c r="E90" s="82"/>
      <c r="F90" s="82"/>
      <c r="G90" s="11"/>
      <c r="H90" s="63"/>
      <c r="I90" s="142"/>
      <c r="J90" s="142"/>
      <c r="K90" s="142"/>
      <c r="L90" s="11"/>
      <c r="M90" s="14"/>
      <c r="N90" s="57"/>
      <c r="AT90" s="69"/>
    </row>
    <row r="91" spans="1:46" s="70" customFormat="1" x14ac:dyDescent="0.3">
      <c r="A91" s="90" t="s">
        <v>54</v>
      </c>
      <c r="B91" s="2"/>
      <c r="C91" s="88"/>
      <c r="D91" s="2"/>
      <c r="E91" s="88"/>
      <c r="F91" s="4"/>
      <c r="G91" s="142"/>
      <c r="H91" s="142"/>
      <c r="I91" s="142"/>
      <c r="J91" s="142"/>
      <c r="K91" s="142"/>
      <c r="L91" s="11"/>
      <c r="M91" s="11"/>
      <c r="N91" s="57"/>
      <c r="AT91" s="69"/>
    </row>
    <row r="92" spans="1:46" s="70" customFormat="1" x14ac:dyDescent="0.3">
      <c r="A92" s="81" t="s">
        <v>78</v>
      </c>
      <c r="B92" s="80">
        <f>'GERAL 2022'!J26</f>
        <v>119.02</v>
      </c>
      <c r="C92" s="82">
        <v>6</v>
      </c>
      <c r="D92" s="80">
        <f>B92/C92</f>
        <v>19.836666666666666</v>
      </c>
      <c r="E92" s="82"/>
      <c r="F92" s="82"/>
      <c r="G92" s="11"/>
      <c r="H92" s="63"/>
      <c r="I92" s="142"/>
      <c r="J92" s="142"/>
      <c r="K92" s="142"/>
      <c r="L92" s="11"/>
      <c r="M92" s="11"/>
      <c r="N92" s="57"/>
      <c r="AT92" s="69"/>
    </row>
    <row r="93" spans="1:46" s="70" customFormat="1" x14ac:dyDescent="0.3">
      <c r="A93" s="90" t="s">
        <v>79</v>
      </c>
      <c r="B93" s="2">
        <f>'GERAL 2022'!H26</f>
        <v>19.857659574468084</v>
      </c>
      <c r="C93" s="88">
        <v>5</v>
      </c>
      <c r="D93" s="2">
        <f>B93/C93</f>
        <v>3.9715319148936166</v>
      </c>
      <c r="E93" s="88"/>
      <c r="F93" s="4"/>
      <c r="G93" s="142"/>
      <c r="H93" s="142"/>
      <c r="I93" s="142"/>
      <c r="J93" s="142"/>
      <c r="K93" s="142"/>
      <c r="L93" s="69"/>
      <c r="M93" s="69"/>
      <c r="N93" s="57"/>
      <c r="AT93" s="69"/>
    </row>
    <row r="94" spans="1:46" s="70" customFormat="1" x14ac:dyDescent="0.3">
      <c r="A94" s="81" t="s">
        <v>80</v>
      </c>
      <c r="B94" s="80">
        <f>'GERAL 2022'!J27</f>
        <v>119.7</v>
      </c>
      <c r="C94" s="82">
        <v>6</v>
      </c>
      <c r="D94" s="80">
        <f>B94/C94</f>
        <v>19.95</v>
      </c>
      <c r="E94" s="82"/>
      <c r="F94" s="82"/>
      <c r="G94" s="11"/>
      <c r="H94" s="63"/>
      <c r="I94" s="142"/>
      <c r="J94" s="142"/>
      <c r="K94" s="142"/>
      <c r="L94" s="69"/>
      <c r="M94" s="11"/>
      <c r="N94" s="57"/>
      <c r="AT94" s="69"/>
    </row>
    <row r="95" spans="1:46" s="70" customFormat="1" x14ac:dyDescent="0.3">
      <c r="A95" s="90" t="s">
        <v>81</v>
      </c>
      <c r="B95" s="2">
        <f>'GERAL 2022'!H27</f>
        <v>14.184042553191489</v>
      </c>
      <c r="C95" s="88">
        <v>5</v>
      </c>
      <c r="D95" s="2">
        <f>B95/C95</f>
        <v>2.8368085106382979</v>
      </c>
      <c r="E95" s="88"/>
      <c r="F95" s="4"/>
      <c r="G95" s="142"/>
      <c r="H95" s="142"/>
      <c r="I95" s="142"/>
      <c r="J95" s="142"/>
      <c r="K95" s="142"/>
      <c r="L95" s="142"/>
      <c r="M95" s="142"/>
      <c r="N95" s="57"/>
      <c r="AT95" s="69"/>
    </row>
    <row r="96" spans="1:46" s="70" customFormat="1" x14ac:dyDescent="0.3">
      <c r="A96" s="81" t="s">
        <v>82</v>
      </c>
      <c r="B96" s="80"/>
      <c r="C96" s="82"/>
      <c r="D96" s="80"/>
      <c r="E96" s="82"/>
      <c r="F96" s="82"/>
      <c r="G96" s="11"/>
      <c r="H96" s="63"/>
      <c r="I96" s="142"/>
      <c r="J96" s="142"/>
      <c r="K96" s="142"/>
      <c r="L96" s="69"/>
      <c r="M96" s="11"/>
      <c r="N96" s="57"/>
      <c r="AT96" s="69"/>
    </row>
    <row r="97" spans="1:46" s="70" customFormat="1" x14ac:dyDescent="0.3">
      <c r="A97" s="90" t="s">
        <v>83</v>
      </c>
      <c r="B97" s="2"/>
      <c r="C97" s="88"/>
      <c r="D97" s="2"/>
      <c r="E97" s="88"/>
      <c r="F97" s="4"/>
      <c r="G97" s="142"/>
      <c r="H97" s="142"/>
      <c r="I97" s="142"/>
      <c r="J97" s="142"/>
      <c r="K97" s="142"/>
      <c r="L97" s="142"/>
      <c r="M97" s="142"/>
      <c r="N97" s="57"/>
      <c r="AT97" s="69"/>
    </row>
    <row r="98" spans="1:46" s="70" customFormat="1" x14ac:dyDescent="0.3">
      <c r="A98" s="81" t="s">
        <v>84</v>
      </c>
      <c r="B98" s="80">
        <f>'GERAL 2022'!J29</f>
        <v>119.02</v>
      </c>
      <c r="C98" s="82">
        <v>6</v>
      </c>
      <c r="D98" s="80">
        <f>B98/C98</f>
        <v>19.836666666666666</v>
      </c>
      <c r="E98" s="82"/>
      <c r="F98" s="82"/>
      <c r="G98" s="142"/>
      <c r="H98" s="142"/>
      <c r="I98" s="142"/>
      <c r="J98" s="142"/>
      <c r="K98" s="142"/>
      <c r="L98" s="69"/>
      <c r="M98" s="11"/>
      <c r="N98" s="57"/>
      <c r="AT98" s="69"/>
    </row>
    <row r="99" spans="1:46" s="70" customFormat="1" ht="14.4" thickBot="1" x14ac:dyDescent="0.35">
      <c r="A99" s="90" t="s">
        <v>85</v>
      </c>
      <c r="B99" s="2">
        <f>'GERAL 2022'!H29</f>
        <v>14.184042553191489</v>
      </c>
      <c r="C99" s="88">
        <v>5</v>
      </c>
      <c r="D99" s="2">
        <f>B99/C99</f>
        <v>2.8368085106382979</v>
      </c>
      <c r="E99" s="88"/>
      <c r="F99" s="4"/>
      <c r="G99" s="143"/>
      <c r="H99" s="143"/>
      <c r="I99" s="143"/>
      <c r="J99" s="143"/>
      <c r="K99" s="143"/>
      <c r="L99" s="142"/>
      <c r="M99" s="142"/>
      <c r="N99" s="57"/>
      <c r="AT99" s="69"/>
    </row>
    <row r="100" spans="1:46" s="70" customFormat="1" x14ac:dyDescent="0.3">
      <c r="A100" s="69"/>
      <c r="B100" s="69"/>
      <c r="C100" s="69"/>
      <c r="D100" s="69"/>
      <c r="E100" s="69"/>
      <c r="F100" s="69"/>
      <c r="G100" s="69"/>
      <c r="H100" s="69"/>
      <c r="I100" s="142"/>
      <c r="J100" s="142"/>
      <c r="K100" s="142"/>
      <c r="L100" s="69"/>
      <c r="M100" s="69"/>
      <c r="N100" s="69"/>
      <c r="AT100" s="69"/>
    </row>
    <row r="101" spans="1:46" s="70" customFormat="1" x14ac:dyDescent="0.3">
      <c r="A101" s="69"/>
      <c r="B101" s="69"/>
      <c r="C101" s="69"/>
      <c r="D101" s="69"/>
      <c r="E101" s="69"/>
      <c r="F101" s="69"/>
      <c r="G101" s="69"/>
      <c r="H101" s="69"/>
      <c r="I101" s="142"/>
      <c r="J101" s="142"/>
      <c r="K101" s="142"/>
      <c r="L101" s="69"/>
      <c r="M101" s="69"/>
      <c r="N101" s="69"/>
      <c r="AT101" s="69"/>
    </row>
    <row r="102" spans="1:46" s="70" customFormat="1" x14ac:dyDescent="0.3">
      <c r="A102" s="69"/>
      <c r="B102" s="69"/>
      <c r="C102" s="69"/>
      <c r="D102" s="69"/>
      <c r="E102" s="69"/>
      <c r="F102" s="69"/>
      <c r="G102" s="69"/>
      <c r="H102" s="69"/>
      <c r="I102" s="142"/>
      <c r="J102" s="142"/>
      <c r="K102" s="142"/>
      <c r="L102" s="69"/>
      <c r="M102" s="69"/>
      <c r="N102" s="69"/>
      <c r="AT102" s="69"/>
    </row>
    <row r="103" spans="1:46" s="70" customFormat="1" x14ac:dyDescent="0.3">
      <c r="A103" s="69"/>
      <c r="B103" s="69"/>
      <c r="C103" s="69"/>
      <c r="D103" s="69"/>
      <c r="E103" s="69"/>
      <c r="F103" s="69"/>
      <c r="G103" s="69"/>
      <c r="H103" s="69"/>
      <c r="I103" s="142"/>
      <c r="J103" s="142"/>
      <c r="K103" s="142"/>
      <c r="L103" s="69"/>
      <c r="M103" s="69"/>
      <c r="N103" s="69"/>
      <c r="AT103" s="69"/>
    </row>
    <row r="104" spans="1:46" s="70" customFormat="1" x14ac:dyDescent="0.3">
      <c r="A104" s="69"/>
      <c r="B104" s="69"/>
      <c r="C104" s="69"/>
      <c r="D104" s="69"/>
      <c r="E104" s="69"/>
      <c r="F104" s="69"/>
      <c r="G104" s="69"/>
      <c r="H104" s="69"/>
      <c r="I104" s="142"/>
      <c r="J104" s="142"/>
      <c r="K104" s="142"/>
      <c r="L104" s="69"/>
      <c r="M104" s="69"/>
      <c r="N104" s="69"/>
      <c r="AT104" s="69"/>
    </row>
    <row r="105" spans="1:46" s="70" customFormat="1" x14ac:dyDescent="0.3">
      <c r="A105" s="69"/>
      <c r="B105" s="69"/>
      <c r="C105" s="69"/>
      <c r="D105" s="69"/>
      <c r="E105" s="69"/>
      <c r="F105" s="69"/>
      <c r="G105" s="69"/>
      <c r="H105" s="69"/>
      <c r="I105" s="142"/>
      <c r="J105" s="142"/>
      <c r="K105" s="142"/>
      <c r="L105" s="69"/>
      <c r="M105" s="69"/>
      <c r="N105" s="69"/>
      <c r="AT105" s="69"/>
    </row>
    <row r="106" spans="1:46" s="70" customFormat="1" x14ac:dyDescent="0.3">
      <c r="A106" s="69"/>
      <c r="B106" s="69"/>
      <c r="C106" s="69"/>
      <c r="D106" s="69"/>
      <c r="E106" s="69"/>
      <c r="F106" s="69"/>
      <c r="G106" s="69"/>
      <c r="H106" s="69"/>
      <c r="I106" s="142"/>
      <c r="J106" s="142"/>
      <c r="K106" s="142"/>
      <c r="L106" s="69"/>
      <c r="M106" s="69"/>
      <c r="N106" s="69"/>
      <c r="AT106" s="69"/>
    </row>
    <row r="107" spans="1:46" s="70" customFormat="1" x14ac:dyDescent="0.3">
      <c r="A107" s="69"/>
      <c r="B107" s="69"/>
      <c r="C107" s="69"/>
      <c r="D107" s="69"/>
      <c r="E107" s="69"/>
      <c r="F107" s="69"/>
      <c r="G107" s="69"/>
      <c r="H107" s="69"/>
      <c r="I107" s="142"/>
      <c r="J107" s="142"/>
      <c r="K107" s="142"/>
      <c r="L107" s="69"/>
      <c r="M107" s="69"/>
      <c r="N107" s="69"/>
      <c r="AT107" s="69"/>
    </row>
    <row r="108" spans="1:46" s="70" customFormat="1" x14ac:dyDescent="0.3">
      <c r="A108" s="69"/>
      <c r="B108" s="69"/>
      <c r="C108" s="69"/>
      <c r="D108" s="69"/>
      <c r="E108" s="69"/>
      <c r="F108" s="69"/>
      <c r="G108" s="69"/>
      <c r="H108" s="69"/>
      <c r="I108" s="142"/>
      <c r="J108" s="142"/>
      <c r="K108" s="142"/>
      <c r="L108" s="69"/>
      <c r="M108" s="69"/>
      <c r="N108" s="69"/>
      <c r="AT108" s="69"/>
    </row>
    <row r="109" spans="1:46" s="70" customFormat="1" x14ac:dyDescent="0.3">
      <c r="A109" s="69"/>
      <c r="B109" s="69"/>
      <c r="C109" s="69"/>
      <c r="D109" s="69"/>
      <c r="E109" s="69"/>
      <c r="F109" s="69"/>
      <c r="G109" s="69"/>
      <c r="H109" s="69"/>
      <c r="I109" s="142"/>
      <c r="J109" s="142"/>
      <c r="K109" s="142"/>
      <c r="L109" s="69"/>
      <c r="M109" s="69"/>
      <c r="N109" s="69"/>
      <c r="AT109" s="69"/>
    </row>
    <row r="110" spans="1:46" s="70" customFormat="1" x14ac:dyDescent="0.3">
      <c r="A110" s="69"/>
      <c r="B110" s="69"/>
      <c r="C110" s="69"/>
      <c r="D110" s="69"/>
      <c r="E110" s="69"/>
      <c r="F110" s="69"/>
      <c r="G110" s="69"/>
      <c r="H110" s="69"/>
      <c r="I110" s="142"/>
      <c r="J110" s="142"/>
      <c r="K110" s="142"/>
      <c r="L110" s="69"/>
      <c r="M110" s="69"/>
      <c r="N110" s="69"/>
      <c r="AT110" s="69"/>
    </row>
    <row r="111" spans="1:46" s="70" customFormat="1" x14ac:dyDescent="0.3">
      <c r="A111" s="69"/>
      <c r="B111" s="69"/>
      <c r="C111" s="69"/>
      <c r="D111" s="69"/>
      <c r="E111" s="69"/>
      <c r="F111" s="69"/>
      <c r="G111" s="69"/>
      <c r="H111" s="69"/>
      <c r="I111" s="142"/>
      <c r="J111" s="142"/>
      <c r="K111" s="142"/>
      <c r="L111" s="69"/>
      <c r="M111" s="69"/>
      <c r="N111" s="69"/>
      <c r="AT111" s="69"/>
    </row>
    <row r="112" spans="1:46" s="70" customFormat="1" x14ac:dyDescent="0.3">
      <c r="A112" s="69"/>
      <c r="B112" s="69"/>
      <c r="C112" s="69"/>
      <c r="D112" s="69"/>
      <c r="E112" s="69"/>
      <c r="F112" s="69"/>
      <c r="G112" s="69"/>
      <c r="H112" s="69"/>
      <c r="I112" s="142"/>
      <c r="J112" s="142"/>
      <c r="K112" s="142"/>
      <c r="L112" s="69"/>
      <c r="M112" s="69"/>
      <c r="N112" s="69"/>
      <c r="AT112" s="69"/>
    </row>
    <row r="113" spans="1:46" s="70" customFormat="1" x14ac:dyDescent="0.3">
      <c r="A113" s="69"/>
      <c r="B113" s="69"/>
      <c r="C113" s="69"/>
      <c r="D113" s="69"/>
      <c r="E113" s="69"/>
      <c r="F113" s="69"/>
      <c r="G113" s="69"/>
      <c r="H113" s="69"/>
      <c r="I113" s="142"/>
      <c r="J113" s="142"/>
      <c r="K113" s="142"/>
      <c r="L113" s="69"/>
      <c r="M113" s="69"/>
      <c r="N113" s="69"/>
      <c r="AT113" s="69"/>
    </row>
    <row r="114" spans="1:46" s="70" customFormat="1" x14ac:dyDescent="0.3">
      <c r="A114" s="69"/>
      <c r="B114" s="69"/>
      <c r="C114" s="69"/>
      <c r="D114" s="69"/>
      <c r="E114" s="69"/>
      <c r="F114" s="69"/>
      <c r="G114" s="69"/>
      <c r="H114" s="69"/>
      <c r="I114" s="142"/>
      <c r="J114" s="142"/>
      <c r="K114" s="142"/>
      <c r="L114" s="69"/>
      <c r="M114" s="69"/>
      <c r="N114" s="69"/>
      <c r="AT114" s="69"/>
    </row>
    <row r="115" spans="1:46" s="70" customFormat="1" x14ac:dyDescent="0.3">
      <c r="A115" s="69"/>
      <c r="B115" s="69"/>
      <c r="C115" s="69"/>
      <c r="D115" s="69"/>
      <c r="E115" s="69"/>
      <c r="F115" s="69"/>
      <c r="G115" s="69"/>
      <c r="H115" s="69"/>
      <c r="I115" s="142"/>
      <c r="J115" s="142"/>
      <c r="K115" s="142"/>
      <c r="L115" s="69"/>
      <c r="M115" s="69"/>
      <c r="N115" s="69"/>
      <c r="AT115" s="69"/>
    </row>
    <row r="116" spans="1:46" s="70" customFormat="1" x14ac:dyDescent="0.3">
      <c r="A116" s="69"/>
      <c r="B116" s="69"/>
      <c r="C116" s="69"/>
      <c r="D116" s="69"/>
      <c r="E116" s="69"/>
      <c r="F116" s="69"/>
      <c r="G116" s="69"/>
      <c r="H116" s="69"/>
      <c r="I116" s="142"/>
      <c r="J116" s="142"/>
      <c r="K116" s="142"/>
      <c r="L116" s="69"/>
      <c r="M116" s="69"/>
      <c r="N116" s="69"/>
      <c r="AT116" s="69"/>
    </row>
    <row r="117" spans="1:46" s="70" customFormat="1" x14ac:dyDescent="0.3">
      <c r="A117" s="69"/>
      <c r="B117" s="69"/>
      <c r="C117" s="69"/>
      <c r="D117" s="69"/>
      <c r="E117" s="69"/>
      <c r="F117" s="69"/>
      <c r="G117" s="69"/>
      <c r="H117" s="69"/>
      <c r="I117" s="142"/>
      <c r="J117" s="142"/>
      <c r="K117" s="142"/>
      <c r="L117" s="69"/>
      <c r="M117" s="69"/>
      <c r="N117" s="69"/>
      <c r="AT117" s="69"/>
    </row>
    <row r="118" spans="1:46" s="70" customFormat="1" x14ac:dyDescent="0.3">
      <c r="A118" s="69"/>
      <c r="B118" s="69"/>
      <c r="C118" s="69"/>
      <c r="D118" s="69"/>
      <c r="E118" s="69"/>
      <c r="F118" s="69"/>
      <c r="G118" s="69"/>
      <c r="H118" s="69"/>
      <c r="I118" s="142"/>
      <c r="J118" s="142"/>
      <c r="K118" s="142"/>
      <c r="L118" s="69"/>
      <c r="M118" s="69"/>
      <c r="N118" s="69"/>
      <c r="AT118" s="69"/>
    </row>
    <row r="119" spans="1:46" s="70" customFormat="1" x14ac:dyDescent="0.3">
      <c r="A119" s="69"/>
      <c r="B119" s="69"/>
      <c r="C119" s="69"/>
      <c r="D119" s="69"/>
      <c r="E119" s="69"/>
      <c r="F119" s="69"/>
      <c r="G119" s="69"/>
      <c r="H119" s="69"/>
      <c r="I119" s="142"/>
      <c r="J119" s="142"/>
      <c r="K119" s="142"/>
      <c r="L119" s="69"/>
      <c r="M119" s="69"/>
      <c r="N119" s="69"/>
      <c r="AT119" s="69"/>
    </row>
    <row r="120" spans="1:46" s="70" customFormat="1" x14ac:dyDescent="0.3">
      <c r="A120" s="69"/>
      <c r="B120" s="69"/>
      <c r="C120" s="69"/>
      <c r="D120" s="69"/>
      <c r="E120" s="69"/>
      <c r="F120" s="69"/>
      <c r="G120" s="69"/>
      <c r="H120" s="69"/>
      <c r="I120" s="142"/>
      <c r="J120" s="142"/>
      <c r="K120" s="142"/>
      <c r="L120" s="69"/>
      <c r="M120" s="69"/>
      <c r="N120" s="69"/>
      <c r="AT120" s="69"/>
    </row>
    <row r="121" spans="1:46" s="70" customFormat="1" x14ac:dyDescent="0.3">
      <c r="A121" s="69"/>
      <c r="B121" s="69"/>
      <c r="C121" s="69"/>
      <c r="D121" s="69"/>
      <c r="E121" s="69"/>
      <c r="F121" s="69"/>
      <c r="G121" s="69"/>
      <c r="H121" s="69"/>
      <c r="I121" s="142"/>
      <c r="J121" s="142"/>
      <c r="K121" s="142"/>
      <c r="L121" s="144"/>
      <c r="M121" s="69"/>
      <c r="N121" s="69"/>
      <c r="AT121" s="69"/>
    </row>
    <row r="122" spans="1:46" s="70" customFormat="1" x14ac:dyDescent="0.3">
      <c r="A122" s="69"/>
      <c r="B122" s="69"/>
      <c r="C122" s="69"/>
      <c r="D122" s="69"/>
      <c r="E122" s="69"/>
      <c r="F122" s="69"/>
      <c r="G122" s="69"/>
      <c r="H122" s="69"/>
      <c r="I122" s="142"/>
      <c r="J122" s="142"/>
      <c r="K122" s="142"/>
      <c r="L122" s="144"/>
      <c r="M122" s="69"/>
      <c r="N122" s="69"/>
      <c r="AT122" s="69"/>
    </row>
    <row r="123" spans="1:46" s="70" customFormat="1" x14ac:dyDescent="0.3">
      <c r="A123" s="69"/>
      <c r="B123" s="69"/>
      <c r="C123" s="69"/>
      <c r="D123" s="69"/>
      <c r="E123" s="69"/>
      <c r="F123" s="69"/>
      <c r="G123" s="69"/>
      <c r="H123" s="69"/>
      <c r="I123" s="142"/>
      <c r="J123" s="142"/>
      <c r="K123" s="142"/>
      <c r="L123" s="144"/>
      <c r="M123" s="69"/>
      <c r="AT123" s="69"/>
    </row>
    <row r="124" spans="1:46" s="70" customFormat="1" x14ac:dyDescent="0.3">
      <c r="A124" s="69"/>
      <c r="B124" s="69"/>
      <c r="C124" s="69"/>
      <c r="D124" s="69"/>
      <c r="E124" s="69"/>
      <c r="F124" s="69"/>
      <c r="G124" s="69"/>
      <c r="H124" s="69"/>
      <c r="I124" s="142"/>
      <c r="J124" s="142"/>
      <c r="K124" s="142"/>
      <c r="L124" s="144"/>
      <c r="M124" s="69"/>
      <c r="AT124" s="69"/>
    </row>
    <row r="125" spans="1:46" s="70" customFormat="1" x14ac:dyDescent="0.3">
      <c r="A125" s="69"/>
      <c r="B125" s="69"/>
      <c r="C125" s="69"/>
      <c r="D125" s="69"/>
      <c r="E125" s="69"/>
      <c r="F125" s="69"/>
      <c r="G125" s="69"/>
      <c r="H125" s="69"/>
      <c r="I125" s="142"/>
      <c r="J125" s="142"/>
      <c r="K125" s="142"/>
      <c r="L125" s="144"/>
      <c r="M125" s="69"/>
      <c r="AT125" s="69"/>
    </row>
    <row r="126" spans="1:46" s="70" customFormat="1" x14ac:dyDescent="0.3">
      <c r="A126" s="69"/>
      <c r="B126" s="69"/>
      <c r="C126" s="69"/>
      <c r="D126" s="69"/>
      <c r="E126" s="69"/>
      <c r="F126" s="69"/>
      <c r="G126" s="69"/>
      <c r="H126" s="69"/>
      <c r="I126" s="142"/>
      <c r="J126" s="142"/>
      <c r="K126" s="142"/>
      <c r="L126" s="144"/>
      <c r="M126" s="144"/>
      <c r="AT126" s="69"/>
    </row>
    <row r="127" spans="1:46" s="70" customFormat="1" x14ac:dyDescent="0.3">
      <c r="A127" s="69"/>
      <c r="B127" s="69"/>
      <c r="C127" s="69"/>
      <c r="D127" s="69"/>
      <c r="E127" s="69"/>
      <c r="F127" s="69"/>
      <c r="G127" s="69"/>
      <c r="H127" s="69"/>
      <c r="I127" s="142"/>
      <c r="J127" s="142"/>
      <c r="K127" s="142"/>
      <c r="L127" s="144"/>
      <c r="M127" s="144"/>
      <c r="AT127" s="69"/>
    </row>
    <row r="128" spans="1:46" s="70" customFormat="1" x14ac:dyDescent="0.3">
      <c r="A128" s="69"/>
      <c r="B128" s="69"/>
      <c r="C128" s="69"/>
      <c r="D128" s="69"/>
      <c r="E128" s="69"/>
      <c r="F128" s="69"/>
      <c r="I128" s="142"/>
      <c r="J128" s="142"/>
      <c r="K128" s="142"/>
      <c r="L128" s="144"/>
      <c r="M128" s="144"/>
      <c r="AT128" s="69"/>
    </row>
    <row r="129" spans="9:46" s="70" customFormat="1" x14ac:dyDescent="0.3">
      <c r="I129" s="142"/>
      <c r="J129" s="142"/>
      <c r="K129" s="142"/>
      <c r="L129" s="144"/>
      <c r="M129" s="144"/>
      <c r="AT129" s="69"/>
    </row>
    <row r="130" spans="9:46" s="70" customFormat="1" x14ac:dyDescent="0.3">
      <c r="I130" s="142"/>
      <c r="J130" s="142"/>
      <c r="K130" s="142"/>
      <c r="L130" s="144"/>
      <c r="M130" s="144"/>
      <c r="AT130" s="69"/>
    </row>
    <row r="131" spans="9:46" s="70" customFormat="1" x14ac:dyDescent="0.3">
      <c r="I131" s="142"/>
      <c r="J131" s="142"/>
      <c r="K131" s="142"/>
      <c r="L131" s="144"/>
      <c r="M131" s="144"/>
      <c r="AT131" s="69"/>
    </row>
    <row r="132" spans="9:46" s="70" customFormat="1" x14ac:dyDescent="0.3">
      <c r="I132" s="142"/>
      <c r="J132" s="142"/>
      <c r="K132" s="142"/>
      <c r="L132" s="144"/>
      <c r="M132" s="144"/>
      <c r="AT132" s="69"/>
    </row>
    <row r="133" spans="9:46" s="70" customFormat="1" x14ac:dyDescent="0.3">
      <c r="I133" s="142"/>
      <c r="J133" s="142"/>
      <c r="K133" s="142"/>
      <c r="L133" s="144"/>
      <c r="M133" s="144"/>
      <c r="AT133" s="69"/>
    </row>
    <row r="134" spans="9:46" s="70" customFormat="1" x14ac:dyDescent="0.3">
      <c r="I134" s="142"/>
      <c r="J134" s="142"/>
      <c r="K134" s="142"/>
      <c r="L134" s="144"/>
      <c r="M134" s="144"/>
      <c r="AT134" s="69"/>
    </row>
    <row r="135" spans="9:46" s="70" customFormat="1" x14ac:dyDescent="0.3">
      <c r="I135" s="142"/>
      <c r="J135" s="142"/>
      <c r="K135" s="142"/>
      <c r="L135" s="144"/>
      <c r="M135" s="144"/>
      <c r="AT135" s="69"/>
    </row>
    <row r="136" spans="9:46" s="70" customFormat="1" x14ac:dyDescent="0.3">
      <c r="I136" s="142"/>
      <c r="J136" s="142"/>
      <c r="K136" s="142"/>
      <c r="L136" s="144"/>
      <c r="M136" s="144"/>
      <c r="AT136" s="69"/>
    </row>
    <row r="137" spans="9:46" s="70" customFormat="1" x14ac:dyDescent="0.3">
      <c r="I137" s="142"/>
      <c r="J137" s="142"/>
      <c r="K137" s="142"/>
      <c r="L137" s="144"/>
      <c r="M137" s="144"/>
      <c r="AT137" s="69"/>
    </row>
    <row r="138" spans="9:46" s="70" customFormat="1" x14ac:dyDescent="0.3">
      <c r="I138" s="142"/>
      <c r="J138" s="142"/>
      <c r="K138" s="142"/>
      <c r="L138" s="144"/>
      <c r="M138" s="144"/>
      <c r="AT138" s="69"/>
    </row>
    <row r="139" spans="9:46" s="70" customFormat="1" x14ac:dyDescent="0.3">
      <c r="I139" s="142"/>
      <c r="J139" s="142"/>
      <c r="K139" s="142"/>
      <c r="L139" s="144"/>
      <c r="M139" s="144"/>
      <c r="AT139" s="69"/>
    </row>
    <row r="140" spans="9:46" s="70" customFormat="1" x14ac:dyDescent="0.3">
      <c r="I140" s="142"/>
      <c r="J140" s="142"/>
      <c r="K140" s="142"/>
      <c r="L140" s="144"/>
      <c r="M140" s="144"/>
      <c r="AT140" s="69"/>
    </row>
    <row r="141" spans="9:46" s="70" customFormat="1" x14ac:dyDescent="0.3">
      <c r="I141" s="142"/>
      <c r="J141" s="142"/>
      <c r="K141" s="142"/>
      <c r="L141" s="144"/>
      <c r="M141" s="144"/>
      <c r="AT141" s="69"/>
    </row>
    <row r="142" spans="9:46" s="70" customFormat="1" x14ac:dyDescent="0.3">
      <c r="I142" s="142"/>
      <c r="J142" s="142"/>
      <c r="K142" s="142"/>
      <c r="L142" s="144"/>
      <c r="M142" s="144"/>
      <c r="AT142" s="69"/>
    </row>
    <row r="143" spans="9:46" s="70" customFormat="1" x14ac:dyDescent="0.3">
      <c r="I143" s="142"/>
      <c r="J143" s="142"/>
      <c r="K143" s="142"/>
      <c r="L143" s="144"/>
      <c r="M143" s="144"/>
      <c r="AT143" s="69"/>
    </row>
    <row r="144" spans="9:46" s="70" customFormat="1" x14ac:dyDescent="0.3">
      <c r="I144" s="142"/>
      <c r="J144" s="142"/>
      <c r="K144" s="142"/>
      <c r="L144" s="144"/>
      <c r="M144" s="144"/>
      <c r="AT144" s="69"/>
    </row>
    <row r="145" spans="9:46" s="70" customFormat="1" x14ac:dyDescent="0.3">
      <c r="I145" s="142"/>
      <c r="J145" s="142"/>
      <c r="K145" s="142"/>
      <c r="L145" s="144"/>
      <c r="M145" s="144"/>
      <c r="AT145" s="69"/>
    </row>
    <row r="146" spans="9:46" s="70" customFormat="1" x14ac:dyDescent="0.3">
      <c r="I146" s="142"/>
      <c r="J146" s="142"/>
      <c r="K146" s="142"/>
      <c r="L146" s="144"/>
      <c r="M146" s="144"/>
      <c r="AT146" s="69"/>
    </row>
    <row r="147" spans="9:46" s="70" customFormat="1" x14ac:dyDescent="0.3">
      <c r="I147" s="142"/>
      <c r="J147" s="142"/>
      <c r="K147" s="142"/>
      <c r="L147" s="144"/>
      <c r="M147" s="144"/>
      <c r="AT147" s="69"/>
    </row>
    <row r="148" spans="9:46" s="70" customFormat="1" x14ac:dyDescent="0.3">
      <c r="I148" s="142"/>
      <c r="J148" s="142"/>
      <c r="K148" s="142"/>
      <c r="L148" s="144"/>
      <c r="M148" s="144"/>
      <c r="AT148" s="69"/>
    </row>
    <row r="149" spans="9:46" s="70" customFormat="1" x14ac:dyDescent="0.3">
      <c r="I149" s="142"/>
      <c r="J149" s="142"/>
      <c r="K149" s="142"/>
      <c r="L149" s="144"/>
      <c r="M149" s="144"/>
      <c r="AT149" s="69"/>
    </row>
    <row r="150" spans="9:46" s="70" customFormat="1" x14ac:dyDescent="0.3">
      <c r="I150" s="142"/>
      <c r="J150" s="142"/>
      <c r="K150" s="142"/>
      <c r="L150" s="144"/>
      <c r="M150" s="144"/>
      <c r="AT150" s="69"/>
    </row>
    <row r="151" spans="9:46" s="70" customFormat="1" x14ac:dyDescent="0.3">
      <c r="I151" s="142"/>
      <c r="J151" s="142"/>
      <c r="K151" s="142"/>
      <c r="L151" s="144"/>
      <c r="M151" s="144"/>
      <c r="AT151" s="69"/>
    </row>
    <row r="152" spans="9:46" s="70" customFormat="1" x14ac:dyDescent="0.3">
      <c r="I152" s="142"/>
      <c r="J152" s="142"/>
      <c r="K152" s="142"/>
      <c r="L152" s="144"/>
      <c r="M152" s="144"/>
      <c r="AT152" s="69"/>
    </row>
    <row r="153" spans="9:46" s="70" customFormat="1" x14ac:dyDescent="0.3">
      <c r="I153" s="142"/>
      <c r="J153" s="142"/>
      <c r="K153" s="142"/>
      <c r="L153" s="144"/>
      <c r="M153" s="144"/>
      <c r="AT153" s="69"/>
    </row>
    <row r="154" spans="9:46" s="70" customFormat="1" x14ac:dyDescent="0.3">
      <c r="I154" s="142"/>
      <c r="J154" s="142"/>
      <c r="K154" s="142"/>
      <c r="L154" s="144"/>
      <c r="M154" s="144"/>
      <c r="AT154" s="69"/>
    </row>
    <row r="155" spans="9:46" s="70" customFormat="1" x14ac:dyDescent="0.3">
      <c r="I155" s="142"/>
      <c r="J155" s="142"/>
      <c r="K155" s="142"/>
      <c r="L155" s="144"/>
      <c r="M155" s="144"/>
      <c r="AT155" s="69"/>
    </row>
    <row r="156" spans="9:46" s="70" customFormat="1" x14ac:dyDescent="0.3">
      <c r="I156" s="142"/>
      <c r="J156" s="142"/>
      <c r="K156" s="142"/>
      <c r="L156" s="144"/>
      <c r="M156" s="144"/>
      <c r="AT156" s="69"/>
    </row>
    <row r="157" spans="9:46" s="70" customFormat="1" x14ac:dyDescent="0.3">
      <c r="I157" s="142"/>
      <c r="J157" s="142"/>
      <c r="K157" s="142"/>
      <c r="L157" s="144"/>
      <c r="M157" s="144"/>
      <c r="AT157" s="69"/>
    </row>
    <row r="158" spans="9:46" s="70" customFormat="1" x14ac:dyDescent="0.3">
      <c r="I158" s="142"/>
      <c r="J158" s="142"/>
      <c r="K158" s="142"/>
      <c r="L158" s="144"/>
      <c r="M158" s="144"/>
      <c r="AT158" s="69"/>
    </row>
    <row r="159" spans="9:46" s="70" customFormat="1" x14ac:dyDescent="0.3">
      <c r="I159" s="142"/>
      <c r="J159" s="142"/>
      <c r="K159" s="142"/>
      <c r="L159" s="144"/>
      <c r="M159" s="144"/>
      <c r="AT159" s="69"/>
    </row>
    <row r="160" spans="9:46" s="70" customFormat="1" x14ac:dyDescent="0.3">
      <c r="I160" s="142"/>
      <c r="J160" s="142"/>
      <c r="K160" s="142"/>
      <c r="L160" s="144"/>
      <c r="M160" s="144"/>
      <c r="AT160" s="69"/>
    </row>
    <row r="161" spans="9:46" s="70" customFormat="1" x14ac:dyDescent="0.3">
      <c r="I161" s="142"/>
      <c r="J161" s="142"/>
      <c r="K161" s="142"/>
      <c r="L161" s="144"/>
      <c r="M161" s="144"/>
      <c r="AT161" s="69"/>
    </row>
    <row r="162" spans="9:46" s="70" customFormat="1" x14ac:dyDescent="0.3">
      <c r="I162" s="142"/>
      <c r="J162" s="142"/>
      <c r="K162" s="142"/>
      <c r="L162" s="144"/>
      <c r="M162" s="144"/>
      <c r="AT162" s="69"/>
    </row>
    <row r="163" spans="9:46" s="70" customFormat="1" x14ac:dyDescent="0.3">
      <c r="I163" s="142"/>
      <c r="J163" s="142"/>
      <c r="K163" s="142"/>
      <c r="L163" s="144"/>
      <c r="M163" s="144"/>
      <c r="AT163" s="69"/>
    </row>
    <row r="164" spans="9:46" s="70" customFormat="1" x14ac:dyDescent="0.3">
      <c r="I164" s="142"/>
      <c r="J164" s="142"/>
      <c r="K164" s="142"/>
      <c r="L164" s="144"/>
      <c r="M164" s="144"/>
      <c r="AT164" s="69"/>
    </row>
    <row r="165" spans="9:46" s="70" customFormat="1" x14ac:dyDescent="0.3">
      <c r="I165" s="142"/>
      <c r="J165" s="142"/>
      <c r="K165" s="142"/>
      <c r="L165" s="144"/>
      <c r="M165" s="144"/>
      <c r="AT165" s="69"/>
    </row>
    <row r="166" spans="9:46" s="70" customFormat="1" x14ac:dyDescent="0.3">
      <c r="I166" s="142"/>
      <c r="J166" s="142"/>
      <c r="K166" s="142"/>
      <c r="L166" s="144"/>
      <c r="M166" s="144"/>
      <c r="AT166" s="69"/>
    </row>
    <row r="167" spans="9:46" s="70" customFormat="1" x14ac:dyDescent="0.3">
      <c r="I167" s="142"/>
      <c r="J167" s="142"/>
      <c r="K167" s="142"/>
      <c r="L167" s="144"/>
      <c r="M167" s="144"/>
      <c r="AT167" s="69"/>
    </row>
    <row r="168" spans="9:46" s="70" customFormat="1" x14ac:dyDescent="0.3">
      <c r="I168" s="142"/>
      <c r="J168" s="142"/>
      <c r="K168" s="142"/>
      <c r="L168" s="144"/>
      <c r="M168" s="144"/>
      <c r="AT168" s="69"/>
    </row>
    <row r="169" spans="9:46" s="70" customFormat="1" x14ac:dyDescent="0.3">
      <c r="I169" s="142"/>
      <c r="J169" s="142"/>
      <c r="K169" s="142"/>
      <c r="L169" s="144"/>
      <c r="M169" s="144"/>
      <c r="AT169" s="69"/>
    </row>
    <row r="170" spans="9:46" s="70" customFormat="1" x14ac:dyDescent="0.3">
      <c r="I170" s="142"/>
      <c r="J170" s="142"/>
      <c r="K170" s="142"/>
      <c r="L170" s="144"/>
      <c r="M170" s="144"/>
      <c r="AT170" s="69"/>
    </row>
    <row r="171" spans="9:46" s="70" customFormat="1" x14ac:dyDescent="0.3">
      <c r="I171" s="142"/>
      <c r="J171" s="142"/>
      <c r="K171" s="142"/>
      <c r="L171" s="144"/>
      <c r="M171" s="144"/>
      <c r="AT171" s="69"/>
    </row>
    <row r="172" spans="9:46" s="70" customFormat="1" x14ac:dyDescent="0.3">
      <c r="I172" s="142"/>
      <c r="J172" s="142"/>
      <c r="K172" s="142"/>
      <c r="L172" s="144"/>
      <c r="M172" s="144"/>
      <c r="AT172" s="69"/>
    </row>
    <row r="173" spans="9:46" s="70" customFormat="1" x14ac:dyDescent="0.3">
      <c r="I173" s="142"/>
      <c r="J173" s="142"/>
      <c r="K173" s="142"/>
      <c r="L173" s="144"/>
      <c r="M173" s="144"/>
      <c r="AT173" s="69"/>
    </row>
    <row r="174" spans="9:46" s="70" customFormat="1" x14ac:dyDescent="0.3">
      <c r="I174" s="142"/>
      <c r="J174" s="142"/>
      <c r="K174" s="142"/>
      <c r="L174" s="144"/>
      <c r="M174" s="144"/>
      <c r="AT174" s="69"/>
    </row>
    <row r="175" spans="9:46" s="70" customFormat="1" x14ac:dyDescent="0.3">
      <c r="I175" s="142"/>
      <c r="J175" s="142"/>
      <c r="K175" s="142"/>
      <c r="L175" s="144"/>
      <c r="M175" s="144"/>
      <c r="AT175" s="69"/>
    </row>
    <row r="176" spans="9:46" s="70" customFormat="1" x14ac:dyDescent="0.3">
      <c r="I176" s="142"/>
      <c r="J176" s="142"/>
      <c r="K176" s="142"/>
      <c r="L176" s="144"/>
      <c r="M176" s="144"/>
      <c r="AT176" s="69"/>
    </row>
    <row r="177" spans="1:47" s="70" customFormat="1" x14ac:dyDescent="0.3">
      <c r="I177" s="142"/>
      <c r="J177" s="142"/>
      <c r="K177" s="142"/>
      <c r="L177" s="144"/>
      <c r="M177" s="144"/>
      <c r="AT177" s="69"/>
    </row>
    <row r="178" spans="1:47" s="70" customFormat="1" x14ac:dyDescent="0.3">
      <c r="I178" s="142"/>
      <c r="J178" s="142"/>
      <c r="K178" s="142"/>
      <c r="L178" s="144"/>
      <c r="M178" s="144"/>
      <c r="AT178" s="69"/>
    </row>
    <row r="179" spans="1:47" s="70" customFormat="1" x14ac:dyDescent="0.3">
      <c r="I179" s="142"/>
      <c r="J179" s="142"/>
      <c r="K179" s="142"/>
      <c r="L179" s="144"/>
      <c r="M179" s="144"/>
      <c r="AT179" s="69"/>
    </row>
    <row r="180" spans="1:47" s="70" customFormat="1" x14ac:dyDescent="0.3">
      <c r="I180" s="142"/>
      <c r="J180" s="142"/>
      <c r="K180" s="142"/>
      <c r="L180" s="144"/>
      <c r="M180" s="144"/>
      <c r="AT180" s="69"/>
    </row>
    <row r="181" spans="1:47" s="70" customFormat="1" x14ac:dyDescent="0.3">
      <c r="I181" s="142"/>
      <c r="J181" s="142"/>
      <c r="K181" s="142"/>
      <c r="L181" s="144"/>
      <c r="M181" s="144"/>
      <c r="AT181" s="69"/>
    </row>
    <row r="182" spans="1:47" s="70" customFormat="1" x14ac:dyDescent="0.3">
      <c r="I182" s="142"/>
      <c r="J182" s="142"/>
      <c r="K182" s="142"/>
      <c r="L182" s="144"/>
      <c r="M182" s="144"/>
      <c r="AT182" s="69"/>
    </row>
    <row r="183" spans="1:47" s="145" customFormat="1" x14ac:dyDescent="0.3">
      <c r="A183" s="70"/>
      <c r="B183" s="70"/>
      <c r="C183" s="70"/>
      <c r="D183" s="70"/>
      <c r="E183" s="70"/>
      <c r="F183" s="70"/>
      <c r="G183" s="70"/>
      <c r="H183" s="70"/>
      <c r="I183" s="142"/>
      <c r="J183" s="142"/>
      <c r="K183" s="142"/>
      <c r="L183" s="144"/>
      <c r="M183" s="144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69"/>
      <c r="AU183" s="70"/>
    </row>
    <row r="184" spans="1:47" s="145" customFormat="1" x14ac:dyDescent="0.3">
      <c r="A184" s="70"/>
      <c r="B184" s="70"/>
      <c r="C184" s="70"/>
      <c r="D184" s="70"/>
      <c r="E184" s="70"/>
      <c r="F184" s="70"/>
      <c r="G184" s="70"/>
      <c r="H184" s="70"/>
      <c r="I184" s="142"/>
      <c r="J184" s="142"/>
      <c r="K184" s="142"/>
      <c r="L184" s="144"/>
      <c r="M184" s="144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69"/>
      <c r="AU184" s="70"/>
    </row>
    <row r="185" spans="1:47" s="145" customFormat="1" x14ac:dyDescent="0.3">
      <c r="A185" s="70"/>
      <c r="B185" s="70"/>
      <c r="C185" s="70"/>
      <c r="D185" s="70"/>
      <c r="E185" s="70"/>
      <c r="F185" s="70"/>
      <c r="G185" s="70"/>
      <c r="H185" s="70"/>
      <c r="I185" s="142"/>
      <c r="J185" s="142"/>
      <c r="K185" s="142"/>
      <c r="L185" s="144"/>
      <c r="M185" s="144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69"/>
      <c r="AU185" s="70"/>
    </row>
    <row r="186" spans="1:47" s="145" customFormat="1" x14ac:dyDescent="0.3">
      <c r="A186" s="70"/>
      <c r="B186" s="70"/>
      <c r="C186" s="70"/>
      <c r="D186" s="70"/>
      <c r="E186" s="70"/>
      <c r="F186" s="70"/>
      <c r="G186" s="70"/>
      <c r="H186" s="70"/>
      <c r="I186" s="142"/>
      <c r="J186" s="142"/>
      <c r="K186" s="142"/>
      <c r="L186" s="144"/>
      <c r="M186" s="144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69"/>
      <c r="AU186" s="70"/>
    </row>
    <row r="187" spans="1:47" s="145" customFormat="1" x14ac:dyDescent="0.3">
      <c r="A187" s="70"/>
      <c r="B187" s="70"/>
      <c r="C187" s="70"/>
      <c r="D187" s="70"/>
      <c r="E187" s="70"/>
      <c r="F187" s="70"/>
      <c r="G187" s="70"/>
      <c r="H187" s="70"/>
      <c r="I187" s="142"/>
      <c r="J187" s="142"/>
      <c r="K187" s="142"/>
      <c r="L187" s="144"/>
      <c r="M187" s="144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69"/>
      <c r="AU187" s="70"/>
    </row>
    <row r="188" spans="1:47" s="145" customFormat="1" x14ac:dyDescent="0.3">
      <c r="A188" s="70"/>
      <c r="B188" s="70"/>
      <c r="C188" s="70"/>
      <c r="D188" s="70"/>
      <c r="E188" s="70"/>
      <c r="F188" s="70"/>
      <c r="G188" s="70"/>
      <c r="H188" s="70"/>
      <c r="I188" s="142"/>
      <c r="J188" s="142"/>
      <c r="K188" s="142"/>
      <c r="L188" s="144"/>
      <c r="M188" s="144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69"/>
      <c r="AU188" s="70"/>
    </row>
    <row r="189" spans="1:47" s="145" customFormat="1" x14ac:dyDescent="0.3">
      <c r="A189" s="70"/>
      <c r="B189" s="70"/>
      <c r="C189" s="70"/>
      <c r="D189" s="70"/>
      <c r="E189" s="70"/>
      <c r="F189" s="70"/>
      <c r="G189" s="70"/>
      <c r="H189" s="70"/>
      <c r="I189" s="142"/>
      <c r="J189" s="142"/>
      <c r="K189" s="142"/>
      <c r="L189" s="144"/>
      <c r="M189" s="144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69"/>
      <c r="AU189" s="70"/>
    </row>
    <row r="190" spans="1:47" s="145" customFormat="1" x14ac:dyDescent="0.3">
      <c r="A190" s="70"/>
      <c r="B190" s="70"/>
      <c r="C190" s="70"/>
      <c r="D190" s="70"/>
      <c r="E190" s="70"/>
      <c r="F190" s="70"/>
      <c r="G190" s="70"/>
      <c r="H190" s="70"/>
      <c r="I190" s="142"/>
      <c r="J190" s="142"/>
      <c r="K190" s="142"/>
      <c r="L190" s="144"/>
      <c r="M190" s="144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69"/>
      <c r="AU190" s="70"/>
    </row>
    <row r="191" spans="1:47" s="145" customFormat="1" x14ac:dyDescent="0.3">
      <c r="A191" s="70"/>
      <c r="B191" s="70"/>
      <c r="C191" s="70"/>
      <c r="D191" s="70"/>
      <c r="E191" s="70"/>
      <c r="F191" s="70"/>
      <c r="G191" s="70"/>
      <c r="H191" s="70"/>
      <c r="I191" s="142"/>
      <c r="J191" s="142"/>
      <c r="K191" s="142"/>
      <c r="L191" s="144"/>
      <c r="M191" s="144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69"/>
      <c r="AU191" s="70"/>
    </row>
    <row r="192" spans="1:47" s="145" customFormat="1" x14ac:dyDescent="0.3">
      <c r="A192" s="70"/>
      <c r="B192" s="70"/>
      <c r="C192" s="70"/>
      <c r="D192" s="70"/>
      <c r="E192" s="70"/>
      <c r="F192" s="70"/>
      <c r="G192" s="70"/>
      <c r="H192" s="70"/>
      <c r="I192" s="142"/>
      <c r="J192" s="142"/>
      <c r="K192" s="142"/>
      <c r="L192" s="144"/>
      <c r="M192" s="144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69"/>
      <c r="AU192" s="70"/>
    </row>
    <row r="193" spans="1:47" s="145" customFormat="1" x14ac:dyDescent="0.3">
      <c r="A193" s="70"/>
      <c r="B193" s="70"/>
      <c r="C193" s="70"/>
      <c r="D193" s="70"/>
      <c r="E193" s="70"/>
      <c r="F193" s="70"/>
      <c r="G193" s="70"/>
      <c r="H193" s="70"/>
      <c r="I193" s="142"/>
      <c r="J193" s="142"/>
      <c r="K193" s="142"/>
      <c r="L193" s="144"/>
      <c r="M193" s="144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69"/>
      <c r="AU193" s="70"/>
    </row>
    <row r="194" spans="1:47" s="145" customFormat="1" x14ac:dyDescent="0.3">
      <c r="A194" s="70"/>
      <c r="B194" s="70"/>
      <c r="C194" s="70"/>
      <c r="D194" s="70"/>
      <c r="E194" s="70"/>
      <c r="F194" s="70"/>
      <c r="G194" s="70"/>
      <c r="H194" s="70"/>
      <c r="I194" s="142"/>
      <c r="J194" s="142"/>
      <c r="K194" s="142"/>
      <c r="L194" s="144"/>
      <c r="M194" s="144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69"/>
      <c r="AU194" s="70"/>
    </row>
    <row r="195" spans="1:47" s="145" customFormat="1" x14ac:dyDescent="0.3">
      <c r="A195" s="70"/>
      <c r="B195" s="70"/>
      <c r="C195" s="70"/>
      <c r="D195" s="70"/>
      <c r="E195" s="70"/>
      <c r="F195" s="70"/>
      <c r="G195" s="70"/>
      <c r="H195" s="70"/>
      <c r="I195" s="146"/>
      <c r="J195" s="146"/>
      <c r="K195" s="146"/>
      <c r="L195" s="144"/>
      <c r="M195" s="144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69"/>
      <c r="AU195" s="70"/>
    </row>
    <row r="196" spans="1:47" s="145" customFormat="1" x14ac:dyDescent="0.3">
      <c r="A196" s="70"/>
      <c r="B196" s="70"/>
      <c r="C196" s="70"/>
      <c r="D196" s="70"/>
      <c r="E196" s="70"/>
      <c r="F196" s="70"/>
      <c r="G196" s="70"/>
      <c r="H196" s="70"/>
      <c r="I196" s="146"/>
      <c r="J196" s="146"/>
      <c r="K196" s="146"/>
      <c r="L196" s="144"/>
      <c r="M196" s="144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69"/>
      <c r="AU196" s="70"/>
    </row>
    <row r="197" spans="1:47" s="145" customFormat="1" x14ac:dyDescent="0.3">
      <c r="A197" s="70"/>
      <c r="B197" s="70"/>
      <c r="C197" s="70"/>
      <c r="D197" s="70"/>
      <c r="E197" s="70"/>
      <c r="F197" s="70"/>
      <c r="G197" s="70"/>
      <c r="H197" s="70"/>
      <c r="I197" s="146"/>
      <c r="J197" s="146"/>
      <c r="K197" s="146"/>
      <c r="L197" s="144"/>
      <c r="M197" s="144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69"/>
      <c r="AU197" s="70"/>
    </row>
    <row r="198" spans="1:47" s="145" customFormat="1" x14ac:dyDescent="0.3">
      <c r="A198" s="70"/>
      <c r="B198" s="70"/>
      <c r="C198" s="70"/>
      <c r="D198" s="70"/>
      <c r="E198" s="70"/>
      <c r="F198" s="70"/>
      <c r="G198" s="70"/>
      <c r="H198" s="70"/>
      <c r="I198" s="146"/>
      <c r="J198" s="146"/>
      <c r="K198" s="146"/>
      <c r="L198" s="147"/>
      <c r="M198" s="144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69"/>
      <c r="AU198" s="70"/>
    </row>
    <row r="199" spans="1:47" s="145" customFormat="1" x14ac:dyDescent="0.3">
      <c r="A199" s="70"/>
      <c r="B199" s="70"/>
      <c r="C199" s="70"/>
      <c r="D199" s="70"/>
      <c r="E199" s="70"/>
      <c r="F199" s="70"/>
      <c r="G199" s="70"/>
      <c r="H199" s="70"/>
      <c r="I199" s="146"/>
      <c r="J199" s="146"/>
      <c r="K199" s="146"/>
      <c r="L199" s="147"/>
      <c r="M199" s="144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69"/>
      <c r="AU199" s="70"/>
    </row>
    <row r="200" spans="1:47" x14ac:dyDescent="0.3">
      <c r="A200" s="70"/>
      <c r="B200" s="70"/>
      <c r="C200" s="70"/>
      <c r="D200" s="70"/>
      <c r="E200" s="70"/>
      <c r="F200" s="70"/>
      <c r="G200" s="70"/>
      <c r="H200" s="70"/>
      <c r="I200" s="146"/>
      <c r="J200" s="146"/>
      <c r="K200" s="146"/>
      <c r="L200" s="147"/>
      <c r="M200" s="144"/>
      <c r="N200" s="70"/>
      <c r="AT200" s="148"/>
      <c r="AU200" s="148"/>
    </row>
    <row r="201" spans="1:47" x14ac:dyDescent="0.3">
      <c r="A201" s="70"/>
      <c r="B201" s="70"/>
      <c r="C201" s="70"/>
      <c r="D201" s="70"/>
      <c r="E201" s="70"/>
      <c r="F201" s="70"/>
      <c r="G201" s="70"/>
      <c r="H201" s="70"/>
      <c r="I201" s="146"/>
      <c r="J201" s="146"/>
      <c r="K201" s="146"/>
      <c r="L201" s="147"/>
      <c r="M201" s="144"/>
      <c r="N201" s="149"/>
      <c r="AT201" s="148"/>
      <c r="AU201" s="148"/>
    </row>
    <row r="202" spans="1:47" x14ac:dyDescent="0.3">
      <c r="A202" s="70"/>
      <c r="B202" s="70"/>
      <c r="C202" s="70"/>
      <c r="D202" s="70"/>
      <c r="E202" s="70"/>
      <c r="F202" s="70"/>
      <c r="G202" s="70"/>
      <c r="H202" s="70"/>
      <c r="I202" s="146"/>
      <c r="J202" s="146"/>
      <c r="K202" s="146"/>
      <c r="L202" s="147"/>
      <c r="M202" s="144"/>
      <c r="N202" s="149"/>
      <c r="AT202" s="148"/>
      <c r="AU202" s="148"/>
    </row>
    <row r="203" spans="1:47" x14ac:dyDescent="0.3">
      <c r="A203" s="70"/>
      <c r="B203" s="70"/>
      <c r="C203" s="70"/>
      <c r="D203" s="70"/>
      <c r="E203" s="70"/>
      <c r="F203" s="70"/>
      <c r="G203" s="70"/>
      <c r="H203" s="70"/>
      <c r="I203" s="146"/>
      <c r="J203" s="146"/>
      <c r="K203" s="146"/>
      <c r="L203" s="147"/>
      <c r="M203" s="147"/>
      <c r="N203" s="149"/>
      <c r="AT203" s="148"/>
      <c r="AU203" s="148"/>
    </row>
    <row r="204" spans="1:47" x14ac:dyDescent="0.3">
      <c r="A204" s="70"/>
      <c r="B204" s="70"/>
      <c r="C204" s="70"/>
      <c r="D204" s="70"/>
      <c r="E204" s="70"/>
      <c r="F204" s="70"/>
      <c r="G204" s="70"/>
      <c r="H204" s="70"/>
      <c r="I204" s="146"/>
      <c r="J204" s="146"/>
      <c r="K204" s="146"/>
      <c r="L204" s="147"/>
      <c r="M204" s="147"/>
      <c r="N204" s="149"/>
      <c r="AT204" s="148"/>
      <c r="AU204" s="148"/>
    </row>
    <row r="205" spans="1:47" x14ac:dyDescent="0.3">
      <c r="A205" s="70"/>
      <c r="B205" s="70"/>
      <c r="C205" s="70"/>
      <c r="D205" s="70"/>
      <c r="E205" s="70"/>
      <c r="F205" s="70"/>
      <c r="G205" s="149"/>
      <c r="H205" s="149"/>
      <c r="I205" s="146"/>
      <c r="J205" s="146"/>
      <c r="K205" s="146"/>
      <c r="L205" s="147"/>
      <c r="M205" s="147"/>
      <c r="N205" s="149"/>
      <c r="AT205" s="148"/>
      <c r="AU205" s="148"/>
    </row>
    <row r="206" spans="1:47" x14ac:dyDescent="0.3">
      <c r="A206" s="149"/>
      <c r="B206" s="149"/>
      <c r="C206" s="149"/>
      <c r="D206" s="149"/>
      <c r="E206" s="149"/>
      <c r="F206" s="149"/>
      <c r="G206" s="149"/>
      <c r="H206" s="149"/>
      <c r="I206" s="146"/>
      <c r="J206" s="146"/>
      <c r="K206" s="146"/>
      <c r="L206" s="147"/>
      <c r="M206" s="147"/>
      <c r="N206" s="149"/>
      <c r="AT206" s="148"/>
      <c r="AU206" s="148"/>
    </row>
    <row r="207" spans="1:47" x14ac:dyDescent="0.3">
      <c r="A207" s="149"/>
      <c r="B207" s="149"/>
      <c r="C207" s="149"/>
      <c r="D207" s="149"/>
      <c r="E207" s="149"/>
      <c r="F207" s="149"/>
      <c r="G207" s="149"/>
      <c r="H207" s="149"/>
      <c r="I207" s="146"/>
      <c r="J207" s="146"/>
      <c r="K207" s="146"/>
      <c r="L207" s="147"/>
      <c r="M207" s="147"/>
      <c r="N207" s="149"/>
      <c r="AT207" s="148"/>
      <c r="AU207" s="148"/>
    </row>
    <row r="208" spans="1:47" x14ac:dyDescent="0.3">
      <c r="A208" s="149"/>
      <c r="B208" s="149"/>
      <c r="C208" s="149"/>
      <c r="D208" s="149"/>
      <c r="E208" s="149"/>
      <c r="F208" s="149"/>
      <c r="G208" s="149"/>
      <c r="H208" s="149"/>
      <c r="I208" s="146"/>
      <c r="J208" s="146"/>
      <c r="K208" s="146"/>
      <c r="L208" s="147"/>
      <c r="M208" s="147"/>
      <c r="N208" s="149"/>
      <c r="AT208" s="148"/>
      <c r="AU208" s="148"/>
    </row>
    <row r="209" spans="1:47" x14ac:dyDescent="0.3">
      <c r="A209" s="149"/>
      <c r="B209" s="149"/>
      <c r="C209" s="149"/>
      <c r="D209" s="149"/>
      <c r="E209" s="149"/>
      <c r="F209" s="149"/>
      <c r="G209" s="149"/>
      <c r="H209" s="149"/>
      <c r="I209" s="146"/>
      <c r="J209" s="146"/>
      <c r="K209" s="146"/>
      <c r="L209" s="147"/>
      <c r="M209" s="147"/>
      <c r="N209" s="149"/>
      <c r="AT209" s="148"/>
      <c r="AU209" s="148"/>
    </row>
    <row r="210" spans="1:47" x14ac:dyDescent="0.3">
      <c r="A210" s="149"/>
      <c r="B210" s="149"/>
      <c r="C210" s="149"/>
      <c r="D210" s="149"/>
      <c r="E210" s="149"/>
      <c r="F210" s="149"/>
      <c r="G210" s="149"/>
      <c r="H210" s="149"/>
      <c r="I210" s="146"/>
      <c r="J210" s="146"/>
      <c r="K210" s="146"/>
      <c r="L210" s="147"/>
      <c r="M210" s="147"/>
      <c r="N210" s="149"/>
      <c r="AT210" s="148"/>
      <c r="AU210" s="148"/>
    </row>
    <row r="211" spans="1:47" x14ac:dyDescent="0.3">
      <c r="A211" s="149"/>
      <c r="B211" s="149"/>
      <c r="C211" s="149"/>
      <c r="D211" s="149"/>
      <c r="E211" s="149"/>
      <c r="F211" s="149"/>
      <c r="G211" s="149"/>
      <c r="H211" s="149"/>
      <c r="I211" s="146"/>
      <c r="J211" s="146"/>
      <c r="K211" s="146"/>
      <c r="L211" s="147"/>
      <c r="M211" s="147"/>
      <c r="N211" s="149"/>
      <c r="AT211" s="148"/>
      <c r="AU211" s="148"/>
    </row>
    <row r="212" spans="1:47" x14ac:dyDescent="0.3">
      <c r="A212" s="149"/>
      <c r="B212" s="149"/>
      <c r="C212" s="149"/>
      <c r="D212" s="149"/>
      <c r="E212" s="149"/>
      <c r="F212" s="149"/>
      <c r="G212" s="149"/>
      <c r="H212" s="149"/>
      <c r="L212" s="147"/>
      <c r="M212" s="147"/>
      <c r="N212" s="149"/>
    </row>
    <row r="213" spans="1:47" x14ac:dyDescent="0.3">
      <c r="A213" s="149"/>
      <c r="B213" s="149"/>
      <c r="C213" s="149"/>
      <c r="D213" s="149"/>
      <c r="E213" s="149"/>
      <c r="F213" s="149"/>
      <c r="G213" s="149"/>
      <c r="H213" s="149"/>
      <c r="L213" s="147"/>
      <c r="M213" s="147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69"/>
      <c r="AJ213" s="69"/>
      <c r="AK213" s="69"/>
      <c r="AL213" s="69"/>
      <c r="AM213" s="69"/>
      <c r="AN213" s="69"/>
      <c r="AO213" s="69"/>
      <c r="AP213" s="69"/>
      <c r="AQ213" s="69"/>
      <c r="AR213" s="69"/>
      <c r="AS213" s="69"/>
      <c r="AT213" s="148"/>
      <c r="AU213" s="148"/>
    </row>
    <row r="214" spans="1:47" x14ac:dyDescent="0.3">
      <c r="A214" s="149"/>
      <c r="B214" s="149"/>
      <c r="C214" s="149"/>
      <c r="D214" s="149"/>
      <c r="E214" s="149"/>
      <c r="F214" s="149"/>
      <c r="G214" s="149"/>
      <c r="H214" s="149"/>
      <c r="L214" s="147"/>
      <c r="M214" s="147"/>
    </row>
    <row r="215" spans="1:47" x14ac:dyDescent="0.3">
      <c r="A215" s="149"/>
      <c r="B215" s="149"/>
      <c r="C215" s="149"/>
      <c r="D215" s="149"/>
      <c r="E215" s="149"/>
      <c r="F215" s="149"/>
      <c r="G215" s="149"/>
      <c r="H215" s="149"/>
      <c r="M215" s="147"/>
    </row>
    <row r="216" spans="1:47" x14ac:dyDescent="0.3">
      <c r="A216" s="149"/>
      <c r="B216" s="149"/>
      <c r="C216" s="149"/>
      <c r="D216" s="149"/>
      <c r="E216" s="149"/>
      <c r="F216" s="149"/>
      <c r="G216" s="149"/>
      <c r="H216" s="149"/>
      <c r="M216" s="147"/>
    </row>
    <row r="217" spans="1:47" x14ac:dyDescent="0.3">
      <c r="A217" s="149"/>
      <c r="B217" s="149"/>
      <c r="C217" s="149"/>
      <c r="D217" s="149"/>
      <c r="E217" s="149"/>
      <c r="F217" s="149"/>
      <c r="G217" s="149"/>
      <c r="H217" s="149"/>
      <c r="M217" s="147"/>
    </row>
    <row r="218" spans="1:47" x14ac:dyDescent="0.3">
      <c r="A218" s="149"/>
      <c r="B218" s="149"/>
      <c r="C218" s="149"/>
      <c r="D218" s="149"/>
      <c r="E218" s="149"/>
      <c r="F218" s="149"/>
      <c r="G218" s="149"/>
      <c r="H218" s="149"/>
      <c r="M218" s="147"/>
    </row>
    <row r="219" spans="1:47" x14ac:dyDescent="0.3">
      <c r="A219" s="149"/>
      <c r="B219" s="149"/>
      <c r="C219" s="149"/>
      <c r="D219" s="149"/>
      <c r="E219" s="149"/>
      <c r="F219" s="149"/>
      <c r="G219" s="149"/>
      <c r="H219" s="149"/>
      <c r="L219" s="148"/>
      <c r="M219" s="147"/>
    </row>
    <row r="220" spans="1:47" x14ac:dyDescent="0.3">
      <c r="A220" s="149"/>
      <c r="B220" s="149"/>
      <c r="C220" s="149"/>
      <c r="D220" s="149"/>
      <c r="E220" s="149"/>
      <c r="F220" s="149"/>
      <c r="G220" s="149"/>
      <c r="H220" s="149"/>
    </row>
    <row r="221" spans="1:47" x14ac:dyDescent="0.3">
      <c r="A221" s="149"/>
      <c r="B221" s="149"/>
      <c r="C221" s="149"/>
      <c r="D221" s="149"/>
      <c r="E221" s="149"/>
      <c r="F221" s="149"/>
      <c r="G221" s="149"/>
      <c r="H221" s="149"/>
    </row>
    <row r="222" spans="1:47" x14ac:dyDescent="0.3">
      <c r="A222" s="149"/>
      <c r="B222" s="149"/>
      <c r="C222" s="149"/>
      <c r="D222" s="149"/>
      <c r="E222" s="149"/>
      <c r="F222" s="149"/>
    </row>
    <row r="225" spans="9:11" x14ac:dyDescent="0.3">
      <c r="I225" s="148"/>
      <c r="J225" s="148"/>
      <c r="K225" s="148"/>
    </row>
    <row r="1048557" spans="1:58" s="70" customFormat="1" x14ac:dyDescent="0.3">
      <c r="A1048557" s="148"/>
      <c r="B1048557" s="148"/>
      <c r="C1048557" s="148"/>
      <c r="D1048557" s="148"/>
      <c r="E1048557" s="148"/>
      <c r="F1048557" s="148"/>
      <c r="G1048557" s="148"/>
      <c r="H1048557" s="148"/>
      <c r="I1048557" s="150"/>
      <c r="J1048557" s="150"/>
      <c r="K1048557" s="150"/>
      <c r="L1048557" s="150"/>
      <c r="M1048557" s="150"/>
      <c r="N1048557" s="57"/>
      <c r="AT1048557" s="69"/>
      <c r="AU1048557" s="69"/>
      <c r="AV1048557" s="148"/>
      <c r="AW1048557" s="148"/>
      <c r="AX1048557" s="148"/>
      <c r="AY1048557" s="148"/>
      <c r="AZ1048557" s="148"/>
      <c r="BA1048557" s="148"/>
      <c r="BB1048557" s="148"/>
      <c r="BC1048557" s="148"/>
      <c r="BD1048557" s="148"/>
      <c r="BE1048557" s="148"/>
      <c r="BF1048557" s="148"/>
    </row>
  </sheetData>
  <mergeCells count="40">
    <mergeCell ref="A38:N38"/>
    <mergeCell ref="A1:N1"/>
    <mergeCell ref="A2:N2"/>
    <mergeCell ref="A6:B6"/>
    <mergeCell ref="A7:N7"/>
    <mergeCell ref="A36:B36"/>
    <mergeCell ref="D39:H39"/>
    <mergeCell ref="D40:H40"/>
    <mergeCell ref="A41:H41"/>
    <mergeCell ref="A42:N42"/>
    <mergeCell ref="A43:F43"/>
    <mergeCell ref="L43:N43"/>
    <mergeCell ref="L57:M57"/>
    <mergeCell ref="L44:M44"/>
    <mergeCell ref="L45:M45"/>
    <mergeCell ref="L46:N47"/>
    <mergeCell ref="L48:N48"/>
    <mergeCell ref="L49:M49"/>
    <mergeCell ref="L50:M50"/>
    <mergeCell ref="L51:M51"/>
    <mergeCell ref="L52:M52"/>
    <mergeCell ref="L54:M54"/>
    <mergeCell ref="L55:M55"/>
    <mergeCell ref="L56:M56"/>
    <mergeCell ref="L70:M70"/>
    <mergeCell ref="L71:N71"/>
    <mergeCell ref="L72:M72"/>
    <mergeCell ref="L53:M53"/>
    <mergeCell ref="L64:M64"/>
    <mergeCell ref="L65:M65"/>
    <mergeCell ref="L66:M66"/>
    <mergeCell ref="L67:M67"/>
    <mergeCell ref="L68:M68"/>
    <mergeCell ref="L69:M69"/>
    <mergeCell ref="L58:M58"/>
    <mergeCell ref="L59:M59"/>
    <mergeCell ref="L60:M60"/>
    <mergeCell ref="L61:M61"/>
    <mergeCell ref="L62:M62"/>
    <mergeCell ref="L63:M63"/>
  </mergeCells>
  <pageMargins left="0" right="0" top="0" bottom="0" header="0.31496062992125984" footer="0.31496062992125984"/>
  <pageSetup paperSize="9" scale="1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6BB59-1A16-4D29-80E8-435FEFC92C98}">
  <sheetPr>
    <pageSetUpPr fitToPage="1"/>
  </sheetPr>
  <dimension ref="A1:BF1048565"/>
  <sheetViews>
    <sheetView zoomScale="70" zoomScaleNormal="70" workbookViewId="0">
      <selection activeCell="A2" sqref="A2:N2"/>
    </sheetView>
  </sheetViews>
  <sheetFormatPr defaultColWidth="9.109375" defaultRowHeight="13.8" x14ac:dyDescent="0.3"/>
  <cols>
    <col min="1" max="1" width="23.109375" style="148" customWidth="1"/>
    <col min="2" max="2" width="12" style="148" bestFit="1" customWidth="1"/>
    <col min="3" max="3" width="18" style="148" bestFit="1" customWidth="1"/>
    <col min="4" max="4" width="19" style="148" customWidth="1"/>
    <col min="5" max="5" width="18.44140625" style="148" customWidth="1"/>
    <col min="6" max="6" width="17.6640625" style="148" customWidth="1"/>
    <col min="7" max="7" width="14.109375" style="148" bestFit="1" customWidth="1"/>
    <col min="8" max="8" width="15.109375" style="148" bestFit="1" customWidth="1"/>
    <col min="9" max="9" width="19.109375" style="150" bestFit="1" customWidth="1"/>
    <col min="10" max="10" width="17.109375" style="150" bestFit="1" customWidth="1"/>
    <col min="11" max="11" width="18" style="150" bestFit="1" customWidth="1"/>
    <col min="12" max="12" width="121.44140625" style="150" bestFit="1" customWidth="1"/>
    <col min="13" max="13" width="9.5546875" style="150" customWidth="1"/>
    <col min="14" max="14" width="17.5546875" style="148" bestFit="1" customWidth="1"/>
    <col min="15" max="15" width="10.5546875" style="70" bestFit="1" customWidth="1"/>
    <col min="16" max="45" width="9.109375" style="70"/>
    <col min="46" max="47" width="9.109375" style="69"/>
    <col min="48" max="16384" width="9.109375" style="148"/>
  </cols>
  <sheetData>
    <row r="1" spans="1:45" s="10" customForma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</row>
    <row r="2" spans="1:45" s="11" customFormat="1" x14ac:dyDescent="0.3">
      <c r="A2" s="521" t="s">
        <v>339</v>
      </c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 spans="1:45" s="11" customFormat="1" ht="27.6" x14ac:dyDescent="0.3">
      <c r="A3" s="83" t="s">
        <v>3</v>
      </c>
      <c r="B3" s="83" t="s">
        <v>0</v>
      </c>
      <c r="C3" s="84" t="s">
        <v>1</v>
      </c>
      <c r="D3" s="84" t="s">
        <v>68</v>
      </c>
      <c r="E3" s="84" t="s">
        <v>69</v>
      </c>
      <c r="F3" s="85" t="s">
        <v>2</v>
      </c>
      <c r="G3" s="84" t="s">
        <v>6</v>
      </c>
      <c r="H3" s="84" t="s">
        <v>7</v>
      </c>
      <c r="I3" s="84" t="s">
        <v>4</v>
      </c>
      <c r="J3" s="84" t="s">
        <v>5</v>
      </c>
      <c r="K3" s="84" t="s">
        <v>70</v>
      </c>
      <c r="L3" s="83" t="s">
        <v>59</v>
      </c>
      <c r="M3" s="86" t="s">
        <v>8</v>
      </c>
      <c r="N3" s="86" t="s">
        <v>10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</row>
    <row r="4" spans="1:45" s="15" customFormat="1" x14ac:dyDescent="0.3">
      <c r="A4" s="88"/>
      <c r="B4" s="90">
        <v>1</v>
      </c>
      <c r="C4" s="2"/>
      <c r="D4" s="2"/>
      <c r="E4" s="2"/>
      <c r="F4" s="5"/>
      <c r="G4" s="2"/>
      <c r="H4" s="2"/>
      <c r="I4" s="109"/>
      <c r="J4" s="2"/>
      <c r="K4" s="2"/>
      <c r="L4" s="5"/>
      <c r="M4" s="3"/>
      <c r="N4" s="3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</row>
    <row r="5" spans="1:45" s="96" customFormat="1" x14ac:dyDescent="0.3">
      <c r="A5" s="90"/>
      <c r="B5" s="4">
        <v>2</v>
      </c>
      <c r="C5" s="5"/>
      <c r="D5" s="5"/>
      <c r="E5" s="5"/>
      <c r="F5" s="5"/>
      <c r="G5" s="5"/>
      <c r="H5" s="5"/>
      <c r="I5" s="109"/>
      <c r="J5" s="2">
        <f t="shared" ref="J5:J10" si="0">7%*I5</f>
        <v>0</v>
      </c>
      <c r="K5" s="2"/>
      <c r="L5" s="90"/>
      <c r="M5" s="3"/>
      <c r="N5" s="3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16"/>
      <c r="AK5" s="17"/>
      <c r="AL5" s="17"/>
      <c r="AM5" s="17"/>
      <c r="AN5" s="17"/>
    </row>
    <row r="6" spans="1:45" s="6" customFormat="1" x14ac:dyDescent="0.3">
      <c r="A6" s="90"/>
      <c r="B6" s="4">
        <v>3</v>
      </c>
      <c r="C6" s="5"/>
      <c r="D6" s="5"/>
      <c r="E6" s="5"/>
      <c r="F6" s="5"/>
      <c r="G6" s="5"/>
      <c r="H6" s="5"/>
      <c r="I6" s="109"/>
      <c r="J6" s="2">
        <f t="shared" si="0"/>
        <v>0</v>
      </c>
      <c r="K6" s="2"/>
      <c r="L6" s="90"/>
      <c r="M6" s="3"/>
      <c r="N6" s="3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spans="1:45" s="15" customFormat="1" x14ac:dyDescent="0.3">
      <c r="A7" s="90" t="s">
        <v>263</v>
      </c>
      <c r="B7" s="90">
        <v>4</v>
      </c>
      <c r="C7" s="2">
        <f>'GERAL 2022'!G16</f>
        <v>550</v>
      </c>
      <c r="D7" s="2">
        <v>0</v>
      </c>
      <c r="E7" s="2">
        <f>C7-D7</f>
        <v>550</v>
      </c>
      <c r="F7" s="2">
        <v>50</v>
      </c>
      <c r="G7" s="2">
        <f>D51</f>
        <v>2.8368085106382979</v>
      </c>
      <c r="H7" s="2">
        <f>D50</f>
        <v>19.641666666666666</v>
      </c>
      <c r="I7" s="109">
        <f>SUM(E7:H7)</f>
        <v>622.47847517730497</v>
      </c>
      <c r="J7" s="2">
        <f>7%*I7</f>
        <v>43.573493262411354</v>
      </c>
      <c r="K7" s="2">
        <f>I7-J7</f>
        <v>578.9049819148936</v>
      </c>
      <c r="L7" s="90" t="s">
        <v>340</v>
      </c>
      <c r="M7" s="3">
        <v>10</v>
      </c>
      <c r="N7" s="4">
        <v>11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</row>
    <row r="8" spans="1:45" s="15" customFormat="1" x14ac:dyDescent="0.3">
      <c r="A8" s="90"/>
      <c r="B8" s="90">
        <v>5</v>
      </c>
      <c r="C8" s="2"/>
      <c r="D8" s="2"/>
      <c r="E8" s="2"/>
      <c r="F8" s="2"/>
      <c r="G8" s="2"/>
      <c r="H8" s="2"/>
      <c r="I8" s="109"/>
      <c r="J8" s="2">
        <f t="shared" si="0"/>
        <v>0</v>
      </c>
      <c r="K8" s="2"/>
      <c r="L8" s="90"/>
      <c r="M8" s="3"/>
      <c r="N8" s="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</row>
    <row r="9" spans="1:45" s="11" customFormat="1" x14ac:dyDescent="0.3">
      <c r="A9" s="90" t="s">
        <v>292</v>
      </c>
      <c r="B9" s="90">
        <v>6</v>
      </c>
      <c r="C9" s="5">
        <f>'GERAL 2022'!G8</f>
        <v>650</v>
      </c>
      <c r="D9" s="5">
        <v>0</v>
      </c>
      <c r="E9" s="5">
        <f>C9-D9</f>
        <v>650</v>
      </c>
      <c r="F9" s="2">
        <v>25</v>
      </c>
      <c r="G9" s="2">
        <f>D55</f>
        <v>3.9715319148936166</v>
      </c>
      <c r="H9" s="2">
        <f>D54</f>
        <v>19.836666666666666</v>
      </c>
      <c r="I9" s="109">
        <f>SUM(E9:H9)</f>
        <v>698.8081985815603</v>
      </c>
      <c r="J9" s="2">
        <f>7%*I9</f>
        <v>48.916573900709224</v>
      </c>
      <c r="K9" s="2">
        <f>I9-J9</f>
        <v>649.89162468085112</v>
      </c>
      <c r="L9" s="90" t="s">
        <v>338</v>
      </c>
      <c r="M9" s="3">
        <v>10</v>
      </c>
      <c r="N9" s="3">
        <v>11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</row>
    <row r="10" spans="1:45" s="15" customFormat="1" ht="14.25" customHeight="1" x14ac:dyDescent="0.3">
      <c r="A10" s="90"/>
      <c r="B10" s="90">
        <v>7</v>
      </c>
      <c r="C10" s="2"/>
      <c r="D10" s="2"/>
      <c r="E10" s="5"/>
      <c r="F10" s="2"/>
      <c r="G10" s="2"/>
      <c r="H10" s="2"/>
      <c r="I10" s="109"/>
      <c r="J10" s="2">
        <f t="shared" si="0"/>
        <v>0</v>
      </c>
      <c r="K10" s="2"/>
      <c r="L10" s="90"/>
      <c r="M10" s="3"/>
      <c r="N10" s="3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</row>
    <row r="11" spans="1:45" s="15" customFormat="1" x14ac:dyDescent="0.3">
      <c r="A11" s="90" t="s">
        <v>265</v>
      </c>
      <c r="B11" s="90">
        <v>8</v>
      </c>
      <c r="C11" s="2">
        <f>'GERAL 2022'!G10</f>
        <v>610</v>
      </c>
      <c r="D11" s="2">
        <v>0</v>
      </c>
      <c r="E11" s="5">
        <f>C11-D11</f>
        <v>610</v>
      </c>
      <c r="F11" s="2">
        <v>0</v>
      </c>
      <c r="G11" s="2">
        <f>D59</f>
        <v>2.8368085106382979</v>
      </c>
      <c r="H11" s="2">
        <f>D58</f>
        <v>19.754999999999999</v>
      </c>
      <c r="I11" s="109">
        <f>SUM(E11:H11)</f>
        <v>632.59180851063832</v>
      </c>
      <c r="J11" s="2">
        <f>7%*I11</f>
        <v>44.281426595744684</v>
      </c>
      <c r="K11" s="2">
        <f>I11-J11</f>
        <v>588.31038191489358</v>
      </c>
      <c r="L11" s="90" t="s">
        <v>341</v>
      </c>
      <c r="M11" s="3">
        <v>10</v>
      </c>
      <c r="N11" s="3">
        <v>11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</row>
    <row r="12" spans="1:45" s="15" customFormat="1" ht="14.25" customHeight="1" x14ac:dyDescent="0.3">
      <c r="A12" s="90" t="s">
        <v>246</v>
      </c>
      <c r="B12" s="90">
        <v>9</v>
      </c>
      <c r="C12" s="2">
        <f>'GERAL 2022'!G11</f>
        <v>580</v>
      </c>
      <c r="D12" s="2">
        <v>0</v>
      </c>
      <c r="E12" s="5">
        <f>C12-D12</f>
        <v>580</v>
      </c>
      <c r="F12" s="2">
        <f>50</f>
        <v>50</v>
      </c>
      <c r="G12" s="2">
        <f>D61</f>
        <v>2.8368085106382979</v>
      </c>
      <c r="H12" s="2">
        <f>D60</f>
        <v>19.696666666666669</v>
      </c>
      <c r="I12" s="109">
        <f>SUM(E12:H12)</f>
        <v>652.53347517730504</v>
      </c>
      <c r="J12" s="2">
        <f>7%*I12</f>
        <v>45.677343262411355</v>
      </c>
      <c r="K12" s="2">
        <f>I12-J12</f>
        <v>606.85613191489369</v>
      </c>
      <c r="L12" s="90" t="s">
        <v>342</v>
      </c>
      <c r="M12" s="125">
        <v>10</v>
      </c>
      <c r="N12" s="3">
        <v>11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</row>
    <row r="13" spans="1:45" s="69" customFormat="1" x14ac:dyDescent="0.3">
      <c r="A13" s="4"/>
      <c r="B13" s="4">
        <v>10</v>
      </c>
      <c r="C13" s="2"/>
      <c r="D13" s="2"/>
      <c r="E13" s="5"/>
      <c r="F13" s="2"/>
      <c r="G13" s="2"/>
      <c r="H13" s="2"/>
      <c r="I13" s="109"/>
      <c r="J13" s="2"/>
      <c r="K13" s="2"/>
      <c r="L13" s="5"/>
      <c r="M13" s="3"/>
      <c r="N13" s="4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</row>
    <row r="14" spans="1:45" s="69" customFormat="1" x14ac:dyDescent="0.3">
      <c r="A14" s="4" t="s">
        <v>321</v>
      </c>
      <c r="B14" s="4">
        <v>11</v>
      </c>
      <c r="C14" s="2">
        <f>'GERAL 2022'!G13</f>
        <v>550</v>
      </c>
      <c r="D14" s="2">
        <v>0</v>
      </c>
      <c r="E14" s="5">
        <f>C14-D14</f>
        <v>550</v>
      </c>
      <c r="F14" s="2">
        <v>0</v>
      </c>
      <c r="G14" s="2">
        <f>D65</f>
        <v>2.8368085106382979</v>
      </c>
      <c r="H14" s="2">
        <v>19.809999999999999</v>
      </c>
      <c r="I14" s="109">
        <f>SUM(E14:H14)</f>
        <v>572.64680851063827</v>
      </c>
      <c r="J14" s="2">
        <f t="shared" ref="J14:J30" si="1">7%*I14</f>
        <v>40.085276595744681</v>
      </c>
      <c r="K14" s="2">
        <f>I14-J14</f>
        <v>532.56153191489364</v>
      </c>
      <c r="L14" s="5" t="s">
        <v>319</v>
      </c>
      <c r="M14" s="3">
        <v>10</v>
      </c>
      <c r="N14" s="4">
        <v>11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</row>
    <row r="15" spans="1:45" s="15" customFormat="1" x14ac:dyDescent="0.3">
      <c r="A15" s="90"/>
      <c r="B15" s="90">
        <v>12</v>
      </c>
      <c r="C15" s="2"/>
      <c r="D15" s="2"/>
      <c r="E15" s="5"/>
      <c r="F15" s="5"/>
      <c r="G15" s="5"/>
      <c r="H15" s="5"/>
      <c r="I15" s="109"/>
      <c r="J15" s="2">
        <f t="shared" si="1"/>
        <v>0</v>
      </c>
      <c r="K15" s="2"/>
      <c r="L15" s="90"/>
      <c r="M15" s="3"/>
      <c r="N15" s="3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</row>
    <row r="16" spans="1:45" s="69" customFormat="1" x14ac:dyDescent="0.3">
      <c r="A16" s="96" t="s">
        <v>362</v>
      </c>
      <c r="B16" s="4">
        <v>13</v>
      </c>
      <c r="C16" s="2">
        <f>'GERAL 2022'!G15/31*5</f>
        <v>88.709677419354847</v>
      </c>
      <c r="D16" s="2">
        <v>0</v>
      </c>
      <c r="E16" s="5">
        <f>C16-D16</f>
        <v>88.709677419354847</v>
      </c>
      <c r="F16" s="2">
        <v>0</v>
      </c>
      <c r="G16" s="2">
        <f>D69/31*5</f>
        <v>0.45754975978037066</v>
      </c>
      <c r="H16" s="2">
        <f>D68</f>
        <v>19.641666666666666</v>
      </c>
      <c r="I16" s="109">
        <f t="shared" ref="I16:I24" si="2">SUM(E16:H16)</f>
        <v>108.80889384580189</v>
      </c>
      <c r="J16" s="2">
        <f t="shared" si="1"/>
        <v>7.6166225692061333</v>
      </c>
      <c r="K16" s="2">
        <f t="shared" ref="K16:K22" si="3">I16-J16</f>
        <v>101.19227127659576</v>
      </c>
      <c r="L16" s="90" t="s">
        <v>363</v>
      </c>
      <c r="M16" s="3">
        <v>10</v>
      </c>
      <c r="N16" s="4">
        <v>11</v>
      </c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</row>
    <row r="17" spans="1:45" s="69" customFormat="1" x14ac:dyDescent="0.3">
      <c r="A17" s="4" t="s">
        <v>291</v>
      </c>
      <c r="B17" s="4">
        <v>14</v>
      </c>
      <c r="C17" s="2">
        <f>'GERAL 2022'!G16</f>
        <v>550</v>
      </c>
      <c r="D17" s="2">
        <v>0</v>
      </c>
      <c r="E17" s="5">
        <f>C17-D17</f>
        <v>550</v>
      </c>
      <c r="F17" s="2">
        <v>0</v>
      </c>
      <c r="G17" s="2">
        <f>D71</f>
        <v>2.8368085106382979</v>
      </c>
      <c r="H17" s="2">
        <f>D70</f>
        <v>19.641666666666666</v>
      </c>
      <c r="I17" s="109">
        <f t="shared" si="2"/>
        <v>572.47847517730497</v>
      </c>
      <c r="J17" s="2">
        <f>7%*I17</f>
        <v>40.073493262411354</v>
      </c>
      <c r="K17" s="2">
        <f t="shared" si="3"/>
        <v>532.4049819148936</v>
      </c>
      <c r="L17" s="90" t="s">
        <v>381</v>
      </c>
      <c r="M17" s="3">
        <v>10</v>
      </c>
      <c r="N17" s="4">
        <v>11</v>
      </c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</row>
    <row r="18" spans="1:45" s="6" customFormat="1" x14ac:dyDescent="0.3">
      <c r="A18" s="90" t="s">
        <v>272</v>
      </c>
      <c r="B18" s="90">
        <v>15</v>
      </c>
      <c r="C18" s="2">
        <f>'GERAL 2022'!G40</f>
        <v>650</v>
      </c>
      <c r="D18" s="2">
        <v>0</v>
      </c>
      <c r="E18" s="5">
        <f>C18-D18</f>
        <v>650</v>
      </c>
      <c r="F18" s="2">
        <v>25</v>
      </c>
      <c r="G18" s="2">
        <f>D73</f>
        <v>3.9715319148936166</v>
      </c>
      <c r="H18" s="2">
        <f>D72</f>
        <v>19.836666666666666</v>
      </c>
      <c r="I18" s="109">
        <f t="shared" si="2"/>
        <v>698.8081985815603</v>
      </c>
      <c r="J18" s="2">
        <f>7%*I18</f>
        <v>48.916573900709224</v>
      </c>
      <c r="K18" s="2">
        <f t="shared" si="3"/>
        <v>649.89162468085112</v>
      </c>
      <c r="L18" s="90" t="s">
        <v>341</v>
      </c>
      <c r="M18" s="125"/>
      <c r="N18" s="3"/>
      <c r="O18" s="9"/>
      <c r="P18" s="9"/>
      <c r="Q18" s="9"/>
      <c r="R18" s="9"/>
      <c r="S18" s="9"/>
      <c r="T18" s="9"/>
      <c r="U18" s="9"/>
      <c r="V18" s="9"/>
      <c r="W18" s="9"/>
    </row>
    <row r="19" spans="1:45" s="11" customFormat="1" x14ac:dyDescent="0.3">
      <c r="A19" s="3" t="s">
        <v>100</v>
      </c>
      <c r="B19" s="3">
        <v>16</v>
      </c>
      <c r="C19" s="2">
        <f>'GERAL 2022'!G18</f>
        <v>640</v>
      </c>
      <c r="D19" s="2">
        <f>10%*C19</f>
        <v>64</v>
      </c>
      <c r="E19" s="5">
        <f>C19-D19</f>
        <v>576</v>
      </c>
      <c r="F19" s="2">
        <f>60</f>
        <v>60</v>
      </c>
      <c r="G19" s="2">
        <f>D77</f>
        <v>2.8368085106382979</v>
      </c>
      <c r="H19" s="2">
        <v>0</v>
      </c>
      <c r="I19" s="109">
        <f t="shared" si="2"/>
        <v>638.83680851063832</v>
      </c>
      <c r="J19" s="2">
        <f t="shared" si="1"/>
        <v>44.718576595744686</v>
      </c>
      <c r="K19" s="2">
        <f t="shared" si="3"/>
        <v>594.11823191489361</v>
      </c>
      <c r="L19" s="90" t="s">
        <v>343</v>
      </c>
      <c r="M19" s="3">
        <v>10</v>
      </c>
      <c r="N19" s="3">
        <v>11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</row>
    <row r="20" spans="1:45" s="11" customFormat="1" x14ac:dyDescent="0.3">
      <c r="A20" s="88" t="s">
        <v>288</v>
      </c>
      <c r="B20" s="88">
        <v>17</v>
      </c>
      <c r="C20" s="2">
        <f>'GERAL 2022'!G19/31*22</f>
        <v>454.19354838709677</v>
      </c>
      <c r="D20" s="2">
        <f>10%*C20</f>
        <v>45.41935483870968</v>
      </c>
      <c r="E20" s="5">
        <f>(C20-D20)</f>
        <v>408.77419354838707</v>
      </c>
      <c r="F20" s="2">
        <v>0</v>
      </c>
      <c r="G20" s="2">
        <f>D79/31*22</f>
        <v>2.0132189430336309</v>
      </c>
      <c r="H20" s="2">
        <v>0</v>
      </c>
      <c r="I20" s="109">
        <f t="shared" si="2"/>
        <v>410.7874124914207</v>
      </c>
      <c r="J20" s="2">
        <f t="shared" si="1"/>
        <v>28.75511887439945</v>
      </c>
      <c r="K20" s="2">
        <f t="shared" si="3"/>
        <v>382.03229361702125</v>
      </c>
      <c r="L20" s="5" t="s">
        <v>350</v>
      </c>
      <c r="M20" s="3">
        <v>10</v>
      </c>
      <c r="N20" s="3">
        <v>11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</row>
    <row r="21" spans="1:45" s="11" customFormat="1" ht="14.25" customHeight="1" x14ac:dyDescent="0.3">
      <c r="A21" s="88" t="s">
        <v>103</v>
      </c>
      <c r="B21" s="90">
        <v>18</v>
      </c>
      <c r="C21" s="2">
        <f>'GERAL 2022'!G20</f>
        <v>650</v>
      </c>
      <c r="D21" s="2">
        <f>10%*C21</f>
        <v>65</v>
      </c>
      <c r="E21" s="5">
        <f>C21-D21</f>
        <v>585</v>
      </c>
      <c r="F21" s="2">
        <f>30</f>
        <v>30</v>
      </c>
      <c r="G21" s="2">
        <f>D81</f>
        <v>2.8368085106382979</v>
      </c>
      <c r="H21" s="2">
        <v>0</v>
      </c>
      <c r="I21" s="109">
        <f t="shared" si="2"/>
        <v>617.83680851063832</v>
      </c>
      <c r="J21" s="2">
        <f t="shared" si="1"/>
        <v>43.248576595744687</v>
      </c>
      <c r="K21" s="2">
        <f t="shared" si="3"/>
        <v>574.58823191489364</v>
      </c>
      <c r="L21" s="90" t="s">
        <v>343</v>
      </c>
      <c r="M21" s="3">
        <v>10</v>
      </c>
      <c r="N21" s="3">
        <v>11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</row>
    <row r="22" spans="1:45" s="11" customFormat="1" x14ac:dyDescent="0.3">
      <c r="A22" s="90" t="s">
        <v>142</v>
      </c>
      <c r="B22" s="90">
        <v>19</v>
      </c>
      <c r="C22" s="2">
        <f>'GERAL 2022'!G21</f>
        <v>600</v>
      </c>
      <c r="D22" s="2">
        <f>10%*C22</f>
        <v>60</v>
      </c>
      <c r="E22" s="5">
        <f>(C22-D22)</f>
        <v>540</v>
      </c>
      <c r="F22" s="2">
        <f>50</f>
        <v>50</v>
      </c>
      <c r="G22" s="2">
        <f>D83</f>
        <v>2.8368085106382979</v>
      </c>
      <c r="H22" s="2">
        <v>0</v>
      </c>
      <c r="I22" s="109">
        <f t="shared" si="2"/>
        <v>592.83680851063832</v>
      </c>
      <c r="J22" s="2">
        <f t="shared" si="1"/>
        <v>41.498576595744687</v>
      </c>
      <c r="K22" s="2">
        <f t="shared" si="3"/>
        <v>551.33823191489364</v>
      </c>
      <c r="L22" s="90" t="s">
        <v>344</v>
      </c>
      <c r="M22" s="3">
        <v>10</v>
      </c>
      <c r="N22" s="3">
        <v>11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</row>
    <row r="23" spans="1:45" s="11" customFormat="1" x14ac:dyDescent="0.3">
      <c r="A23" s="116" t="s">
        <v>345</v>
      </c>
      <c r="B23" s="90">
        <v>20</v>
      </c>
      <c r="C23" s="2">
        <f>'GERAL 2022'!G22/31*19</f>
        <v>404.51612903225805</v>
      </c>
      <c r="D23" s="2">
        <v>0</v>
      </c>
      <c r="E23" s="5">
        <f t="shared" ref="E23:E30" si="4">C23-D23</f>
        <v>404.51612903225805</v>
      </c>
      <c r="F23" s="2">
        <f>50/31*19</f>
        <v>30.64516129032258</v>
      </c>
      <c r="G23" s="2">
        <f>D85/31*19</f>
        <v>1.7386890871654084</v>
      </c>
      <c r="H23" s="2">
        <v>19.87</v>
      </c>
      <c r="I23" s="109">
        <f t="shared" si="2"/>
        <v>456.76997940974604</v>
      </c>
      <c r="J23" s="2">
        <f>7%*I23</f>
        <v>31.973898558682226</v>
      </c>
      <c r="K23" s="2">
        <f t="shared" ref="K23:K30" si="5">I23-J23</f>
        <v>424.79608085106383</v>
      </c>
      <c r="L23" s="90" t="s">
        <v>355</v>
      </c>
      <c r="M23" s="125">
        <v>10</v>
      </c>
      <c r="N23" s="3">
        <v>11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</row>
    <row r="24" spans="1:45" s="11" customFormat="1" ht="15" customHeight="1" x14ac:dyDescent="0.3">
      <c r="A24" s="116" t="s">
        <v>346</v>
      </c>
      <c r="B24" s="90">
        <v>21</v>
      </c>
      <c r="C24" s="2">
        <f>'GERAL 2022'!G23/31*19</f>
        <v>306.45161290322579</v>
      </c>
      <c r="D24" s="2">
        <v>0</v>
      </c>
      <c r="E24" s="5">
        <f t="shared" si="4"/>
        <v>306.45161290322579</v>
      </c>
      <c r="F24" s="2">
        <f>25/31*19</f>
        <v>15.32258064516129</v>
      </c>
      <c r="G24" s="2">
        <f>D87/31*19</f>
        <v>1.7386890871654084</v>
      </c>
      <c r="H24" s="2">
        <v>19.559999999999999</v>
      </c>
      <c r="I24" s="109">
        <f t="shared" si="2"/>
        <v>343.0728826355525</v>
      </c>
      <c r="J24" s="2">
        <f t="shared" si="1"/>
        <v>24.015101784488678</v>
      </c>
      <c r="K24" s="2">
        <f t="shared" si="5"/>
        <v>319.05778085106385</v>
      </c>
      <c r="L24" s="90" t="s">
        <v>355</v>
      </c>
      <c r="M24" s="125">
        <v>10</v>
      </c>
      <c r="N24" s="3">
        <v>11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</row>
    <row r="25" spans="1:45" s="11" customFormat="1" ht="15.75" customHeight="1" x14ac:dyDescent="0.3">
      <c r="A25" s="116" t="s">
        <v>119</v>
      </c>
      <c r="B25" s="90">
        <v>22</v>
      </c>
      <c r="C25" s="2">
        <f>'GERAL 2022'!G24/31*19</f>
        <v>306.45161290322579</v>
      </c>
      <c r="D25" s="2">
        <v>0</v>
      </c>
      <c r="E25" s="5">
        <f t="shared" si="4"/>
        <v>306.45161290322579</v>
      </c>
      <c r="F25" s="2">
        <f>25/31*19</f>
        <v>15.32258064516129</v>
      </c>
      <c r="G25" s="2">
        <f>D89/31*19</f>
        <v>1.7386890871654084</v>
      </c>
      <c r="H25" s="2">
        <v>19.559999999999999</v>
      </c>
      <c r="I25" s="109">
        <f t="shared" ref="I25:I30" si="6">SUM(E25:H25)</f>
        <v>343.0728826355525</v>
      </c>
      <c r="J25" s="2">
        <f t="shared" si="1"/>
        <v>24.015101784488678</v>
      </c>
      <c r="K25" s="2">
        <f t="shared" si="5"/>
        <v>319.05778085106385</v>
      </c>
      <c r="L25" s="90" t="s">
        <v>355</v>
      </c>
      <c r="M25" s="125">
        <v>10</v>
      </c>
      <c r="N25" s="3">
        <v>11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</row>
    <row r="26" spans="1:45" s="11" customFormat="1" x14ac:dyDescent="0.3">
      <c r="A26" s="116" t="s">
        <v>379</v>
      </c>
      <c r="B26" s="90">
        <v>23</v>
      </c>
      <c r="C26" s="2">
        <f>'GERAL 2022'!G25/31*12</f>
        <v>212.90322580645162</v>
      </c>
      <c r="D26" s="2">
        <v>0</v>
      </c>
      <c r="E26" s="5">
        <f t="shared" si="4"/>
        <v>212.90322580645162</v>
      </c>
      <c r="F26" s="2">
        <v>0</v>
      </c>
      <c r="G26" s="2">
        <f>D91/31*12</f>
        <v>1.0981194234728895</v>
      </c>
      <c r="H26" s="2">
        <v>19.649999999999999</v>
      </c>
      <c r="I26" s="109">
        <f>SUM(E26:H26)</f>
        <v>233.65134522992452</v>
      </c>
      <c r="J26" s="2">
        <f t="shared" si="1"/>
        <v>16.355594166094718</v>
      </c>
      <c r="K26" s="2">
        <f t="shared" si="5"/>
        <v>217.29575106382981</v>
      </c>
      <c r="L26" s="90" t="s">
        <v>357</v>
      </c>
      <c r="M26" s="3">
        <v>10</v>
      </c>
      <c r="N26" s="3">
        <v>11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</row>
    <row r="27" spans="1:45" s="6" customFormat="1" x14ac:dyDescent="0.3">
      <c r="A27" s="90" t="s">
        <v>267</v>
      </c>
      <c r="B27" s="90">
        <v>24</v>
      </c>
      <c r="C27" s="2">
        <f>'GERAL 2022'!G26</f>
        <v>650</v>
      </c>
      <c r="D27" s="2">
        <v>0</v>
      </c>
      <c r="E27" s="5">
        <f t="shared" si="4"/>
        <v>650</v>
      </c>
      <c r="F27" s="2">
        <v>50</v>
      </c>
      <c r="G27" s="2">
        <f>D93</f>
        <v>3.9715319148936166</v>
      </c>
      <c r="H27" s="2">
        <f>D92</f>
        <v>19.836666666666666</v>
      </c>
      <c r="I27" s="109">
        <f t="shared" si="6"/>
        <v>723.8081985815603</v>
      </c>
      <c r="J27" s="2">
        <f>7%*I27</f>
        <v>50.666573900709224</v>
      </c>
      <c r="K27" s="2">
        <f t="shared" si="5"/>
        <v>673.14162468085112</v>
      </c>
      <c r="L27" s="90" t="s">
        <v>341</v>
      </c>
      <c r="M27" s="125"/>
      <c r="N27" s="3"/>
      <c r="O27" s="9"/>
      <c r="P27" s="9"/>
      <c r="Q27" s="9"/>
      <c r="R27" s="9"/>
      <c r="S27" s="9"/>
      <c r="T27" s="9"/>
      <c r="U27" s="9"/>
      <c r="V27" s="9"/>
      <c r="W27" s="9"/>
    </row>
    <row r="28" spans="1:45" s="11" customFormat="1" x14ac:dyDescent="0.3">
      <c r="A28" s="11" t="s">
        <v>87</v>
      </c>
      <c r="B28" s="90">
        <v>25</v>
      </c>
      <c r="C28" s="2">
        <f>'GERAL 2022'!G27+(14.66086%*704)</f>
        <v>807.21245439999996</v>
      </c>
      <c r="D28" s="2">
        <v>0</v>
      </c>
      <c r="E28" s="5">
        <f t="shared" si="4"/>
        <v>807.21245439999996</v>
      </c>
      <c r="F28" s="2">
        <f>30</f>
        <v>30</v>
      </c>
      <c r="G28" s="2">
        <f>D95</f>
        <v>2.8368085106382979</v>
      </c>
      <c r="H28" s="2">
        <f>D94</f>
        <v>19.95</v>
      </c>
      <c r="I28" s="109">
        <f t="shared" si="6"/>
        <v>859.99926291063832</v>
      </c>
      <c r="J28" s="2">
        <f>7%*I28</f>
        <v>60.199948403744685</v>
      </c>
      <c r="K28" s="2">
        <f>I28-J28</f>
        <v>799.79931450689367</v>
      </c>
      <c r="L28" s="71" t="s">
        <v>382</v>
      </c>
      <c r="M28" s="98">
        <v>10</v>
      </c>
      <c r="N28" s="3">
        <v>11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</row>
    <row r="29" spans="1:45" s="11" customFormat="1" x14ac:dyDescent="0.3">
      <c r="A29" s="116" t="s">
        <v>348</v>
      </c>
      <c r="B29" s="90">
        <v>26</v>
      </c>
      <c r="C29" s="2">
        <f>'GERAL 2022'!G28/31*26</f>
        <v>469.67741935483878</v>
      </c>
      <c r="D29" s="2">
        <v>0</v>
      </c>
      <c r="E29" s="5">
        <f t="shared" si="4"/>
        <v>469.67741935483878</v>
      </c>
      <c r="F29" s="2">
        <v>0</v>
      </c>
      <c r="G29" s="2">
        <f>D97/31*26</f>
        <v>2.3792587508579275</v>
      </c>
      <c r="H29" s="2">
        <f>D96</f>
        <v>19.658333333333335</v>
      </c>
      <c r="I29" s="109">
        <f t="shared" si="6"/>
        <v>491.71501143903004</v>
      </c>
      <c r="J29" s="2">
        <f t="shared" si="1"/>
        <v>34.420050800732106</v>
      </c>
      <c r="K29" s="2">
        <f t="shared" si="5"/>
        <v>457.29496063829794</v>
      </c>
      <c r="L29" s="90" t="s">
        <v>360</v>
      </c>
      <c r="M29" s="3">
        <v>10</v>
      </c>
      <c r="N29" s="3">
        <v>11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</row>
    <row r="30" spans="1:45" s="11" customFormat="1" x14ac:dyDescent="0.3">
      <c r="A30" s="116" t="s">
        <v>349</v>
      </c>
      <c r="B30" s="90">
        <v>27</v>
      </c>
      <c r="C30" s="72">
        <f>'GERAL 2022'!G45/31*26</f>
        <v>486.45161290322585</v>
      </c>
      <c r="D30" s="72">
        <v>0</v>
      </c>
      <c r="E30" s="5">
        <f t="shared" si="4"/>
        <v>486.45161290322585</v>
      </c>
      <c r="F30" s="72">
        <v>0</v>
      </c>
      <c r="G30" s="72">
        <f>D99/31*26</f>
        <v>2.3792587508579275</v>
      </c>
      <c r="H30" s="72">
        <f>D98</f>
        <v>19.696666666666669</v>
      </c>
      <c r="I30" s="109">
        <f t="shared" si="6"/>
        <v>508.52753832075041</v>
      </c>
      <c r="J30" s="2">
        <f t="shared" si="1"/>
        <v>35.596927682452531</v>
      </c>
      <c r="K30" s="2">
        <f t="shared" si="5"/>
        <v>472.93061063829788</v>
      </c>
      <c r="L30" s="90" t="s">
        <v>360</v>
      </c>
      <c r="M30" s="98">
        <v>10</v>
      </c>
      <c r="N30" s="3">
        <v>11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</row>
    <row r="31" spans="1:45" s="11" customFormat="1" ht="14.4" thickBot="1" x14ac:dyDescent="0.35">
      <c r="A31" s="518" t="s">
        <v>4</v>
      </c>
      <c r="B31" s="518"/>
      <c r="C31" s="109">
        <f t="shared" ref="C31:K31" si="7">SUM(C4:C30)</f>
        <v>10216.567293109674</v>
      </c>
      <c r="D31" s="109">
        <f t="shared" si="7"/>
        <v>234.41935483870969</v>
      </c>
      <c r="E31" s="109">
        <f t="shared" si="7"/>
        <v>9982.1479382709658</v>
      </c>
      <c r="F31" s="109">
        <f t="shared" si="7"/>
        <v>431.29032258064512</v>
      </c>
      <c r="G31" s="109">
        <f t="shared" si="7"/>
        <v>50.989345229924517</v>
      </c>
      <c r="H31" s="109">
        <f t="shared" si="7"/>
        <v>315.64166666666671</v>
      </c>
      <c r="I31" s="109">
        <f t="shared" si="7"/>
        <v>10780.069272748204</v>
      </c>
      <c r="J31" s="109">
        <f t="shared" si="7"/>
        <v>754.60484909237448</v>
      </c>
      <c r="K31" s="109">
        <f t="shared" si="7"/>
        <v>10025.464423655831</v>
      </c>
      <c r="L31" s="90"/>
      <c r="M31" s="120"/>
      <c r="N31" s="155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</row>
    <row r="32" spans="1:45" s="11" customFormat="1" x14ac:dyDescent="0.3">
      <c r="A32" s="95"/>
      <c r="B32" s="95"/>
      <c r="C32" s="109"/>
      <c r="D32" s="109"/>
      <c r="E32" s="109"/>
      <c r="F32" s="109"/>
      <c r="G32" s="109"/>
      <c r="H32" s="109"/>
      <c r="I32" s="109"/>
      <c r="J32" s="109"/>
      <c r="K32" s="109"/>
      <c r="L32" s="90"/>
      <c r="M32" s="138"/>
      <c r="N32" s="3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</row>
    <row r="33" spans="1:58" s="11" customFormat="1" ht="28.5" customHeight="1" x14ac:dyDescent="0.3">
      <c r="A33" s="538" t="s">
        <v>385</v>
      </c>
      <c r="B33" s="538"/>
      <c r="C33" s="538"/>
      <c r="D33" s="538"/>
      <c r="E33" s="538"/>
      <c r="F33" s="538"/>
      <c r="G33" s="538"/>
      <c r="H33" s="538"/>
      <c r="I33" s="538"/>
      <c r="J33" s="538"/>
      <c r="K33" s="538"/>
      <c r="L33" s="538"/>
      <c r="M33" s="538"/>
      <c r="N33" s="538"/>
      <c r="O33" s="10"/>
      <c r="P33" s="10"/>
      <c r="Q33" s="10"/>
      <c r="R33" s="10"/>
      <c r="S33" s="10"/>
      <c r="T33" s="10"/>
      <c r="U33" s="10"/>
      <c r="V33" s="10"/>
      <c r="W33" s="10"/>
    </row>
    <row r="34" spans="1:58" s="11" customFormat="1" ht="27.75" customHeight="1" x14ac:dyDescent="0.3">
      <c r="A34" s="127" t="s">
        <v>3</v>
      </c>
      <c r="B34" s="127" t="s">
        <v>0</v>
      </c>
      <c r="C34" s="128" t="s">
        <v>174</v>
      </c>
      <c r="D34" s="555" t="s">
        <v>175</v>
      </c>
      <c r="E34" s="556"/>
      <c r="F34" s="556"/>
      <c r="G34" s="556"/>
      <c r="H34" s="557"/>
      <c r="I34" s="128" t="s">
        <v>4</v>
      </c>
      <c r="J34" s="128" t="s">
        <v>5</v>
      </c>
      <c r="K34" s="128" t="s">
        <v>70</v>
      </c>
      <c r="L34" s="127" t="s">
        <v>59</v>
      </c>
      <c r="M34" s="130" t="s">
        <v>8</v>
      </c>
      <c r="N34" s="130" t="s">
        <v>10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58" s="69" customFormat="1" x14ac:dyDescent="0.3">
      <c r="A35" s="71" t="s">
        <v>288</v>
      </c>
      <c r="B35" s="71">
        <v>17</v>
      </c>
      <c r="C35" s="72">
        <v>1152</v>
      </c>
      <c r="D35" s="546" t="s">
        <v>351</v>
      </c>
      <c r="E35" s="547"/>
      <c r="F35" s="547"/>
      <c r="G35" s="547"/>
      <c r="H35" s="548"/>
      <c r="I35" s="5">
        <v>1152</v>
      </c>
      <c r="J35" s="5">
        <f>7%*I35</f>
        <v>80.640000000000015</v>
      </c>
      <c r="K35" s="5">
        <f>I35-J35</f>
        <v>1071.3599999999999</v>
      </c>
      <c r="L35" s="90" t="s">
        <v>301</v>
      </c>
      <c r="M35" s="140">
        <v>10</v>
      </c>
      <c r="N35" s="4">
        <v>11</v>
      </c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</row>
    <row r="36" spans="1:58" s="11" customFormat="1" x14ac:dyDescent="0.3">
      <c r="A36" s="518" t="s">
        <v>4</v>
      </c>
      <c r="B36" s="518"/>
      <c r="C36" s="518"/>
      <c r="D36" s="518"/>
      <c r="E36" s="518"/>
      <c r="F36" s="518"/>
      <c r="G36" s="518"/>
      <c r="H36" s="518"/>
      <c r="I36" s="109">
        <f>SUM(I35)</f>
        <v>1152</v>
      </c>
      <c r="J36" s="109">
        <f>SUM(J35)</f>
        <v>80.640000000000015</v>
      </c>
      <c r="K36" s="109">
        <f>SUM(K35)</f>
        <v>1071.3599999999999</v>
      </c>
      <c r="L36" s="527"/>
      <c r="M36" s="527"/>
      <c r="N36" s="527"/>
      <c r="O36" s="10"/>
      <c r="P36" s="10"/>
      <c r="Q36" s="10"/>
      <c r="R36" s="10"/>
      <c r="S36" s="10"/>
      <c r="T36" s="10"/>
      <c r="U36" s="10"/>
      <c r="V36" s="10"/>
      <c r="W36" s="10"/>
    </row>
    <row r="37" spans="1:58" s="11" customFormat="1" x14ac:dyDescent="0.3">
      <c r="A37" s="518"/>
      <c r="B37" s="518"/>
      <c r="C37" s="518"/>
      <c r="D37" s="518"/>
      <c r="E37" s="518"/>
      <c r="F37" s="518"/>
      <c r="G37" s="518"/>
      <c r="H37" s="518"/>
      <c r="I37" s="518"/>
      <c r="J37" s="518"/>
      <c r="K37" s="518"/>
      <c r="L37" s="518"/>
      <c r="M37" s="109"/>
      <c r="N37" s="109"/>
      <c r="O37" s="10"/>
      <c r="P37" s="10"/>
      <c r="Q37" s="10"/>
      <c r="R37" s="10"/>
      <c r="S37" s="10"/>
      <c r="T37" s="10"/>
      <c r="U37" s="10"/>
      <c r="V37" s="10"/>
      <c r="W37" s="10"/>
    </row>
    <row r="38" spans="1:58" s="11" customFormat="1" ht="28.5" customHeight="1" x14ac:dyDescent="0.3">
      <c r="A38" s="521" t="s">
        <v>177</v>
      </c>
      <c r="B38" s="521"/>
      <c r="C38" s="521"/>
      <c r="D38" s="521"/>
      <c r="E38" s="521"/>
      <c r="F38" s="521"/>
      <c r="G38" s="521"/>
      <c r="H38" s="521"/>
      <c r="I38" s="521"/>
      <c r="J38" s="521"/>
      <c r="K38" s="521"/>
      <c r="L38" s="521"/>
      <c r="M38" s="521"/>
      <c r="N38" s="521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58" s="11" customFormat="1" ht="25.5" customHeight="1" x14ac:dyDescent="0.3">
      <c r="A39" s="126" t="s">
        <v>173</v>
      </c>
      <c r="B39" s="126" t="s">
        <v>0</v>
      </c>
      <c r="C39" s="126" t="s">
        <v>174</v>
      </c>
      <c r="D39" s="521" t="s">
        <v>175</v>
      </c>
      <c r="E39" s="521"/>
      <c r="F39" s="521"/>
      <c r="G39" s="521"/>
      <c r="H39" s="521"/>
      <c r="I39" s="129" t="s">
        <v>4</v>
      </c>
      <c r="J39" s="128"/>
      <c r="K39" s="128"/>
      <c r="L39" s="127" t="s">
        <v>59</v>
      </c>
      <c r="M39" s="130" t="s">
        <v>8</v>
      </c>
      <c r="N39" s="130" t="s">
        <v>10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58" s="69" customFormat="1" ht="15" customHeight="1" x14ac:dyDescent="0.3">
      <c r="A40" s="4" t="s">
        <v>132</v>
      </c>
      <c r="B40" s="4">
        <v>1</v>
      </c>
      <c r="C40" s="5">
        <f>4977.59-1520</f>
        <v>3457.59</v>
      </c>
      <c r="D40" s="546" t="s">
        <v>284</v>
      </c>
      <c r="E40" s="547"/>
      <c r="F40" s="547"/>
      <c r="G40" s="547"/>
      <c r="H40" s="548"/>
      <c r="I40" s="5">
        <f>4977.59-1520</f>
        <v>3457.59</v>
      </c>
      <c r="J40" s="5"/>
      <c r="K40" s="5"/>
      <c r="L40" s="5" t="s">
        <v>283</v>
      </c>
      <c r="M40" s="140">
        <v>10</v>
      </c>
      <c r="N40" s="4">
        <v>11</v>
      </c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</row>
    <row r="41" spans="1:58" s="40" customFormat="1" ht="15" customHeight="1" thickBot="1" x14ac:dyDescent="0.35">
      <c r="A41" s="518" t="s">
        <v>4</v>
      </c>
      <c r="B41" s="518"/>
      <c r="C41" s="518"/>
      <c r="D41" s="518"/>
      <c r="E41" s="518"/>
      <c r="F41" s="518"/>
      <c r="G41" s="518"/>
      <c r="H41" s="518"/>
      <c r="I41" s="114">
        <f>SUM(I40:I40)</f>
        <v>3457.59</v>
      </c>
      <c r="J41" s="90"/>
      <c r="K41" s="90"/>
      <c r="L41" s="90"/>
      <c r="M41" s="90"/>
      <c r="N41" s="9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1"/>
      <c r="AS41" s="11"/>
      <c r="AT41" s="11"/>
      <c r="AU41" s="11"/>
    </row>
    <row r="42" spans="1:58" s="19" customFormat="1" x14ac:dyDescent="0.3">
      <c r="A42" s="536"/>
      <c r="B42" s="537"/>
      <c r="C42" s="537"/>
      <c r="D42" s="537"/>
      <c r="E42" s="537"/>
      <c r="F42" s="537"/>
      <c r="G42" s="537"/>
      <c r="H42" s="537"/>
      <c r="I42" s="537"/>
      <c r="J42" s="537"/>
      <c r="K42" s="537"/>
      <c r="L42" s="537"/>
      <c r="M42" s="524"/>
      <c r="N42" s="525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</row>
    <row r="43" spans="1:58" s="40" customFormat="1" x14ac:dyDescent="0.3">
      <c r="A43" s="543" t="s">
        <v>9</v>
      </c>
      <c r="B43" s="543"/>
      <c r="C43" s="543"/>
      <c r="D43" s="543"/>
      <c r="E43" s="543"/>
      <c r="F43" s="543"/>
      <c r="G43" s="46"/>
      <c r="H43" s="46"/>
      <c r="I43" s="46"/>
      <c r="J43" s="46"/>
      <c r="K43" s="46"/>
      <c r="L43" s="544" t="s">
        <v>315</v>
      </c>
      <c r="M43" s="544"/>
      <c r="N43" s="545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1"/>
      <c r="AS43" s="11"/>
      <c r="AT43" s="11"/>
      <c r="AU43" s="11"/>
    </row>
    <row r="44" spans="1:58" s="40" customFormat="1" x14ac:dyDescent="0.3">
      <c r="A44" s="76" t="s">
        <v>40</v>
      </c>
      <c r="B44" s="77">
        <f>'GERAL 2022'!J3</f>
        <v>118.43</v>
      </c>
      <c r="C44" s="78">
        <v>6</v>
      </c>
      <c r="D44" s="77">
        <f>B44/C44</f>
        <v>19.738333333333333</v>
      </c>
      <c r="E44" s="78"/>
      <c r="F44" s="77"/>
      <c r="G44" s="11"/>
      <c r="H44" s="11"/>
      <c r="I44" s="87"/>
      <c r="J44" s="87"/>
      <c r="K44" s="87"/>
      <c r="L44" s="527" t="s">
        <v>94</v>
      </c>
      <c r="M44" s="527"/>
      <c r="N44" s="49">
        <f>J31+J36</f>
        <v>835.24484909237447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1"/>
      <c r="AS44" s="11"/>
      <c r="AT44" s="11"/>
      <c r="AU44" s="11"/>
    </row>
    <row r="45" spans="1:58" s="40" customFormat="1" x14ac:dyDescent="0.3">
      <c r="A45" s="12" t="s">
        <v>46</v>
      </c>
      <c r="B45" s="2">
        <f>'GERAL 2022'!H3</f>
        <v>14.184042553191489</v>
      </c>
      <c r="C45" s="88">
        <v>5</v>
      </c>
      <c r="D45" s="2">
        <f>B45/C45</f>
        <v>2.8368085106382979</v>
      </c>
      <c r="E45" s="88"/>
      <c r="F45" s="88"/>
      <c r="G45" s="11"/>
      <c r="H45" s="11"/>
      <c r="I45" s="14"/>
      <c r="J45" s="14"/>
      <c r="K45" s="14"/>
      <c r="L45" s="534" t="s">
        <v>260</v>
      </c>
      <c r="M45" s="535"/>
      <c r="N45" s="114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1"/>
      <c r="AS45" s="11"/>
      <c r="AT45" s="11"/>
      <c r="AU45" s="11"/>
    </row>
    <row r="46" spans="1:58" s="40" customFormat="1" x14ac:dyDescent="0.3">
      <c r="A46" s="79" t="s">
        <v>29</v>
      </c>
      <c r="B46" s="80"/>
      <c r="C46" s="82"/>
      <c r="D46" s="80"/>
      <c r="E46" s="78"/>
      <c r="F46" s="77"/>
      <c r="G46" s="11"/>
      <c r="H46" s="11"/>
      <c r="I46" s="14"/>
      <c r="J46" s="14"/>
      <c r="K46" s="14"/>
      <c r="L46" s="520"/>
      <c r="M46" s="520"/>
      <c r="N46" s="52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1"/>
      <c r="AS46" s="11"/>
      <c r="AT46" s="11"/>
      <c r="AU46" s="11"/>
    </row>
    <row r="47" spans="1:58" s="40" customFormat="1" x14ac:dyDescent="0.3">
      <c r="A47" s="12" t="s">
        <v>30</v>
      </c>
      <c r="B47" s="2"/>
      <c r="C47" s="88"/>
      <c r="D47" s="2"/>
      <c r="E47" s="53"/>
      <c r="F47" s="53"/>
      <c r="G47" s="11"/>
      <c r="H47" s="11"/>
      <c r="I47" s="62"/>
      <c r="J47" s="62"/>
      <c r="K47" s="62"/>
      <c r="L47" s="520"/>
      <c r="M47" s="520"/>
      <c r="N47" s="52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1"/>
      <c r="AS47" s="11"/>
      <c r="AT47" s="11"/>
      <c r="AU47" s="11"/>
    </row>
    <row r="48" spans="1:58" s="40" customFormat="1" x14ac:dyDescent="0.3">
      <c r="A48" s="79" t="s">
        <v>65</v>
      </c>
      <c r="B48" s="80"/>
      <c r="C48" s="82"/>
      <c r="D48" s="80"/>
      <c r="E48" s="78"/>
      <c r="F48" s="77"/>
      <c r="G48" s="11"/>
      <c r="H48" s="11"/>
      <c r="I48" s="14"/>
      <c r="J48" s="14"/>
      <c r="K48" s="14"/>
      <c r="L48" s="529" t="s">
        <v>12</v>
      </c>
      <c r="M48" s="529"/>
      <c r="N48" s="529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1"/>
      <c r="AS48" s="11"/>
      <c r="AT48" s="11"/>
      <c r="AU48" s="11"/>
    </row>
    <row r="49" spans="1:45" s="11" customFormat="1" ht="15" customHeight="1" x14ac:dyDescent="0.3">
      <c r="A49" s="12" t="s">
        <v>62</v>
      </c>
      <c r="B49" s="2"/>
      <c r="C49" s="88"/>
      <c r="D49" s="2"/>
      <c r="E49" s="88"/>
      <c r="F49" s="88"/>
      <c r="I49" s="63"/>
      <c r="J49" s="63"/>
      <c r="K49" s="63"/>
      <c r="L49" s="514" t="s">
        <v>364</v>
      </c>
      <c r="M49" s="514"/>
      <c r="N49" s="2">
        <v>19.64</v>
      </c>
    </row>
    <row r="50" spans="1:45" s="11" customFormat="1" x14ac:dyDescent="0.3">
      <c r="A50" s="79" t="s">
        <v>60</v>
      </c>
      <c r="B50" s="80">
        <f>'GERAL 2022'!J6</f>
        <v>117.85</v>
      </c>
      <c r="C50" s="82">
        <v>6</v>
      </c>
      <c r="D50" s="80">
        <f>B50/C50</f>
        <v>19.641666666666666</v>
      </c>
      <c r="E50" s="78"/>
      <c r="F50" s="77"/>
      <c r="I50" s="14"/>
      <c r="J50" s="14"/>
      <c r="K50" s="14"/>
      <c r="L50" s="514" t="s">
        <v>365</v>
      </c>
      <c r="M50" s="514"/>
      <c r="N50" s="2">
        <v>19.84</v>
      </c>
    </row>
    <row r="51" spans="1:45" s="11" customFormat="1" ht="15" customHeight="1" x14ac:dyDescent="0.3">
      <c r="A51" s="12" t="s">
        <v>61</v>
      </c>
      <c r="B51" s="2">
        <f>'GERAL 2022'!H6</f>
        <v>14.184042553191489</v>
      </c>
      <c r="C51" s="88">
        <v>5</v>
      </c>
      <c r="D51" s="2">
        <f>B51/C51</f>
        <v>2.8368085106382979</v>
      </c>
      <c r="E51" s="88"/>
      <c r="F51" s="88"/>
      <c r="I51" s="63"/>
      <c r="J51" s="63"/>
      <c r="K51" s="63"/>
      <c r="L51" s="514" t="s">
        <v>366</v>
      </c>
      <c r="M51" s="514"/>
      <c r="N51" s="2">
        <v>19.760000000000002</v>
      </c>
    </row>
    <row r="52" spans="1:45" s="11" customFormat="1" x14ac:dyDescent="0.3">
      <c r="A52" s="79" t="s">
        <v>31</v>
      </c>
      <c r="B52" s="80"/>
      <c r="C52" s="82"/>
      <c r="D52" s="80"/>
      <c r="E52" s="78"/>
      <c r="F52" s="77"/>
      <c r="I52" s="14"/>
      <c r="J52" s="14"/>
      <c r="K52" s="14"/>
      <c r="L52" s="514" t="s">
        <v>367</v>
      </c>
      <c r="M52" s="514"/>
      <c r="N52" s="2">
        <v>19.7</v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</row>
    <row r="53" spans="1:45" s="11" customFormat="1" x14ac:dyDescent="0.3">
      <c r="A53" s="12" t="s">
        <v>32</v>
      </c>
      <c r="B53" s="2"/>
      <c r="C53" s="88"/>
      <c r="D53" s="2"/>
      <c r="E53" s="88"/>
      <c r="F53" s="88"/>
      <c r="I53" s="63"/>
      <c r="J53" s="63"/>
      <c r="K53" s="63"/>
      <c r="L53" s="514" t="s">
        <v>383</v>
      </c>
      <c r="M53" s="514"/>
      <c r="N53" s="2">
        <v>19.809999999999999</v>
      </c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</row>
    <row r="54" spans="1:45" s="11" customFormat="1" x14ac:dyDescent="0.3">
      <c r="A54" s="79" t="s">
        <v>57</v>
      </c>
      <c r="B54" s="80">
        <f>'GERAL 2022'!J8</f>
        <v>119.02</v>
      </c>
      <c r="C54" s="82">
        <v>6</v>
      </c>
      <c r="D54" s="80">
        <f>B54/C54</f>
        <v>19.836666666666666</v>
      </c>
      <c r="E54" s="78"/>
      <c r="F54" s="77"/>
      <c r="I54" s="14"/>
      <c r="J54" s="14"/>
      <c r="K54" s="14"/>
      <c r="L54" s="514" t="s">
        <v>375</v>
      </c>
      <c r="M54" s="514"/>
      <c r="N54" s="2">
        <v>19.649999999999999</v>
      </c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</row>
    <row r="55" spans="1:45" s="11" customFormat="1" ht="12.75" customHeight="1" x14ac:dyDescent="0.3">
      <c r="A55" s="12" t="s">
        <v>58</v>
      </c>
      <c r="B55" s="2">
        <f>'GERAL 2022'!H8</f>
        <v>19.857659574468084</v>
      </c>
      <c r="C55" s="88">
        <v>5</v>
      </c>
      <c r="D55" s="2">
        <f>B55/C55</f>
        <v>3.9715319148936166</v>
      </c>
      <c r="E55" s="88"/>
      <c r="F55" s="88"/>
      <c r="I55" s="63"/>
      <c r="J55" s="63"/>
      <c r="K55" s="63"/>
      <c r="L55" s="514" t="s">
        <v>368</v>
      </c>
      <c r="M55" s="514"/>
      <c r="N55" s="2">
        <v>19.64</v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</row>
    <row r="56" spans="1:45" s="11" customFormat="1" x14ac:dyDescent="0.3">
      <c r="A56" s="79" t="s">
        <v>63</v>
      </c>
      <c r="B56" s="80"/>
      <c r="C56" s="82"/>
      <c r="D56" s="80"/>
      <c r="E56" s="78"/>
      <c r="F56" s="77"/>
      <c r="I56" s="14"/>
      <c r="J56" s="14"/>
      <c r="K56" s="14"/>
      <c r="L56" s="514" t="s">
        <v>202</v>
      </c>
      <c r="M56" s="514"/>
      <c r="N56" s="2">
        <v>19.84</v>
      </c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</row>
    <row r="57" spans="1:45" s="11" customFormat="1" ht="15" customHeight="1" x14ac:dyDescent="0.3">
      <c r="A57" s="12" t="s">
        <v>64</v>
      </c>
      <c r="B57" s="2"/>
      <c r="C57" s="88"/>
      <c r="D57" s="2"/>
      <c r="E57" s="88"/>
      <c r="F57" s="88"/>
      <c r="I57" s="63"/>
      <c r="J57" s="63"/>
      <c r="K57" s="63"/>
      <c r="L57" s="514" t="s">
        <v>369</v>
      </c>
      <c r="M57" s="514"/>
      <c r="N57" s="2">
        <v>19.87</v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</row>
    <row r="58" spans="1:45" s="11" customFormat="1" x14ac:dyDescent="0.3">
      <c r="A58" s="79" t="s">
        <v>33</v>
      </c>
      <c r="B58" s="80">
        <f>'GERAL 2022'!J10</f>
        <v>118.53</v>
      </c>
      <c r="C58" s="82">
        <v>6</v>
      </c>
      <c r="D58" s="80">
        <f t="shared" ref="D58:D65" si="8">B58/C58</f>
        <v>19.754999999999999</v>
      </c>
      <c r="E58" s="78"/>
      <c r="F58" s="77"/>
      <c r="I58" s="14"/>
      <c r="J58" s="14"/>
      <c r="K58" s="14"/>
      <c r="L58" s="514" t="s">
        <v>370</v>
      </c>
      <c r="M58" s="514"/>
      <c r="N58" s="2">
        <v>19.559999999999999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</row>
    <row r="59" spans="1:45" s="11" customFormat="1" ht="13.5" customHeight="1" x14ac:dyDescent="0.3">
      <c r="A59" s="12" t="s">
        <v>34</v>
      </c>
      <c r="B59" s="2">
        <f>'GERAL 2022'!H10</f>
        <v>14.184042553191489</v>
      </c>
      <c r="C59" s="88">
        <v>5</v>
      </c>
      <c r="D59" s="2">
        <f t="shared" si="8"/>
        <v>2.8368085106382979</v>
      </c>
      <c r="E59" s="88"/>
      <c r="F59" s="88"/>
      <c r="I59" s="63"/>
      <c r="J59" s="63"/>
      <c r="K59" s="63"/>
      <c r="L59" s="514" t="s">
        <v>371</v>
      </c>
      <c r="M59" s="514"/>
      <c r="N59" s="2">
        <v>19.559999999999999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</row>
    <row r="60" spans="1:45" s="11" customFormat="1" x14ac:dyDescent="0.3">
      <c r="A60" s="79" t="s">
        <v>41</v>
      </c>
      <c r="B60" s="80">
        <f>'GERAL 2022'!J11</f>
        <v>118.18</v>
      </c>
      <c r="C60" s="82">
        <v>6</v>
      </c>
      <c r="D60" s="80">
        <f t="shared" si="8"/>
        <v>19.696666666666669</v>
      </c>
      <c r="E60" s="78"/>
      <c r="F60" s="77"/>
      <c r="L60" s="514" t="s">
        <v>372</v>
      </c>
      <c r="M60" s="514"/>
      <c r="N60" s="2">
        <v>19.649999999999999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</row>
    <row r="61" spans="1:45" s="11" customFormat="1" x14ac:dyDescent="0.3">
      <c r="A61" s="12" t="s">
        <v>42</v>
      </c>
      <c r="B61" s="2">
        <f>'GERAL 2022'!H11</f>
        <v>14.184042553191489</v>
      </c>
      <c r="C61" s="88">
        <v>5</v>
      </c>
      <c r="D61" s="2">
        <f t="shared" si="8"/>
        <v>2.8368085106382979</v>
      </c>
      <c r="E61" s="88"/>
      <c r="F61" s="88"/>
      <c r="I61" s="63"/>
      <c r="J61" s="63"/>
      <c r="K61" s="63"/>
      <c r="L61" s="514" t="s">
        <v>373</v>
      </c>
      <c r="M61" s="514"/>
      <c r="N61" s="2">
        <v>19.84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</row>
    <row r="62" spans="1:45" s="11" customFormat="1" x14ac:dyDescent="0.3">
      <c r="A62" s="79" t="s">
        <v>66</v>
      </c>
      <c r="B62" s="80">
        <f>'GERAL 2022'!J12</f>
        <v>106.95</v>
      </c>
      <c r="C62" s="81">
        <v>6</v>
      </c>
      <c r="D62" s="80">
        <f t="shared" si="8"/>
        <v>17.824999999999999</v>
      </c>
      <c r="E62" s="82"/>
      <c r="F62" s="80"/>
      <c r="I62" s="14"/>
      <c r="J62" s="14"/>
      <c r="K62" s="14"/>
      <c r="L62" s="514" t="s">
        <v>112</v>
      </c>
      <c r="M62" s="514"/>
      <c r="N62" s="2">
        <v>19.95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</row>
    <row r="63" spans="1:45" s="11" customFormat="1" x14ac:dyDescent="0.3">
      <c r="A63" s="12" t="s">
        <v>67</v>
      </c>
      <c r="B63" s="2">
        <f>'GERAL 2022'!H12</f>
        <v>14.184042553191489</v>
      </c>
      <c r="C63" s="88">
        <v>5</v>
      </c>
      <c r="D63" s="2">
        <f t="shared" si="8"/>
        <v>2.8368085106382979</v>
      </c>
      <c r="E63" s="88"/>
      <c r="F63" s="88"/>
      <c r="I63" s="63"/>
      <c r="J63" s="63"/>
      <c r="K63" s="63"/>
      <c r="L63" s="514" t="s">
        <v>374</v>
      </c>
      <c r="M63" s="514"/>
      <c r="N63" s="2">
        <v>19.649999999999999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</row>
    <row r="64" spans="1:45" s="11" customFormat="1" x14ac:dyDescent="0.3">
      <c r="A64" s="79" t="s">
        <v>14</v>
      </c>
      <c r="B64" s="80">
        <f>'GERAL 2022'!J13</f>
        <v>117.85</v>
      </c>
      <c r="C64" s="82">
        <v>6</v>
      </c>
      <c r="D64" s="80">
        <f t="shared" si="8"/>
        <v>19.641666666666666</v>
      </c>
      <c r="E64" s="82"/>
      <c r="F64" s="80"/>
      <c r="I64" s="14"/>
      <c r="J64" s="14"/>
      <c r="K64" s="14"/>
      <c r="L64" s="514" t="s">
        <v>89</v>
      </c>
      <c r="M64" s="514"/>
      <c r="N64" s="2">
        <v>19.68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</row>
    <row r="65" spans="1:46" s="11" customFormat="1" x14ac:dyDescent="0.3">
      <c r="A65" s="12" t="s">
        <v>15</v>
      </c>
      <c r="B65" s="2">
        <f>'GERAL 2022'!H13</f>
        <v>14.184042553191489</v>
      </c>
      <c r="C65" s="88">
        <v>5</v>
      </c>
      <c r="D65" s="2">
        <f t="shared" si="8"/>
        <v>2.8368085106382979</v>
      </c>
      <c r="E65" s="88"/>
      <c r="F65" s="88"/>
      <c r="I65" s="87"/>
      <c r="J65" s="87"/>
      <c r="K65" s="87"/>
      <c r="L65" s="542" t="s">
        <v>376</v>
      </c>
      <c r="M65" s="542"/>
      <c r="N65" s="2">
        <f>120*4</f>
        <v>480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</row>
    <row r="66" spans="1:46" s="11" customFormat="1" x14ac:dyDescent="0.3">
      <c r="A66" s="79" t="s">
        <v>55</v>
      </c>
      <c r="B66" s="80"/>
      <c r="C66" s="82"/>
      <c r="D66" s="80"/>
      <c r="E66" s="82"/>
      <c r="F66" s="80"/>
      <c r="L66" s="542" t="s">
        <v>377</v>
      </c>
      <c r="M66" s="542"/>
      <c r="N66" s="2">
        <f>8.77*7</f>
        <v>61.39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</row>
    <row r="67" spans="1:46" s="11" customFormat="1" x14ac:dyDescent="0.3">
      <c r="A67" s="12" t="s">
        <v>56</v>
      </c>
      <c r="B67" s="2"/>
      <c r="C67" s="88"/>
      <c r="D67" s="2"/>
      <c r="E67" s="88"/>
      <c r="F67" s="88"/>
      <c r="L67" s="520" t="s">
        <v>126</v>
      </c>
      <c r="M67" s="520"/>
      <c r="N67" s="2">
        <v>134.44999999999999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</row>
    <row r="68" spans="1:46" s="11" customFormat="1" x14ac:dyDescent="0.3">
      <c r="A68" s="79" t="s">
        <v>35</v>
      </c>
      <c r="B68" s="80">
        <f>'GERAL 2022'!J15</f>
        <v>117.85</v>
      </c>
      <c r="C68" s="82">
        <v>6</v>
      </c>
      <c r="D68" s="80">
        <f>B68/C68</f>
        <v>19.641666666666666</v>
      </c>
      <c r="E68" s="82"/>
      <c r="F68" s="80"/>
      <c r="L68" s="520" t="s">
        <v>378</v>
      </c>
      <c r="M68" s="520"/>
      <c r="N68" s="2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</row>
    <row r="69" spans="1:46" s="11" customFormat="1" x14ac:dyDescent="0.3">
      <c r="A69" s="12" t="s">
        <v>36</v>
      </c>
      <c r="B69" s="2">
        <f>'GERAL 2022'!H15</f>
        <v>14.184042553191489</v>
      </c>
      <c r="C69" s="88">
        <v>5</v>
      </c>
      <c r="D69" s="2">
        <f>B69/C69</f>
        <v>2.8368085106382979</v>
      </c>
      <c r="E69" s="88"/>
      <c r="F69" s="88"/>
      <c r="I69" s="14"/>
      <c r="J69" s="14"/>
      <c r="K69" s="14"/>
      <c r="L69" s="520" t="s">
        <v>380</v>
      </c>
      <c r="M69" s="520"/>
      <c r="N69" s="2">
        <v>70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</row>
    <row r="70" spans="1:46" s="11" customFormat="1" ht="14.4" x14ac:dyDescent="0.3">
      <c r="A70" s="79" t="s">
        <v>47</v>
      </c>
      <c r="B70" s="80">
        <f>'GERAL 2022'!J16</f>
        <v>117.85</v>
      </c>
      <c r="C70" s="82">
        <v>6</v>
      </c>
      <c r="D70" s="80">
        <f>B70/C70</f>
        <v>19.641666666666666</v>
      </c>
      <c r="E70" s="82"/>
      <c r="F70" s="80"/>
      <c r="I70" s="15"/>
      <c r="J70" s="15"/>
      <c r="K70" s="15"/>
      <c r="L70" s="561"/>
      <c r="M70" s="562"/>
      <c r="N70" s="141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</row>
    <row r="71" spans="1:46" s="11" customFormat="1" ht="14.4" x14ac:dyDescent="0.3">
      <c r="A71" s="12" t="s">
        <v>48</v>
      </c>
      <c r="B71" s="2">
        <f>'GERAL 2022'!H16</f>
        <v>14.184042553191489</v>
      </c>
      <c r="C71" s="88">
        <v>5</v>
      </c>
      <c r="D71" s="2">
        <f>B71/C71</f>
        <v>2.8368085106382979</v>
      </c>
      <c r="E71" s="88"/>
      <c r="F71" s="88"/>
      <c r="I71" s="14"/>
      <c r="J71" s="14"/>
      <c r="K71" s="14"/>
      <c r="L71" s="563"/>
      <c r="M71" s="563"/>
      <c r="N71" s="141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</row>
    <row r="72" spans="1:46" s="11" customFormat="1" ht="14.4" x14ac:dyDescent="0.3">
      <c r="A72" s="79" t="s">
        <v>16</v>
      </c>
      <c r="B72" s="80">
        <f>'GERAL 2022'!J40</f>
        <v>119.02</v>
      </c>
      <c r="C72" s="82">
        <v>6</v>
      </c>
      <c r="D72" s="80">
        <f t="shared" ref="D72:D91" si="9">B72/C72</f>
        <v>19.836666666666666</v>
      </c>
      <c r="E72" s="81"/>
      <c r="F72" s="81"/>
      <c r="I72" s="14"/>
      <c r="J72" s="14"/>
      <c r="K72" s="14"/>
      <c r="L72" s="563"/>
      <c r="M72" s="563"/>
      <c r="N72" s="141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</row>
    <row r="73" spans="1:46" s="11" customFormat="1" x14ac:dyDescent="0.3">
      <c r="A73" s="12" t="s">
        <v>17</v>
      </c>
      <c r="B73" s="2">
        <f>'GERAL 2022'!H17</f>
        <v>19.857659574468084</v>
      </c>
      <c r="C73" s="88">
        <v>5</v>
      </c>
      <c r="D73" s="2">
        <f t="shared" si="9"/>
        <v>3.9715319148936166</v>
      </c>
      <c r="E73" s="88"/>
      <c r="F73" s="88"/>
      <c r="I73" s="14"/>
      <c r="J73" s="14"/>
      <c r="K73" s="14"/>
      <c r="L73" s="520"/>
      <c r="M73" s="520"/>
      <c r="N73" s="2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</row>
    <row r="74" spans="1:46" s="11" customFormat="1" x14ac:dyDescent="0.3">
      <c r="A74" s="79" t="s">
        <v>273</v>
      </c>
      <c r="B74" s="80">
        <f>'GERAL 2022'!J40</f>
        <v>119.02</v>
      </c>
      <c r="C74" s="82">
        <v>6</v>
      </c>
      <c r="D74" s="80">
        <f t="shared" si="9"/>
        <v>19.836666666666666</v>
      </c>
      <c r="E74" s="81"/>
      <c r="F74" s="81"/>
      <c r="I74" s="14"/>
      <c r="J74" s="14"/>
      <c r="K74" s="14"/>
      <c r="L74" s="520"/>
      <c r="M74" s="520"/>
      <c r="N74" s="9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</row>
    <row r="75" spans="1:46" s="69" customFormat="1" x14ac:dyDescent="0.3">
      <c r="A75" s="12" t="s">
        <v>274</v>
      </c>
      <c r="B75" s="2">
        <f>'GERAL 2022'!H40</f>
        <v>19.857659574468084</v>
      </c>
      <c r="C75" s="88">
        <v>5</v>
      </c>
      <c r="D75" s="2">
        <f t="shared" si="9"/>
        <v>3.9715319148936166</v>
      </c>
      <c r="E75" s="88"/>
      <c r="F75" s="88"/>
      <c r="G75" s="11"/>
      <c r="H75" s="11"/>
      <c r="I75" s="14"/>
      <c r="J75" s="14"/>
      <c r="K75" s="14"/>
      <c r="L75" s="518"/>
      <c r="M75" s="518"/>
      <c r="N75" s="109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</row>
    <row r="76" spans="1:46" s="69" customFormat="1" x14ac:dyDescent="0.3">
      <c r="A76" s="79" t="s">
        <v>27</v>
      </c>
      <c r="B76" s="80">
        <f>'GERAL 2022'!J18</f>
        <v>118.87</v>
      </c>
      <c r="C76" s="82">
        <v>6</v>
      </c>
      <c r="D76" s="80">
        <f t="shared" si="9"/>
        <v>19.811666666666667</v>
      </c>
      <c r="E76" s="81"/>
      <c r="F76" s="82"/>
      <c r="G76" s="11"/>
      <c r="H76" s="11"/>
      <c r="I76" s="14"/>
      <c r="J76" s="14"/>
      <c r="K76" s="14"/>
      <c r="L76" s="518" t="s">
        <v>26</v>
      </c>
      <c r="M76" s="518"/>
      <c r="N76" s="109">
        <f>SUM(N44:N75)</f>
        <v>1896.7248490923748</v>
      </c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</row>
    <row r="77" spans="1:46" s="69" customFormat="1" x14ac:dyDescent="0.3">
      <c r="A77" s="12" t="s">
        <v>28</v>
      </c>
      <c r="B77" s="2">
        <f>'GERAL 2022'!H18</f>
        <v>14.184042553191489</v>
      </c>
      <c r="C77" s="88">
        <v>5</v>
      </c>
      <c r="D77" s="2">
        <f t="shared" si="9"/>
        <v>2.8368085106382979</v>
      </c>
      <c r="E77" s="88"/>
      <c r="F77" s="90"/>
      <c r="G77" s="11"/>
      <c r="H77" s="11"/>
      <c r="I77" s="14"/>
      <c r="J77" s="14"/>
      <c r="K77" s="14"/>
      <c r="L77" s="543"/>
      <c r="M77" s="543"/>
      <c r="N77" s="135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</row>
    <row r="78" spans="1:46" s="69" customFormat="1" x14ac:dyDescent="0.3">
      <c r="A78" s="79" t="s">
        <v>18</v>
      </c>
      <c r="B78" s="80">
        <f>'GERAL 2022'!J19</f>
        <v>118.87</v>
      </c>
      <c r="C78" s="82">
        <v>6</v>
      </c>
      <c r="D78" s="80">
        <f t="shared" si="9"/>
        <v>19.811666666666667</v>
      </c>
      <c r="E78" s="82"/>
      <c r="F78" s="80"/>
      <c r="G78" s="11"/>
      <c r="H78" s="11"/>
      <c r="I78" s="14"/>
      <c r="J78" s="14"/>
      <c r="K78" s="14"/>
      <c r="L78" s="564" t="s">
        <v>11</v>
      </c>
      <c r="M78" s="565"/>
      <c r="N78" s="153">
        <f>I31+I36</f>
        <v>11932.069272748204</v>
      </c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</row>
    <row r="79" spans="1:46" s="69" customFormat="1" x14ac:dyDescent="0.3">
      <c r="A79" s="12" t="s">
        <v>19</v>
      </c>
      <c r="B79" s="2">
        <f>'GERAL 2022'!H19</f>
        <v>14.184042553191489</v>
      </c>
      <c r="C79" s="88">
        <v>5</v>
      </c>
      <c r="D79" s="2">
        <f t="shared" si="9"/>
        <v>2.8368085106382979</v>
      </c>
      <c r="E79" s="88"/>
      <c r="F79" s="88"/>
      <c r="G79" s="11"/>
      <c r="H79" s="11"/>
      <c r="I79" s="14"/>
      <c r="J79" s="14"/>
      <c r="K79" s="14"/>
      <c r="L79" s="518"/>
      <c r="M79" s="518"/>
      <c r="N79" s="519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</row>
    <row r="80" spans="1:46" s="69" customFormat="1" x14ac:dyDescent="0.3">
      <c r="A80" s="79" t="s">
        <v>37</v>
      </c>
      <c r="B80" s="80">
        <f>'GERAL 2022'!J20</f>
        <v>119.02</v>
      </c>
      <c r="C80" s="82">
        <v>6</v>
      </c>
      <c r="D80" s="80">
        <f t="shared" si="9"/>
        <v>19.836666666666666</v>
      </c>
      <c r="E80" s="81"/>
      <c r="F80" s="82"/>
      <c r="G80" s="11"/>
      <c r="H80" s="11"/>
      <c r="I80" s="14"/>
      <c r="J80" s="14"/>
      <c r="K80" s="14"/>
      <c r="L80" s="513" t="s">
        <v>13</v>
      </c>
      <c r="M80" s="513"/>
      <c r="N80" s="151">
        <f>N78-N76</f>
        <v>10035.344423655828</v>
      </c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</row>
    <row r="81" spans="1:46" s="69" customFormat="1" x14ac:dyDescent="0.3">
      <c r="A81" s="12" t="s">
        <v>38</v>
      </c>
      <c r="B81" s="2">
        <f>'GERAL 2022'!H20</f>
        <v>14.184042553191489</v>
      </c>
      <c r="C81" s="88">
        <v>5</v>
      </c>
      <c r="D81" s="2">
        <f t="shared" si="9"/>
        <v>2.8368085106382979</v>
      </c>
      <c r="E81" s="88"/>
      <c r="F81" s="88"/>
      <c r="G81" s="11"/>
      <c r="H81" s="11"/>
      <c r="I81" s="14"/>
      <c r="J81" s="14"/>
      <c r="K81" s="14"/>
      <c r="L81" s="123"/>
      <c r="M81" s="123"/>
      <c r="N81" s="133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</row>
    <row r="82" spans="1:46" s="69" customFormat="1" x14ac:dyDescent="0.3">
      <c r="A82" s="79" t="s">
        <v>45</v>
      </c>
      <c r="B82" s="80">
        <f>'GERAL 2022'!J21</f>
        <v>118.43</v>
      </c>
      <c r="C82" s="82">
        <v>6</v>
      </c>
      <c r="D82" s="80">
        <f t="shared" si="9"/>
        <v>19.738333333333333</v>
      </c>
      <c r="E82" s="81"/>
      <c r="F82" s="82"/>
      <c r="G82" s="11"/>
      <c r="H82" s="11"/>
      <c r="I82" s="14"/>
      <c r="J82" s="14"/>
      <c r="K82" s="14"/>
      <c r="L82" s="124"/>
      <c r="M82" s="124"/>
      <c r="N82" s="134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</row>
    <row r="83" spans="1:46" s="69" customFormat="1" x14ac:dyDescent="0.3">
      <c r="A83" s="12" t="s">
        <v>39</v>
      </c>
      <c r="B83" s="2">
        <f>'GERAL 2022'!H21</f>
        <v>14.184042553191489</v>
      </c>
      <c r="C83" s="88">
        <v>5</v>
      </c>
      <c r="D83" s="2">
        <f t="shared" si="9"/>
        <v>2.8368085106382979</v>
      </c>
      <c r="E83" s="88"/>
      <c r="F83" s="88"/>
      <c r="G83" s="11"/>
      <c r="H83" s="11"/>
      <c r="I83" s="14"/>
      <c r="J83" s="14"/>
      <c r="K83" s="14"/>
      <c r="L83" s="124"/>
      <c r="M83" s="124"/>
      <c r="N83" s="57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</row>
    <row r="84" spans="1:46" s="69" customFormat="1" x14ac:dyDescent="0.3">
      <c r="A84" s="81" t="s">
        <v>49</v>
      </c>
      <c r="B84" s="80">
        <f>'GERAL 2022'!J22</f>
        <v>119.12</v>
      </c>
      <c r="C84" s="82">
        <v>6</v>
      </c>
      <c r="D84" s="80">
        <f t="shared" si="9"/>
        <v>19.853333333333335</v>
      </c>
      <c r="E84" s="81"/>
      <c r="F84" s="82"/>
      <c r="G84" s="11"/>
      <c r="H84" s="11"/>
      <c r="I84" s="14"/>
      <c r="J84" s="14"/>
      <c r="K84" s="14"/>
      <c r="L84" s="124"/>
      <c r="M84" s="124"/>
      <c r="N84" s="57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</row>
    <row r="85" spans="1:46" s="69" customFormat="1" x14ac:dyDescent="0.3">
      <c r="A85" s="90" t="s">
        <v>50</v>
      </c>
      <c r="B85" s="2">
        <f>'GERAL 2022'!H22</f>
        <v>14.184042553191489</v>
      </c>
      <c r="C85" s="88">
        <v>5</v>
      </c>
      <c r="D85" s="2">
        <f t="shared" si="9"/>
        <v>2.8368085106382979</v>
      </c>
      <c r="E85" s="88"/>
      <c r="F85" s="88"/>
      <c r="G85" s="11"/>
      <c r="H85" s="11"/>
      <c r="I85" s="14"/>
      <c r="J85" s="14"/>
      <c r="K85" s="14"/>
      <c r="L85" s="124"/>
      <c r="M85" s="124"/>
      <c r="N85" s="57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</row>
    <row r="86" spans="1:46" s="69" customFormat="1" x14ac:dyDescent="0.3">
      <c r="A86" s="81" t="s">
        <v>43</v>
      </c>
      <c r="B86" s="80">
        <f>'GERAL 2022'!J23</f>
        <v>117.26</v>
      </c>
      <c r="C86" s="82">
        <v>6</v>
      </c>
      <c r="D86" s="80">
        <f t="shared" si="9"/>
        <v>19.543333333333333</v>
      </c>
      <c r="E86" s="81"/>
      <c r="F86" s="82"/>
      <c r="I86" s="142"/>
      <c r="J86" s="142"/>
      <c r="K86" s="142"/>
      <c r="L86" s="124"/>
      <c r="M86" s="124"/>
      <c r="N86" s="57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</row>
    <row r="87" spans="1:46" s="70" customFormat="1" x14ac:dyDescent="0.3">
      <c r="A87" s="90" t="s">
        <v>44</v>
      </c>
      <c r="B87" s="2">
        <f>'GERAL 2022'!H23</f>
        <v>14.184042553191489</v>
      </c>
      <c r="C87" s="88">
        <v>5</v>
      </c>
      <c r="D87" s="2">
        <f t="shared" si="9"/>
        <v>2.8368085106382979</v>
      </c>
      <c r="E87" s="88"/>
      <c r="F87" s="88"/>
      <c r="G87" s="63"/>
      <c r="H87" s="63"/>
      <c r="I87" s="69"/>
      <c r="J87" s="69"/>
      <c r="K87" s="69"/>
      <c r="L87" s="15"/>
      <c r="M87" s="14"/>
      <c r="N87" s="57"/>
    </row>
    <row r="88" spans="1:46" s="70" customFormat="1" x14ac:dyDescent="0.3">
      <c r="A88" s="81" t="s">
        <v>51</v>
      </c>
      <c r="B88" s="80">
        <f>'GERAL 2022'!J24</f>
        <v>117.26</v>
      </c>
      <c r="C88" s="82">
        <v>6</v>
      </c>
      <c r="D88" s="80">
        <f t="shared" si="9"/>
        <v>19.543333333333333</v>
      </c>
      <c r="E88" s="82"/>
      <c r="F88" s="80"/>
      <c r="G88" s="11"/>
      <c r="H88" s="63"/>
      <c r="I88" s="142"/>
      <c r="J88" s="142"/>
      <c r="K88" s="142"/>
      <c r="L88" s="11"/>
      <c r="M88" s="15"/>
      <c r="N88" s="57"/>
      <c r="AT88" s="69"/>
    </row>
    <row r="89" spans="1:46" s="70" customFormat="1" x14ac:dyDescent="0.3">
      <c r="A89" s="90" t="s">
        <v>52</v>
      </c>
      <c r="B89" s="2">
        <f>'GERAL 2022'!H24</f>
        <v>14.184042553191489</v>
      </c>
      <c r="C89" s="88">
        <v>5</v>
      </c>
      <c r="D89" s="2">
        <f t="shared" si="9"/>
        <v>2.8368085106382979</v>
      </c>
      <c r="E89" s="88"/>
      <c r="F89" s="4"/>
      <c r="G89" s="142"/>
      <c r="H89" s="142"/>
      <c r="I89" s="142"/>
      <c r="J89" s="142"/>
      <c r="K89" s="142"/>
      <c r="L89" s="11"/>
      <c r="M89" s="11"/>
      <c r="N89" s="57"/>
      <c r="AT89" s="69"/>
    </row>
    <row r="90" spans="1:46" s="70" customFormat="1" x14ac:dyDescent="0.3">
      <c r="A90" s="81" t="s">
        <v>53</v>
      </c>
      <c r="B90" s="80">
        <f>'GERAL 2022'!J25</f>
        <v>117.85</v>
      </c>
      <c r="C90" s="82">
        <v>6</v>
      </c>
      <c r="D90" s="80">
        <f t="shared" si="9"/>
        <v>19.641666666666666</v>
      </c>
      <c r="E90" s="82"/>
      <c r="F90" s="82"/>
      <c r="G90" s="11"/>
      <c r="H90" s="63"/>
      <c r="I90" s="142"/>
      <c r="J90" s="142"/>
      <c r="K90" s="142"/>
      <c r="L90" s="14"/>
      <c r="M90" s="14"/>
      <c r="N90" s="57"/>
      <c r="AT90" s="69"/>
    </row>
    <row r="91" spans="1:46" s="70" customFormat="1" x14ac:dyDescent="0.3">
      <c r="A91" s="90" t="s">
        <v>54</v>
      </c>
      <c r="B91" s="2">
        <f>'GERAL 2022'!H25</f>
        <v>14.184042553191489</v>
      </c>
      <c r="C91" s="88">
        <v>5</v>
      </c>
      <c r="D91" s="2">
        <f t="shared" si="9"/>
        <v>2.8368085106382979</v>
      </c>
      <c r="E91" s="88"/>
      <c r="F91" s="4"/>
      <c r="G91" s="142"/>
      <c r="H91" s="142"/>
      <c r="I91" s="142"/>
      <c r="J91" s="142"/>
      <c r="K91" s="142"/>
      <c r="L91" s="14"/>
      <c r="M91" s="15"/>
      <c r="N91" s="57"/>
      <c r="AT91" s="69"/>
    </row>
    <row r="92" spans="1:46" s="70" customFormat="1" x14ac:dyDescent="0.3">
      <c r="A92" s="81" t="s">
        <v>78</v>
      </c>
      <c r="B92" s="80">
        <f>'GERAL 2022'!J26</f>
        <v>119.02</v>
      </c>
      <c r="C92" s="82">
        <v>6</v>
      </c>
      <c r="D92" s="80">
        <f t="shared" ref="D92:D99" si="10">B92/C92</f>
        <v>19.836666666666666</v>
      </c>
      <c r="E92" s="82"/>
      <c r="F92" s="82"/>
      <c r="G92" s="11"/>
      <c r="H92" s="63"/>
      <c r="I92" s="142"/>
      <c r="J92" s="142"/>
      <c r="K92" s="142"/>
      <c r="L92" s="14"/>
      <c r="M92" s="11"/>
      <c r="N92" s="57"/>
      <c r="AT92" s="69"/>
    </row>
    <row r="93" spans="1:46" s="70" customFormat="1" x14ac:dyDescent="0.3">
      <c r="A93" s="90" t="s">
        <v>79</v>
      </c>
      <c r="B93" s="2">
        <f>'GERAL 2022'!H26</f>
        <v>19.857659574468084</v>
      </c>
      <c r="C93" s="88">
        <v>5</v>
      </c>
      <c r="D93" s="2">
        <f t="shared" si="10"/>
        <v>3.9715319148936166</v>
      </c>
      <c r="E93" s="88"/>
      <c r="F93" s="4"/>
      <c r="G93" s="142"/>
      <c r="H93" s="142"/>
      <c r="I93" s="142"/>
      <c r="J93" s="142"/>
      <c r="K93" s="142"/>
      <c r="L93" s="14"/>
      <c r="M93" s="11"/>
      <c r="N93" s="57"/>
      <c r="AT93" s="69"/>
    </row>
    <row r="94" spans="1:46" s="70" customFormat="1" x14ac:dyDescent="0.3">
      <c r="A94" s="81" t="s">
        <v>80</v>
      </c>
      <c r="B94" s="80">
        <f>'GERAL 2022'!J27</f>
        <v>119.7</v>
      </c>
      <c r="C94" s="82">
        <v>6</v>
      </c>
      <c r="D94" s="80">
        <f t="shared" si="10"/>
        <v>19.95</v>
      </c>
      <c r="E94" s="82"/>
      <c r="F94" s="82"/>
      <c r="G94" s="11"/>
      <c r="H94" s="63"/>
      <c r="I94" s="142"/>
      <c r="J94" s="142"/>
      <c r="K94" s="142"/>
      <c r="L94" s="11"/>
      <c r="M94" s="11"/>
      <c r="N94" s="57"/>
      <c r="AT94" s="69"/>
    </row>
    <row r="95" spans="1:46" s="70" customFormat="1" x14ac:dyDescent="0.3">
      <c r="A95" s="90" t="s">
        <v>81</v>
      </c>
      <c r="B95" s="2">
        <f>'GERAL 2022'!H27</f>
        <v>14.184042553191489</v>
      </c>
      <c r="C95" s="88">
        <v>5</v>
      </c>
      <c r="D95" s="2">
        <f t="shared" si="10"/>
        <v>2.8368085106382979</v>
      </c>
      <c r="E95" s="88"/>
      <c r="F95" s="4"/>
      <c r="G95" s="142"/>
      <c r="H95" s="142"/>
      <c r="I95" s="142"/>
      <c r="J95" s="142"/>
      <c r="K95" s="142"/>
      <c r="L95" s="11"/>
      <c r="M95" s="14"/>
      <c r="N95" s="57"/>
      <c r="AT95" s="69"/>
    </row>
    <row r="96" spans="1:46" s="70" customFormat="1" x14ac:dyDescent="0.3">
      <c r="A96" s="81" t="s">
        <v>82</v>
      </c>
      <c r="B96" s="80">
        <f>'GERAL 2022'!J28</f>
        <v>117.95</v>
      </c>
      <c r="C96" s="82">
        <v>6</v>
      </c>
      <c r="D96" s="80">
        <f t="shared" si="10"/>
        <v>19.658333333333335</v>
      </c>
      <c r="E96" s="82"/>
      <c r="F96" s="82"/>
      <c r="G96" s="11"/>
      <c r="H96" s="63"/>
      <c r="I96" s="142"/>
      <c r="J96" s="142"/>
      <c r="K96" s="142"/>
      <c r="L96" s="11"/>
      <c r="M96" s="14"/>
      <c r="N96" s="57"/>
      <c r="AT96" s="69"/>
    </row>
    <row r="97" spans="1:46" s="70" customFormat="1" x14ac:dyDescent="0.3">
      <c r="A97" s="90" t="s">
        <v>83</v>
      </c>
      <c r="B97" s="2">
        <f>'GERAL 2022'!H28</f>
        <v>14.184042553191489</v>
      </c>
      <c r="C97" s="88">
        <v>5</v>
      </c>
      <c r="D97" s="2">
        <f t="shared" si="10"/>
        <v>2.8368085106382979</v>
      </c>
      <c r="E97" s="88"/>
      <c r="F97" s="4"/>
      <c r="G97" s="142"/>
      <c r="H97" s="142"/>
      <c r="I97" s="142"/>
      <c r="J97" s="142"/>
      <c r="K97" s="142"/>
      <c r="L97" s="11"/>
      <c r="M97" s="14"/>
      <c r="N97" s="57"/>
      <c r="AT97" s="69"/>
    </row>
    <row r="98" spans="1:46" s="70" customFormat="1" x14ac:dyDescent="0.3">
      <c r="A98" s="81" t="s">
        <v>84</v>
      </c>
      <c r="B98" s="80">
        <f>'GERAL 2022'!J45</f>
        <v>118.18</v>
      </c>
      <c r="C98" s="82">
        <v>6</v>
      </c>
      <c r="D98" s="80">
        <f t="shared" si="10"/>
        <v>19.696666666666669</v>
      </c>
      <c r="E98" s="82"/>
      <c r="F98" s="82"/>
      <c r="G98" s="142"/>
      <c r="H98" s="142"/>
      <c r="I98" s="142"/>
      <c r="J98" s="142"/>
      <c r="K98" s="142"/>
      <c r="L98" s="11"/>
      <c r="M98" s="14"/>
      <c r="N98" s="57"/>
      <c r="AT98" s="69"/>
    </row>
    <row r="99" spans="1:46" s="70" customFormat="1" ht="14.4" thickBot="1" x14ac:dyDescent="0.35">
      <c r="A99" s="90" t="s">
        <v>85</v>
      </c>
      <c r="B99" s="2">
        <f>'GERAL 2022'!H45</f>
        <v>14.184042553191489</v>
      </c>
      <c r="C99" s="88">
        <v>5</v>
      </c>
      <c r="D99" s="2">
        <f t="shared" si="10"/>
        <v>2.8368085106382979</v>
      </c>
      <c r="E99" s="88"/>
      <c r="F99" s="4"/>
      <c r="G99" s="143"/>
      <c r="H99" s="143"/>
      <c r="I99" s="143"/>
      <c r="J99" s="143"/>
      <c r="K99" s="143"/>
      <c r="L99" s="11"/>
      <c r="M99" s="11"/>
      <c r="N99" s="57"/>
      <c r="AT99" s="69"/>
    </row>
    <row r="100" spans="1:46" s="70" customFormat="1" x14ac:dyDescent="0.3">
      <c r="A100" s="69"/>
      <c r="B100" s="69"/>
      <c r="C100" s="69"/>
      <c r="D100" s="69"/>
      <c r="E100" s="69"/>
      <c r="F100" s="69"/>
      <c r="G100" s="69"/>
      <c r="H100" s="69"/>
      <c r="I100" s="142"/>
      <c r="J100" s="142"/>
      <c r="K100" s="142"/>
      <c r="L100" s="11"/>
      <c r="M100" s="11"/>
      <c r="N100" s="57"/>
      <c r="AT100" s="69"/>
    </row>
    <row r="101" spans="1:46" s="70" customFormat="1" x14ac:dyDescent="0.3">
      <c r="A101" s="69"/>
      <c r="B101" s="69"/>
      <c r="C101" s="69"/>
      <c r="D101" s="69"/>
      <c r="E101" s="69"/>
      <c r="F101" s="69"/>
      <c r="G101" s="69"/>
      <c r="H101" s="69"/>
      <c r="I101" s="142"/>
      <c r="J101" s="142"/>
      <c r="K101" s="142"/>
      <c r="L101" s="69"/>
      <c r="M101" s="69"/>
      <c r="N101" s="57"/>
      <c r="AT101" s="69"/>
    </row>
    <row r="102" spans="1:46" s="70" customFormat="1" x14ac:dyDescent="0.3">
      <c r="A102" s="69"/>
      <c r="B102" s="69"/>
      <c r="C102" s="69"/>
      <c r="D102" s="69"/>
      <c r="E102" s="69"/>
      <c r="F102" s="69"/>
      <c r="G102" s="69"/>
      <c r="H102" s="69"/>
      <c r="I102" s="142"/>
      <c r="J102" s="142"/>
      <c r="K102" s="142"/>
      <c r="L102" s="69"/>
      <c r="M102" s="11"/>
      <c r="N102" s="57"/>
      <c r="AT102" s="69"/>
    </row>
    <row r="103" spans="1:46" s="70" customFormat="1" x14ac:dyDescent="0.3">
      <c r="A103" s="69"/>
      <c r="B103" s="69"/>
      <c r="C103" s="69"/>
      <c r="D103" s="69"/>
      <c r="E103" s="69"/>
      <c r="F103" s="69"/>
      <c r="G103" s="69"/>
      <c r="H103" s="69"/>
      <c r="I103" s="142"/>
      <c r="J103" s="142"/>
      <c r="K103" s="142"/>
      <c r="L103" s="142"/>
      <c r="M103" s="142"/>
      <c r="N103" s="57"/>
      <c r="AT103" s="69"/>
    </row>
    <row r="104" spans="1:46" s="70" customFormat="1" x14ac:dyDescent="0.3">
      <c r="A104" s="69"/>
      <c r="B104" s="69"/>
      <c r="C104" s="69"/>
      <c r="D104" s="69"/>
      <c r="E104" s="69"/>
      <c r="F104" s="69"/>
      <c r="G104" s="69"/>
      <c r="H104" s="69"/>
      <c r="I104" s="142"/>
      <c r="J104" s="142"/>
      <c r="K104" s="142"/>
      <c r="L104" s="69"/>
      <c r="M104" s="11"/>
      <c r="N104" s="57"/>
      <c r="AT104" s="69"/>
    </row>
    <row r="105" spans="1:46" s="70" customFormat="1" x14ac:dyDescent="0.3">
      <c r="A105" s="69"/>
      <c r="B105" s="69"/>
      <c r="C105" s="69"/>
      <c r="D105" s="69"/>
      <c r="E105" s="69"/>
      <c r="F105" s="69"/>
      <c r="G105" s="69"/>
      <c r="H105" s="69"/>
      <c r="I105" s="142"/>
      <c r="J105" s="142"/>
      <c r="K105" s="142"/>
      <c r="L105" s="142"/>
      <c r="M105" s="142"/>
      <c r="N105" s="57"/>
      <c r="AT105" s="69"/>
    </row>
    <row r="106" spans="1:46" s="70" customFormat="1" x14ac:dyDescent="0.3">
      <c r="A106" s="69"/>
      <c r="B106" s="69"/>
      <c r="C106" s="69"/>
      <c r="D106" s="69"/>
      <c r="E106" s="69"/>
      <c r="F106" s="69"/>
      <c r="G106" s="69"/>
      <c r="H106" s="69"/>
      <c r="I106" s="142"/>
      <c r="J106" s="142"/>
      <c r="K106" s="142"/>
      <c r="L106" s="69"/>
      <c r="M106" s="11"/>
      <c r="N106" s="57"/>
      <c r="AT106" s="69"/>
    </row>
    <row r="107" spans="1:46" s="70" customFormat="1" x14ac:dyDescent="0.3">
      <c r="A107" s="69"/>
      <c r="B107" s="69"/>
      <c r="C107" s="69"/>
      <c r="D107" s="69"/>
      <c r="E107" s="69"/>
      <c r="F107" s="69"/>
      <c r="G107" s="69"/>
      <c r="H107" s="69"/>
      <c r="I107" s="142"/>
      <c r="J107" s="142"/>
      <c r="K107" s="142"/>
      <c r="L107" s="142"/>
      <c r="M107" s="142"/>
      <c r="N107" s="57"/>
      <c r="AT107" s="69"/>
    </row>
    <row r="108" spans="1:46" s="70" customFormat="1" x14ac:dyDescent="0.3">
      <c r="A108" s="69"/>
      <c r="B108" s="69"/>
      <c r="C108" s="69"/>
      <c r="D108" s="69"/>
      <c r="E108" s="69"/>
      <c r="F108" s="69"/>
      <c r="G108" s="69"/>
      <c r="H108" s="69"/>
      <c r="I108" s="142"/>
      <c r="J108" s="142"/>
      <c r="K108" s="142"/>
      <c r="L108" s="69"/>
      <c r="M108" s="69"/>
      <c r="N108" s="69"/>
      <c r="AT108" s="69"/>
    </row>
    <row r="109" spans="1:46" s="70" customFormat="1" x14ac:dyDescent="0.3">
      <c r="A109" s="69"/>
      <c r="B109" s="69"/>
      <c r="C109" s="69"/>
      <c r="D109" s="69"/>
      <c r="E109" s="69"/>
      <c r="F109" s="69"/>
      <c r="G109" s="69"/>
      <c r="H109" s="69"/>
      <c r="I109" s="142"/>
      <c r="J109" s="142"/>
      <c r="K109" s="142"/>
      <c r="L109" s="69"/>
      <c r="M109" s="69"/>
      <c r="N109" s="69"/>
      <c r="AT109" s="69"/>
    </row>
    <row r="110" spans="1:46" s="70" customFormat="1" x14ac:dyDescent="0.3">
      <c r="A110" s="69"/>
      <c r="B110" s="69"/>
      <c r="C110" s="69"/>
      <c r="D110" s="69"/>
      <c r="E110" s="69"/>
      <c r="F110" s="69"/>
      <c r="G110" s="69"/>
      <c r="H110" s="69"/>
      <c r="I110" s="142"/>
      <c r="J110" s="142"/>
      <c r="K110" s="142"/>
      <c r="L110" s="69"/>
      <c r="M110" s="69"/>
      <c r="N110" s="69"/>
      <c r="AT110" s="69"/>
    </row>
    <row r="111" spans="1:46" s="70" customFormat="1" x14ac:dyDescent="0.3">
      <c r="A111" s="69"/>
      <c r="B111" s="69"/>
      <c r="C111" s="69"/>
      <c r="D111" s="69"/>
      <c r="E111" s="69"/>
      <c r="F111" s="69"/>
      <c r="G111" s="69"/>
      <c r="H111" s="69"/>
      <c r="I111" s="142"/>
      <c r="J111" s="142"/>
      <c r="K111" s="142"/>
      <c r="L111" s="69"/>
      <c r="M111" s="69"/>
      <c r="N111" s="69"/>
      <c r="AT111" s="69"/>
    </row>
    <row r="112" spans="1:46" s="70" customFormat="1" x14ac:dyDescent="0.3">
      <c r="A112" s="69"/>
      <c r="B112" s="69"/>
      <c r="C112" s="69"/>
      <c r="D112" s="69"/>
      <c r="E112" s="69"/>
      <c r="F112" s="69"/>
      <c r="G112" s="69"/>
      <c r="H112" s="69"/>
      <c r="I112" s="142"/>
      <c r="J112" s="142"/>
      <c r="K112" s="142"/>
      <c r="L112" s="69"/>
      <c r="M112" s="69"/>
      <c r="N112" s="69"/>
      <c r="AT112" s="69"/>
    </row>
    <row r="113" spans="1:46" s="70" customFormat="1" x14ac:dyDescent="0.3">
      <c r="A113" s="69"/>
      <c r="B113" s="69"/>
      <c r="C113" s="69"/>
      <c r="D113" s="69"/>
      <c r="E113" s="69"/>
      <c r="F113" s="69"/>
      <c r="G113" s="69"/>
      <c r="H113" s="69"/>
      <c r="I113" s="142"/>
      <c r="J113" s="142"/>
      <c r="K113" s="142"/>
      <c r="L113" s="69"/>
      <c r="M113" s="69"/>
      <c r="N113" s="69"/>
      <c r="AT113" s="69"/>
    </row>
    <row r="114" spans="1:46" s="70" customFormat="1" x14ac:dyDescent="0.3">
      <c r="A114" s="69"/>
      <c r="B114" s="69"/>
      <c r="C114" s="69"/>
      <c r="D114" s="69"/>
      <c r="E114" s="69"/>
      <c r="F114" s="69"/>
      <c r="G114" s="69"/>
      <c r="H114" s="69"/>
      <c r="I114" s="142"/>
      <c r="J114" s="142"/>
      <c r="K114" s="142"/>
      <c r="L114" s="69"/>
      <c r="M114" s="69"/>
      <c r="N114" s="69"/>
      <c r="AT114" s="69"/>
    </row>
    <row r="115" spans="1:46" s="70" customFormat="1" x14ac:dyDescent="0.3">
      <c r="A115" s="69"/>
      <c r="B115" s="69"/>
      <c r="C115" s="69"/>
      <c r="D115" s="69"/>
      <c r="E115" s="69"/>
      <c r="F115" s="69"/>
      <c r="G115" s="69"/>
      <c r="H115" s="69"/>
      <c r="I115" s="142"/>
      <c r="J115" s="142"/>
      <c r="K115" s="142"/>
      <c r="L115" s="69"/>
      <c r="M115" s="69"/>
      <c r="N115" s="69"/>
      <c r="AT115" s="69"/>
    </row>
    <row r="116" spans="1:46" s="70" customFormat="1" x14ac:dyDescent="0.3">
      <c r="A116" s="69"/>
      <c r="B116" s="69"/>
      <c r="C116" s="69"/>
      <c r="D116" s="69"/>
      <c r="E116" s="69"/>
      <c r="F116" s="69"/>
      <c r="G116" s="69"/>
      <c r="H116" s="69"/>
      <c r="I116" s="142"/>
      <c r="J116" s="142"/>
      <c r="K116" s="142"/>
      <c r="L116" s="69"/>
      <c r="M116" s="69"/>
      <c r="N116" s="69"/>
      <c r="AT116" s="69"/>
    </row>
    <row r="117" spans="1:46" s="70" customFormat="1" x14ac:dyDescent="0.3">
      <c r="A117" s="69"/>
      <c r="B117" s="69"/>
      <c r="C117" s="69"/>
      <c r="D117" s="69"/>
      <c r="E117" s="69"/>
      <c r="F117" s="69"/>
      <c r="G117" s="69"/>
      <c r="H117" s="69"/>
      <c r="I117" s="142"/>
      <c r="J117" s="142"/>
      <c r="K117" s="142"/>
      <c r="L117" s="69"/>
      <c r="M117" s="69"/>
      <c r="N117" s="69"/>
      <c r="AT117" s="69"/>
    </row>
    <row r="118" spans="1:46" s="70" customFormat="1" x14ac:dyDescent="0.3">
      <c r="A118" s="69"/>
      <c r="B118" s="69"/>
      <c r="C118" s="69"/>
      <c r="D118" s="69"/>
      <c r="E118" s="69"/>
      <c r="F118" s="69"/>
      <c r="G118" s="69"/>
      <c r="H118" s="69"/>
      <c r="I118" s="142"/>
      <c r="J118" s="142"/>
      <c r="K118" s="142"/>
      <c r="L118" s="69"/>
      <c r="M118" s="69"/>
      <c r="N118" s="69"/>
      <c r="AT118" s="69"/>
    </row>
    <row r="119" spans="1:46" s="70" customFormat="1" x14ac:dyDescent="0.3">
      <c r="A119" s="69"/>
      <c r="B119" s="69"/>
      <c r="C119" s="69"/>
      <c r="D119" s="69"/>
      <c r="E119" s="69"/>
      <c r="F119" s="69"/>
      <c r="G119" s="69"/>
      <c r="H119" s="69"/>
      <c r="I119" s="142"/>
      <c r="J119" s="142"/>
      <c r="K119" s="142"/>
      <c r="L119" s="69"/>
      <c r="M119" s="69"/>
      <c r="N119" s="69"/>
      <c r="AT119" s="69"/>
    </row>
    <row r="120" spans="1:46" s="70" customFormat="1" x14ac:dyDescent="0.3">
      <c r="A120" s="69"/>
      <c r="B120" s="69"/>
      <c r="C120" s="69"/>
      <c r="D120" s="69"/>
      <c r="E120" s="69"/>
      <c r="F120" s="69"/>
      <c r="G120" s="69"/>
      <c r="H120" s="69"/>
      <c r="I120" s="142"/>
      <c r="J120" s="142"/>
      <c r="K120" s="142"/>
      <c r="L120" s="69"/>
      <c r="M120" s="69"/>
      <c r="N120" s="69"/>
      <c r="AT120" s="69"/>
    </row>
    <row r="121" spans="1:46" s="70" customFormat="1" x14ac:dyDescent="0.3">
      <c r="A121" s="69"/>
      <c r="B121" s="69"/>
      <c r="C121" s="69"/>
      <c r="D121" s="69"/>
      <c r="E121" s="69"/>
      <c r="F121" s="69"/>
      <c r="G121" s="69"/>
      <c r="H121" s="69"/>
      <c r="I121" s="142"/>
      <c r="J121" s="142"/>
      <c r="K121" s="142"/>
      <c r="L121" s="69"/>
      <c r="M121" s="69"/>
      <c r="N121" s="69"/>
      <c r="AT121" s="69"/>
    </row>
    <row r="122" spans="1:46" s="70" customFormat="1" x14ac:dyDescent="0.3">
      <c r="A122" s="69"/>
      <c r="B122" s="69"/>
      <c r="C122" s="69"/>
      <c r="D122" s="69"/>
      <c r="E122" s="69"/>
      <c r="F122" s="69"/>
      <c r="G122" s="69"/>
      <c r="H122" s="69"/>
      <c r="I122" s="142"/>
      <c r="J122" s="142"/>
      <c r="K122" s="142"/>
      <c r="L122" s="69"/>
      <c r="M122" s="69"/>
      <c r="N122" s="69"/>
      <c r="AT122" s="69"/>
    </row>
    <row r="123" spans="1:46" s="70" customFormat="1" x14ac:dyDescent="0.3">
      <c r="A123" s="69"/>
      <c r="B123" s="69"/>
      <c r="C123" s="69"/>
      <c r="D123" s="69"/>
      <c r="E123" s="69"/>
      <c r="F123" s="69"/>
      <c r="G123" s="69"/>
      <c r="H123" s="69"/>
      <c r="I123" s="142"/>
      <c r="J123" s="142"/>
      <c r="K123" s="142"/>
      <c r="L123" s="69"/>
      <c r="M123" s="69"/>
      <c r="N123" s="69"/>
      <c r="AT123" s="69"/>
    </row>
    <row r="124" spans="1:46" s="70" customFormat="1" x14ac:dyDescent="0.3">
      <c r="A124" s="69"/>
      <c r="B124" s="69"/>
      <c r="C124" s="69"/>
      <c r="D124" s="69"/>
      <c r="E124" s="69"/>
      <c r="F124" s="69"/>
      <c r="G124" s="69"/>
      <c r="H124" s="69"/>
      <c r="I124" s="142"/>
      <c r="J124" s="142"/>
      <c r="K124" s="142"/>
      <c r="L124" s="69"/>
      <c r="M124" s="69"/>
      <c r="N124" s="69"/>
      <c r="AT124" s="69"/>
    </row>
    <row r="125" spans="1:46" s="70" customFormat="1" x14ac:dyDescent="0.3">
      <c r="A125" s="69"/>
      <c r="B125" s="69"/>
      <c r="C125" s="69"/>
      <c r="D125" s="69"/>
      <c r="E125" s="69"/>
      <c r="F125" s="69"/>
      <c r="G125" s="69"/>
      <c r="H125" s="69"/>
      <c r="I125" s="142"/>
      <c r="J125" s="142"/>
      <c r="K125" s="142"/>
      <c r="L125" s="69"/>
      <c r="M125" s="69"/>
      <c r="N125" s="69"/>
      <c r="AT125" s="69"/>
    </row>
    <row r="126" spans="1:46" s="70" customFormat="1" x14ac:dyDescent="0.3">
      <c r="A126" s="69"/>
      <c r="B126" s="69"/>
      <c r="C126" s="69"/>
      <c r="D126" s="69"/>
      <c r="E126" s="69"/>
      <c r="F126" s="69"/>
      <c r="G126" s="69"/>
      <c r="H126" s="69"/>
      <c r="I126" s="142"/>
      <c r="J126" s="142"/>
      <c r="K126" s="142"/>
      <c r="L126" s="69"/>
      <c r="M126" s="69"/>
      <c r="N126" s="69"/>
      <c r="AT126" s="69"/>
    </row>
    <row r="127" spans="1:46" s="70" customFormat="1" x14ac:dyDescent="0.3">
      <c r="A127" s="69"/>
      <c r="B127" s="69"/>
      <c r="C127" s="69"/>
      <c r="D127" s="69"/>
      <c r="E127" s="69"/>
      <c r="F127" s="69"/>
      <c r="G127" s="69"/>
      <c r="H127" s="69"/>
      <c r="I127" s="142"/>
      <c r="J127" s="142"/>
      <c r="K127" s="142"/>
      <c r="L127" s="69"/>
      <c r="M127" s="69"/>
      <c r="N127" s="69"/>
      <c r="AT127" s="69"/>
    </row>
    <row r="128" spans="1:46" s="70" customFormat="1" x14ac:dyDescent="0.3">
      <c r="A128" s="69"/>
      <c r="B128" s="69"/>
      <c r="C128" s="69"/>
      <c r="D128" s="69"/>
      <c r="E128" s="69"/>
      <c r="F128" s="69"/>
      <c r="I128" s="142"/>
      <c r="J128" s="142"/>
      <c r="K128" s="142"/>
      <c r="L128" s="69"/>
      <c r="M128" s="69"/>
      <c r="N128" s="69"/>
      <c r="AT128" s="69"/>
    </row>
    <row r="129" spans="9:46" s="70" customFormat="1" x14ac:dyDescent="0.3">
      <c r="I129" s="142"/>
      <c r="J129" s="142"/>
      <c r="K129" s="142"/>
      <c r="L129" s="144"/>
      <c r="M129" s="69"/>
      <c r="N129" s="69"/>
      <c r="AT129" s="69"/>
    </row>
    <row r="130" spans="9:46" s="70" customFormat="1" x14ac:dyDescent="0.3">
      <c r="I130" s="142"/>
      <c r="J130" s="142"/>
      <c r="K130" s="142"/>
      <c r="L130" s="144"/>
      <c r="M130" s="69"/>
      <c r="N130" s="69"/>
      <c r="AT130" s="69"/>
    </row>
    <row r="131" spans="9:46" s="70" customFormat="1" x14ac:dyDescent="0.3">
      <c r="I131" s="142"/>
      <c r="J131" s="142"/>
      <c r="K131" s="142"/>
      <c r="L131" s="144"/>
      <c r="M131" s="69"/>
      <c r="AT131" s="69"/>
    </row>
    <row r="132" spans="9:46" s="70" customFormat="1" x14ac:dyDescent="0.3">
      <c r="I132" s="142"/>
      <c r="J132" s="142"/>
      <c r="K132" s="142"/>
      <c r="L132" s="144"/>
      <c r="M132" s="69"/>
      <c r="AT132" s="69"/>
    </row>
    <row r="133" spans="9:46" s="70" customFormat="1" x14ac:dyDescent="0.3">
      <c r="I133" s="142"/>
      <c r="J133" s="142"/>
      <c r="K133" s="142"/>
      <c r="L133" s="144"/>
      <c r="M133" s="69"/>
      <c r="AT133" s="69"/>
    </row>
    <row r="134" spans="9:46" s="70" customFormat="1" x14ac:dyDescent="0.3">
      <c r="I134" s="142"/>
      <c r="J134" s="142"/>
      <c r="K134" s="142"/>
      <c r="L134" s="144"/>
      <c r="M134" s="144"/>
      <c r="AT134" s="69"/>
    </row>
    <row r="135" spans="9:46" s="70" customFormat="1" x14ac:dyDescent="0.3">
      <c r="I135" s="142"/>
      <c r="J135" s="142"/>
      <c r="K135" s="142"/>
      <c r="L135" s="144"/>
      <c r="M135" s="144"/>
      <c r="AT135" s="69"/>
    </row>
    <row r="136" spans="9:46" s="70" customFormat="1" x14ac:dyDescent="0.3">
      <c r="I136" s="142"/>
      <c r="J136" s="142"/>
      <c r="K136" s="142"/>
      <c r="L136" s="144"/>
      <c r="M136" s="144"/>
      <c r="AT136" s="69"/>
    </row>
    <row r="137" spans="9:46" s="70" customFormat="1" x14ac:dyDescent="0.3">
      <c r="I137" s="142"/>
      <c r="J137" s="142"/>
      <c r="K137" s="142"/>
      <c r="L137" s="144"/>
      <c r="M137" s="144"/>
      <c r="AT137" s="69"/>
    </row>
    <row r="138" spans="9:46" s="70" customFormat="1" x14ac:dyDescent="0.3">
      <c r="I138" s="142"/>
      <c r="J138" s="142"/>
      <c r="K138" s="142"/>
      <c r="L138" s="144"/>
      <c r="M138" s="144"/>
      <c r="AT138" s="69"/>
    </row>
    <row r="139" spans="9:46" s="70" customFormat="1" x14ac:dyDescent="0.3">
      <c r="I139" s="142"/>
      <c r="J139" s="142"/>
      <c r="K139" s="142"/>
      <c r="L139" s="144"/>
      <c r="M139" s="144"/>
      <c r="AT139" s="69"/>
    </row>
    <row r="140" spans="9:46" s="70" customFormat="1" x14ac:dyDescent="0.3">
      <c r="I140" s="142"/>
      <c r="J140" s="142"/>
      <c r="K140" s="142"/>
      <c r="L140" s="144"/>
      <c r="M140" s="144"/>
      <c r="AT140" s="69"/>
    </row>
    <row r="141" spans="9:46" s="70" customFormat="1" x14ac:dyDescent="0.3">
      <c r="I141" s="142"/>
      <c r="J141" s="142"/>
      <c r="K141" s="142"/>
      <c r="L141" s="144"/>
      <c r="M141" s="144"/>
      <c r="AT141" s="69"/>
    </row>
    <row r="142" spans="9:46" s="70" customFormat="1" x14ac:dyDescent="0.3">
      <c r="I142" s="142"/>
      <c r="J142" s="142"/>
      <c r="K142" s="142"/>
      <c r="L142" s="144"/>
      <c r="M142" s="144"/>
      <c r="AT142" s="69"/>
    </row>
    <row r="143" spans="9:46" s="70" customFormat="1" x14ac:dyDescent="0.3">
      <c r="I143" s="142"/>
      <c r="J143" s="142"/>
      <c r="K143" s="142"/>
      <c r="L143" s="144"/>
      <c r="M143" s="144"/>
      <c r="AT143" s="69"/>
    </row>
    <row r="144" spans="9:46" s="70" customFormat="1" x14ac:dyDescent="0.3">
      <c r="I144" s="142"/>
      <c r="J144" s="142"/>
      <c r="K144" s="142"/>
      <c r="L144" s="144"/>
      <c r="M144" s="144"/>
      <c r="AT144" s="69"/>
    </row>
    <row r="145" spans="9:46" s="70" customFormat="1" x14ac:dyDescent="0.3">
      <c r="I145" s="142"/>
      <c r="J145" s="142"/>
      <c r="K145" s="142"/>
      <c r="L145" s="144"/>
      <c r="M145" s="144"/>
      <c r="AT145" s="69"/>
    </row>
    <row r="146" spans="9:46" s="70" customFormat="1" x14ac:dyDescent="0.3">
      <c r="I146" s="142"/>
      <c r="J146" s="142"/>
      <c r="K146" s="142"/>
      <c r="L146" s="144"/>
      <c r="M146" s="144"/>
      <c r="AT146" s="69"/>
    </row>
    <row r="147" spans="9:46" s="70" customFormat="1" x14ac:dyDescent="0.3">
      <c r="I147" s="142"/>
      <c r="J147" s="142"/>
      <c r="K147" s="142"/>
      <c r="L147" s="144"/>
      <c r="M147" s="144"/>
      <c r="AT147" s="69"/>
    </row>
    <row r="148" spans="9:46" s="70" customFormat="1" x14ac:dyDescent="0.3">
      <c r="I148" s="142"/>
      <c r="J148" s="142"/>
      <c r="K148" s="142"/>
      <c r="L148" s="144"/>
      <c r="M148" s="144"/>
      <c r="AT148" s="69"/>
    </row>
    <row r="149" spans="9:46" s="70" customFormat="1" x14ac:dyDescent="0.3">
      <c r="I149" s="142"/>
      <c r="J149" s="142"/>
      <c r="K149" s="142"/>
      <c r="L149" s="144"/>
      <c r="M149" s="144"/>
      <c r="AT149" s="69"/>
    </row>
    <row r="150" spans="9:46" s="70" customFormat="1" x14ac:dyDescent="0.3">
      <c r="I150" s="142"/>
      <c r="J150" s="142"/>
      <c r="K150" s="142"/>
      <c r="L150" s="144"/>
      <c r="M150" s="144"/>
      <c r="AT150" s="69"/>
    </row>
    <row r="151" spans="9:46" s="70" customFormat="1" x14ac:dyDescent="0.3">
      <c r="I151" s="142"/>
      <c r="J151" s="142"/>
      <c r="K151" s="142"/>
      <c r="L151" s="144"/>
      <c r="M151" s="144"/>
      <c r="AT151" s="69"/>
    </row>
    <row r="152" spans="9:46" s="70" customFormat="1" x14ac:dyDescent="0.3">
      <c r="I152" s="142"/>
      <c r="J152" s="142"/>
      <c r="K152" s="142"/>
      <c r="L152" s="144"/>
      <c r="M152" s="144"/>
      <c r="AT152" s="69"/>
    </row>
    <row r="153" spans="9:46" s="70" customFormat="1" x14ac:dyDescent="0.3">
      <c r="I153" s="142"/>
      <c r="J153" s="142"/>
      <c r="K153" s="142"/>
      <c r="L153" s="144"/>
      <c r="M153" s="144"/>
      <c r="AT153" s="69"/>
    </row>
    <row r="154" spans="9:46" s="70" customFormat="1" x14ac:dyDescent="0.3">
      <c r="I154" s="142"/>
      <c r="J154" s="142"/>
      <c r="K154" s="142"/>
      <c r="L154" s="144"/>
      <c r="M154" s="144"/>
      <c r="AT154" s="69"/>
    </row>
    <row r="155" spans="9:46" s="70" customFormat="1" x14ac:dyDescent="0.3">
      <c r="I155" s="142"/>
      <c r="J155" s="142"/>
      <c r="K155" s="142"/>
      <c r="L155" s="144"/>
      <c r="M155" s="144"/>
      <c r="AT155" s="69"/>
    </row>
    <row r="156" spans="9:46" s="70" customFormat="1" x14ac:dyDescent="0.3">
      <c r="I156" s="142"/>
      <c r="J156" s="142"/>
      <c r="K156" s="142"/>
      <c r="L156" s="144"/>
      <c r="M156" s="144"/>
      <c r="AT156" s="69"/>
    </row>
    <row r="157" spans="9:46" s="70" customFormat="1" x14ac:dyDescent="0.3">
      <c r="I157" s="142"/>
      <c r="J157" s="142"/>
      <c r="K157" s="142"/>
      <c r="L157" s="144"/>
      <c r="M157" s="144"/>
      <c r="AT157" s="69"/>
    </row>
    <row r="158" spans="9:46" s="70" customFormat="1" x14ac:dyDescent="0.3">
      <c r="I158" s="142"/>
      <c r="J158" s="142"/>
      <c r="K158" s="142"/>
      <c r="L158" s="144"/>
      <c r="M158" s="144"/>
      <c r="AT158" s="69"/>
    </row>
    <row r="159" spans="9:46" s="70" customFormat="1" x14ac:dyDescent="0.3">
      <c r="I159" s="142"/>
      <c r="J159" s="142"/>
      <c r="K159" s="142"/>
      <c r="L159" s="144"/>
      <c r="M159" s="144"/>
      <c r="AT159" s="69"/>
    </row>
    <row r="160" spans="9:46" s="70" customFormat="1" x14ac:dyDescent="0.3">
      <c r="I160" s="142"/>
      <c r="J160" s="142"/>
      <c r="K160" s="142"/>
      <c r="L160" s="144"/>
      <c r="M160" s="144"/>
      <c r="AT160" s="69"/>
    </row>
    <row r="161" spans="9:46" s="70" customFormat="1" x14ac:dyDescent="0.3">
      <c r="I161" s="142"/>
      <c r="J161" s="142"/>
      <c r="K161" s="142"/>
      <c r="L161" s="144"/>
      <c r="M161" s="144"/>
      <c r="AT161" s="69"/>
    </row>
    <row r="162" spans="9:46" s="70" customFormat="1" x14ac:dyDescent="0.3">
      <c r="I162" s="142"/>
      <c r="J162" s="142"/>
      <c r="K162" s="142"/>
      <c r="L162" s="144"/>
      <c r="M162" s="144"/>
      <c r="AT162" s="69"/>
    </row>
    <row r="163" spans="9:46" s="70" customFormat="1" x14ac:dyDescent="0.3">
      <c r="I163" s="142"/>
      <c r="J163" s="142"/>
      <c r="K163" s="142"/>
      <c r="L163" s="144"/>
      <c r="M163" s="144"/>
      <c r="AT163" s="69"/>
    </row>
    <row r="164" spans="9:46" s="70" customFormat="1" x14ac:dyDescent="0.3">
      <c r="I164" s="142"/>
      <c r="J164" s="142"/>
      <c r="K164" s="142"/>
      <c r="L164" s="144"/>
      <c r="M164" s="144"/>
      <c r="AT164" s="69"/>
    </row>
    <row r="165" spans="9:46" s="70" customFormat="1" x14ac:dyDescent="0.3">
      <c r="I165" s="142"/>
      <c r="J165" s="142"/>
      <c r="K165" s="142"/>
      <c r="L165" s="144"/>
      <c r="M165" s="144"/>
      <c r="AT165" s="69"/>
    </row>
    <row r="166" spans="9:46" s="70" customFormat="1" x14ac:dyDescent="0.3">
      <c r="I166" s="142"/>
      <c r="J166" s="142"/>
      <c r="K166" s="142"/>
      <c r="L166" s="144"/>
      <c r="M166" s="144"/>
      <c r="AT166" s="69"/>
    </row>
    <row r="167" spans="9:46" s="70" customFormat="1" x14ac:dyDescent="0.3">
      <c r="I167" s="142"/>
      <c r="J167" s="142"/>
      <c r="K167" s="142"/>
      <c r="L167" s="144"/>
      <c r="M167" s="144"/>
      <c r="AT167" s="69"/>
    </row>
    <row r="168" spans="9:46" s="70" customFormat="1" x14ac:dyDescent="0.3">
      <c r="I168" s="142"/>
      <c r="J168" s="142"/>
      <c r="K168" s="142"/>
      <c r="L168" s="144"/>
      <c r="M168" s="144"/>
      <c r="AT168" s="69"/>
    </row>
    <row r="169" spans="9:46" s="70" customFormat="1" x14ac:dyDescent="0.3">
      <c r="I169" s="142"/>
      <c r="J169" s="142"/>
      <c r="K169" s="142"/>
      <c r="L169" s="144"/>
      <c r="M169" s="144"/>
      <c r="AT169" s="69"/>
    </row>
    <row r="170" spans="9:46" s="70" customFormat="1" x14ac:dyDescent="0.3">
      <c r="I170" s="142"/>
      <c r="J170" s="142"/>
      <c r="K170" s="142"/>
      <c r="L170" s="144"/>
      <c r="M170" s="144"/>
      <c r="AT170" s="69"/>
    </row>
    <row r="171" spans="9:46" s="70" customFormat="1" x14ac:dyDescent="0.3">
      <c r="I171" s="142"/>
      <c r="J171" s="142"/>
      <c r="K171" s="142"/>
      <c r="L171" s="144"/>
      <c r="M171" s="144"/>
      <c r="AT171" s="69"/>
    </row>
    <row r="172" spans="9:46" s="70" customFormat="1" x14ac:dyDescent="0.3">
      <c r="I172" s="142"/>
      <c r="J172" s="142"/>
      <c r="K172" s="142"/>
      <c r="L172" s="144"/>
      <c r="M172" s="144"/>
      <c r="AT172" s="69"/>
    </row>
    <row r="173" spans="9:46" s="70" customFormat="1" x14ac:dyDescent="0.3">
      <c r="I173" s="142"/>
      <c r="J173" s="142"/>
      <c r="K173" s="142"/>
      <c r="L173" s="144"/>
      <c r="M173" s="144"/>
      <c r="AT173" s="69"/>
    </row>
    <row r="174" spans="9:46" s="70" customFormat="1" x14ac:dyDescent="0.3">
      <c r="I174" s="142"/>
      <c r="J174" s="142"/>
      <c r="K174" s="142"/>
      <c r="L174" s="144"/>
      <c r="M174" s="144"/>
      <c r="AT174" s="69"/>
    </row>
    <row r="175" spans="9:46" s="70" customFormat="1" x14ac:dyDescent="0.3">
      <c r="I175" s="142"/>
      <c r="J175" s="142"/>
      <c r="K175" s="142"/>
      <c r="L175" s="144"/>
      <c r="M175" s="144"/>
      <c r="AT175" s="69"/>
    </row>
    <row r="176" spans="9:46" s="70" customFormat="1" x14ac:dyDescent="0.3">
      <c r="I176" s="142"/>
      <c r="J176" s="142"/>
      <c r="K176" s="142"/>
      <c r="L176" s="144"/>
      <c r="M176" s="144"/>
      <c r="AT176" s="69"/>
    </row>
    <row r="177" spans="1:47" s="70" customFormat="1" x14ac:dyDescent="0.3">
      <c r="I177" s="142"/>
      <c r="J177" s="142"/>
      <c r="K177" s="142"/>
      <c r="L177" s="144"/>
      <c r="M177" s="144"/>
      <c r="AT177" s="69"/>
    </row>
    <row r="178" spans="1:47" s="70" customFormat="1" x14ac:dyDescent="0.3">
      <c r="I178" s="142"/>
      <c r="J178" s="142"/>
      <c r="K178" s="142"/>
      <c r="L178" s="144"/>
      <c r="M178" s="144"/>
      <c r="AT178" s="69"/>
    </row>
    <row r="179" spans="1:47" s="70" customFormat="1" x14ac:dyDescent="0.3">
      <c r="I179" s="142"/>
      <c r="J179" s="142"/>
      <c r="K179" s="142"/>
      <c r="L179" s="144"/>
      <c r="M179" s="144"/>
      <c r="AT179" s="69"/>
    </row>
    <row r="180" spans="1:47" s="70" customFormat="1" x14ac:dyDescent="0.3">
      <c r="I180" s="142"/>
      <c r="J180" s="142"/>
      <c r="K180" s="142"/>
      <c r="L180" s="144"/>
      <c r="M180" s="144"/>
      <c r="AT180" s="69"/>
    </row>
    <row r="181" spans="1:47" s="70" customFormat="1" x14ac:dyDescent="0.3">
      <c r="I181" s="142"/>
      <c r="J181" s="142"/>
      <c r="K181" s="142"/>
      <c r="L181" s="144"/>
      <c r="M181" s="144"/>
      <c r="AT181" s="69"/>
    </row>
    <row r="182" spans="1:47" s="70" customFormat="1" x14ac:dyDescent="0.3">
      <c r="I182" s="142"/>
      <c r="J182" s="142"/>
      <c r="K182" s="142"/>
      <c r="L182" s="144"/>
      <c r="M182" s="144"/>
      <c r="AT182" s="69"/>
    </row>
    <row r="183" spans="1:47" s="145" customFormat="1" x14ac:dyDescent="0.3">
      <c r="A183" s="70"/>
      <c r="B183" s="70"/>
      <c r="C183" s="70"/>
      <c r="D183" s="70"/>
      <c r="E183" s="70"/>
      <c r="F183" s="70"/>
      <c r="G183" s="70"/>
      <c r="H183" s="70"/>
      <c r="I183" s="142"/>
      <c r="J183" s="142"/>
      <c r="K183" s="142"/>
      <c r="L183" s="144"/>
      <c r="M183" s="144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69"/>
      <c r="AU183" s="70"/>
    </row>
    <row r="184" spans="1:47" s="145" customFormat="1" x14ac:dyDescent="0.3">
      <c r="A184" s="70"/>
      <c r="B184" s="70"/>
      <c r="C184" s="70"/>
      <c r="D184" s="70"/>
      <c r="E184" s="70"/>
      <c r="F184" s="70"/>
      <c r="G184" s="70"/>
      <c r="H184" s="70"/>
      <c r="I184" s="142"/>
      <c r="J184" s="142"/>
      <c r="K184" s="142"/>
      <c r="L184" s="144"/>
      <c r="M184" s="144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69"/>
      <c r="AU184" s="70"/>
    </row>
    <row r="185" spans="1:47" s="145" customFormat="1" x14ac:dyDescent="0.3">
      <c r="A185" s="70"/>
      <c r="B185" s="70"/>
      <c r="C185" s="70"/>
      <c r="D185" s="70"/>
      <c r="E185" s="70"/>
      <c r="F185" s="70"/>
      <c r="G185" s="70"/>
      <c r="H185" s="70"/>
      <c r="I185" s="142"/>
      <c r="J185" s="142"/>
      <c r="K185" s="142"/>
      <c r="L185" s="144"/>
      <c r="M185" s="144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69"/>
      <c r="AU185" s="70"/>
    </row>
    <row r="186" spans="1:47" s="145" customFormat="1" x14ac:dyDescent="0.3">
      <c r="A186" s="70"/>
      <c r="B186" s="70"/>
      <c r="C186" s="70"/>
      <c r="D186" s="70"/>
      <c r="E186" s="70"/>
      <c r="F186" s="70"/>
      <c r="G186" s="70"/>
      <c r="H186" s="70"/>
      <c r="I186" s="142"/>
      <c r="J186" s="142"/>
      <c r="K186" s="142"/>
      <c r="L186" s="144"/>
      <c r="M186" s="144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69"/>
      <c r="AU186" s="70"/>
    </row>
    <row r="187" spans="1:47" s="145" customFormat="1" x14ac:dyDescent="0.3">
      <c r="A187" s="70"/>
      <c r="B187" s="70"/>
      <c r="C187" s="70"/>
      <c r="D187" s="70"/>
      <c r="E187" s="70"/>
      <c r="F187" s="70"/>
      <c r="G187" s="70"/>
      <c r="H187" s="70"/>
      <c r="I187" s="142"/>
      <c r="J187" s="142"/>
      <c r="K187" s="142"/>
      <c r="L187" s="144"/>
      <c r="M187" s="144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69"/>
      <c r="AU187" s="70"/>
    </row>
    <row r="188" spans="1:47" s="145" customFormat="1" x14ac:dyDescent="0.3">
      <c r="A188" s="70"/>
      <c r="B188" s="70"/>
      <c r="C188" s="70"/>
      <c r="D188" s="70"/>
      <c r="E188" s="70"/>
      <c r="F188" s="70"/>
      <c r="G188" s="70"/>
      <c r="H188" s="70"/>
      <c r="I188" s="142"/>
      <c r="J188" s="142"/>
      <c r="K188" s="142"/>
      <c r="L188" s="144"/>
      <c r="M188" s="144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69"/>
      <c r="AU188" s="70"/>
    </row>
    <row r="189" spans="1:47" s="145" customFormat="1" x14ac:dyDescent="0.3">
      <c r="A189" s="70"/>
      <c r="B189" s="70"/>
      <c r="C189" s="70"/>
      <c r="D189" s="70"/>
      <c r="E189" s="70"/>
      <c r="F189" s="70"/>
      <c r="G189" s="70"/>
      <c r="H189" s="70"/>
      <c r="I189" s="142"/>
      <c r="J189" s="142"/>
      <c r="K189" s="142"/>
      <c r="L189" s="144"/>
      <c r="M189" s="144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69"/>
      <c r="AU189" s="70"/>
    </row>
    <row r="190" spans="1:47" s="145" customFormat="1" x14ac:dyDescent="0.3">
      <c r="A190" s="70"/>
      <c r="B190" s="70"/>
      <c r="C190" s="70"/>
      <c r="D190" s="70"/>
      <c r="E190" s="70"/>
      <c r="F190" s="70"/>
      <c r="G190" s="70"/>
      <c r="H190" s="70"/>
      <c r="I190" s="142"/>
      <c r="J190" s="142"/>
      <c r="K190" s="142"/>
      <c r="L190" s="144"/>
      <c r="M190" s="144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69"/>
      <c r="AU190" s="70"/>
    </row>
    <row r="191" spans="1:47" s="145" customFormat="1" x14ac:dyDescent="0.3">
      <c r="A191" s="70"/>
      <c r="B191" s="70"/>
      <c r="C191" s="70"/>
      <c r="D191" s="70"/>
      <c r="E191" s="70"/>
      <c r="F191" s="70"/>
      <c r="G191" s="70"/>
      <c r="H191" s="70"/>
      <c r="I191" s="142"/>
      <c r="J191" s="142"/>
      <c r="K191" s="142"/>
      <c r="L191" s="144"/>
      <c r="M191" s="144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69"/>
      <c r="AU191" s="70"/>
    </row>
    <row r="192" spans="1:47" s="145" customFormat="1" x14ac:dyDescent="0.3">
      <c r="A192" s="70"/>
      <c r="B192" s="70"/>
      <c r="C192" s="70"/>
      <c r="D192" s="70"/>
      <c r="E192" s="70"/>
      <c r="F192" s="70"/>
      <c r="G192" s="70"/>
      <c r="H192" s="70"/>
      <c r="I192" s="142"/>
      <c r="J192" s="142"/>
      <c r="K192" s="142"/>
      <c r="L192" s="144"/>
      <c r="M192" s="144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69"/>
      <c r="AU192" s="70"/>
    </row>
    <row r="193" spans="1:47" s="145" customFormat="1" x14ac:dyDescent="0.3">
      <c r="A193" s="70"/>
      <c r="B193" s="70"/>
      <c r="C193" s="70"/>
      <c r="D193" s="70"/>
      <c r="E193" s="70"/>
      <c r="F193" s="70"/>
      <c r="G193" s="70"/>
      <c r="H193" s="70"/>
      <c r="I193" s="142"/>
      <c r="J193" s="142"/>
      <c r="K193" s="142"/>
      <c r="L193" s="144"/>
      <c r="M193" s="144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69"/>
      <c r="AU193" s="70"/>
    </row>
    <row r="194" spans="1:47" s="145" customFormat="1" x14ac:dyDescent="0.3">
      <c r="A194" s="70"/>
      <c r="B194" s="70"/>
      <c r="C194" s="70"/>
      <c r="D194" s="70"/>
      <c r="E194" s="70"/>
      <c r="F194" s="70"/>
      <c r="G194" s="70"/>
      <c r="H194" s="70"/>
      <c r="I194" s="142"/>
      <c r="J194" s="142"/>
      <c r="K194" s="142"/>
      <c r="L194" s="144"/>
      <c r="M194" s="144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69"/>
      <c r="AU194" s="70"/>
    </row>
    <row r="195" spans="1:47" s="145" customFormat="1" x14ac:dyDescent="0.3">
      <c r="A195" s="70"/>
      <c r="B195" s="70"/>
      <c r="C195" s="70"/>
      <c r="D195" s="70"/>
      <c r="E195" s="70"/>
      <c r="F195" s="70"/>
      <c r="G195" s="70"/>
      <c r="H195" s="70"/>
      <c r="I195" s="146"/>
      <c r="J195" s="146"/>
      <c r="K195" s="146"/>
      <c r="L195" s="144"/>
      <c r="M195" s="144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69"/>
      <c r="AU195" s="70"/>
    </row>
    <row r="196" spans="1:47" s="145" customFormat="1" x14ac:dyDescent="0.3">
      <c r="A196" s="70"/>
      <c r="B196" s="70"/>
      <c r="C196" s="70"/>
      <c r="D196" s="70"/>
      <c r="E196" s="70"/>
      <c r="F196" s="70"/>
      <c r="G196" s="70"/>
      <c r="H196" s="70"/>
      <c r="I196" s="146"/>
      <c r="J196" s="146"/>
      <c r="K196" s="146"/>
      <c r="L196" s="144"/>
      <c r="M196" s="144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69"/>
      <c r="AU196" s="70"/>
    </row>
    <row r="197" spans="1:47" s="145" customFormat="1" x14ac:dyDescent="0.3">
      <c r="A197" s="70"/>
      <c r="B197" s="70"/>
      <c r="C197" s="70"/>
      <c r="D197" s="70"/>
      <c r="E197" s="70"/>
      <c r="F197" s="70"/>
      <c r="G197" s="70"/>
      <c r="H197" s="70"/>
      <c r="I197" s="146"/>
      <c r="J197" s="146"/>
      <c r="K197" s="146"/>
      <c r="L197" s="144"/>
      <c r="M197" s="144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69"/>
      <c r="AU197" s="70"/>
    </row>
    <row r="198" spans="1:47" s="145" customFormat="1" x14ac:dyDescent="0.3">
      <c r="A198" s="70"/>
      <c r="B198" s="70"/>
      <c r="C198" s="70"/>
      <c r="D198" s="70"/>
      <c r="E198" s="70"/>
      <c r="F198" s="70"/>
      <c r="G198" s="70"/>
      <c r="H198" s="70"/>
      <c r="I198" s="146"/>
      <c r="J198" s="146"/>
      <c r="K198" s="146"/>
      <c r="L198" s="144"/>
      <c r="M198" s="144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69"/>
      <c r="AU198" s="70"/>
    </row>
    <row r="199" spans="1:47" s="145" customFormat="1" x14ac:dyDescent="0.3">
      <c r="A199" s="70"/>
      <c r="B199" s="70"/>
      <c r="C199" s="70"/>
      <c r="D199" s="70"/>
      <c r="E199" s="70"/>
      <c r="F199" s="70"/>
      <c r="G199" s="70"/>
      <c r="H199" s="70"/>
      <c r="I199" s="146"/>
      <c r="J199" s="146"/>
      <c r="K199" s="146"/>
      <c r="L199" s="144"/>
      <c r="M199" s="144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69"/>
      <c r="AU199" s="70"/>
    </row>
    <row r="200" spans="1:47" x14ac:dyDescent="0.3">
      <c r="A200" s="70"/>
      <c r="B200" s="70"/>
      <c r="C200" s="70"/>
      <c r="D200" s="70"/>
      <c r="E200" s="70"/>
      <c r="F200" s="70"/>
      <c r="G200" s="70"/>
      <c r="H200" s="70"/>
      <c r="I200" s="146"/>
      <c r="J200" s="146"/>
      <c r="K200" s="146"/>
      <c r="L200" s="144"/>
      <c r="M200" s="144"/>
      <c r="N200" s="70"/>
      <c r="AT200" s="148"/>
      <c r="AU200" s="148"/>
    </row>
    <row r="201" spans="1:47" x14ac:dyDescent="0.3">
      <c r="A201" s="70"/>
      <c r="B201" s="70"/>
      <c r="C201" s="70"/>
      <c r="D201" s="70"/>
      <c r="E201" s="70"/>
      <c r="F201" s="70"/>
      <c r="G201" s="70"/>
      <c r="H201" s="70"/>
      <c r="I201" s="146"/>
      <c r="J201" s="146"/>
      <c r="K201" s="146"/>
      <c r="L201" s="144"/>
      <c r="M201" s="144"/>
      <c r="N201" s="70"/>
      <c r="AT201" s="148"/>
      <c r="AU201" s="148"/>
    </row>
    <row r="202" spans="1:47" x14ac:dyDescent="0.3">
      <c r="A202" s="70"/>
      <c r="B202" s="70"/>
      <c r="C202" s="70"/>
      <c r="D202" s="70"/>
      <c r="E202" s="70"/>
      <c r="F202" s="70"/>
      <c r="G202" s="70"/>
      <c r="H202" s="70"/>
      <c r="I202" s="146"/>
      <c r="J202" s="146"/>
      <c r="K202" s="146"/>
      <c r="L202" s="144"/>
      <c r="M202" s="144"/>
      <c r="N202" s="70"/>
      <c r="AT202" s="148"/>
      <c r="AU202" s="148"/>
    </row>
    <row r="203" spans="1:47" x14ac:dyDescent="0.3">
      <c r="A203" s="70"/>
      <c r="B203" s="70"/>
      <c r="C203" s="70"/>
      <c r="D203" s="70"/>
      <c r="E203" s="70"/>
      <c r="F203" s="70"/>
      <c r="G203" s="70"/>
      <c r="H203" s="70"/>
      <c r="I203" s="146"/>
      <c r="J203" s="146"/>
      <c r="K203" s="146"/>
      <c r="L203" s="144"/>
      <c r="M203" s="144"/>
      <c r="N203" s="70"/>
      <c r="AT203" s="148"/>
      <c r="AU203" s="148"/>
    </row>
    <row r="204" spans="1:47" x14ac:dyDescent="0.3">
      <c r="A204" s="70"/>
      <c r="B204" s="70"/>
      <c r="C204" s="70"/>
      <c r="D204" s="70"/>
      <c r="E204" s="70"/>
      <c r="F204" s="70"/>
      <c r="G204" s="70"/>
      <c r="H204" s="70"/>
      <c r="I204" s="146"/>
      <c r="J204" s="146"/>
      <c r="K204" s="146"/>
      <c r="L204" s="144"/>
      <c r="M204" s="144"/>
      <c r="N204" s="70"/>
      <c r="AT204" s="148"/>
      <c r="AU204" s="148"/>
    </row>
    <row r="205" spans="1:47" x14ac:dyDescent="0.3">
      <c r="A205" s="70"/>
      <c r="B205" s="70"/>
      <c r="C205" s="70"/>
      <c r="D205" s="70"/>
      <c r="E205" s="70"/>
      <c r="F205" s="70"/>
      <c r="G205" s="149"/>
      <c r="H205" s="149"/>
      <c r="I205" s="146"/>
      <c r="J205" s="146"/>
      <c r="K205" s="146"/>
      <c r="L205" s="144"/>
      <c r="M205" s="144"/>
      <c r="N205" s="70"/>
      <c r="AT205" s="148"/>
      <c r="AU205" s="148"/>
    </row>
    <row r="206" spans="1:47" x14ac:dyDescent="0.3">
      <c r="A206" s="149"/>
      <c r="B206" s="149"/>
      <c r="C206" s="149"/>
      <c r="D206" s="149"/>
      <c r="E206" s="149"/>
      <c r="F206" s="149"/>
      <c r="G206" s="149"/>
      <c r="H206" s="149"/>
      <c r="I206" s="146"/>
      <c r="J206" s="146"/>
      <c r="K206" s="146"/>
      <c r="L206" s="147"/>
      <c r="M206" s="144"/>
      <c r="N206" s="70"/>
      <c r="AT206" s="148"/>
      <c r="AU206" s="148"/>
    </row>
    <row r="207" spans="1:47" x14ac:dyDescent="0.3">
      <c r="A207" s="149"/>
      <c r="B207" s="149"/>
      <c r="C207" s="149"/>
      <c r="D207" s="149"/>
      <c r="E207" s="149"/>
      <c r="F207" s="149"/>
      <c r="G207" s="149"/>
      <c r="H207" s="149"/>
      <c r="I207" s="146"/>
      <c r="J207" s="146"/>
      <c r="K207" s="146"/>
      <c r="L207" s="147"/>
      <c r="M207" s="144"/>
      <c r="N207" s="70"/>
      <c r="AT207" s="148"/>
      <c r="AU207" s="148"/>
    </row>
    <row r="208" spans="1:47" x14ac:dyDescent="0.3">
      <c r="A208" s="149"/>
      <c r="B208" s="149"/>
      <c r="C208" s="149"/>
      <c r="D208" s="149"/>
      <c r="E208" s="149"/>
      <c r="F208" s="149"/>
      <c r="G208" s="149"/>
      <c r="H208" s="149"/>
      <c r="I208" s="146"/>
      <c r="J208" s="146"/>
      <c r="K208" s="146"/>
      <c r="L208" s="147"/>
      <c r="M208" s="144"/>
      <c r="N208" s="70"/>
      <c r="AT208" s="148"/>
      <c r="AU208" s="148"/>
    </row>
    <row r="209" spans="1:47" x14ac:dyDescent="0.3">
      <c r="A209" s="149"/>
      <c r="B209" s="149"/>
      <c r="C209" s="149"/>
      <c r="D209" s="149"/>
      <c r="E209" s="149"/>
      <c r="F209" s="149"/>
      <c r="G209" s="149"/>
      <c r="H209" s="149"/>
      <c r="I209" s="146"/>
      <c r="J209" s="146"/>
      <c r="K209" s="146"/>
      <c r="L209" s="147"/>
      <c r="M209" s="144"/>
      <c r="N209" s="149"/>
      <c r="AT209" s="148"/>
      <c r="AU209" s="148"/>
    </row>
    <row r="210" spans="1:47" x14ac:dyDescent="0.3">
      <c r="A210" s="149"/>
      <c r="B210" s="149"/>
      <c r="C210" s="149"/>
      <c r="D210" s="149"/>
      <c r="E210" s="149"/>
      <c r="F210" s="149"/>
      <c r="G210" s="149"/>
      <c r="H210" s="149"/>
      <c r="I210" s="146"/>
      <c r="J210" s="146"/>
      <c r="K210" s="146"/>
      <c r="L210" s="147"/>
      <c r="M210" s="144"/>
      <c r="N210" s="149"/>
      <c r="AT210" s="148"/>
      <c r="AU210" s="148"/>
    </row>
    <row r="211" spans="1:47" x14ac:dyDescent="0.3">
      <c r="A211" s="149"/>
      <c r="B211" s="149"/>
      <c r="C211" s="149"/>
      <c r="D211" s="149"/>
      <c r="E211" s="149"/>
      <c r="F211" s="149"/>
      <c r="G211" s="149"/>
      <c r="H211" s="149"/>
      <c r="I211" s="146"/>
      <c r="J211" s="146"/>
      <c r="K211" s="146"/>
      <c r="L211" s="147"/>
      <c r="M211" s="147"/>
      <c r="N211" s="149"/>
      <c r="AT211" s="148"/>
      <c r="AU211" s="148"/>
    </row>
    <row r="212" spans="1:47" x14ac:dyDescent="0.3">
      <c r="A212" s="149"/>
      <c r="B212" s="149"/>
      <c r="C212" s="149"/>
      <c r="D212" s="149"/>
      <c r="E212" s="149"/>
      <c r="F212" s="149"/>
      <c r="G212" s="149"/>
      <c r="H212" s="149"/>
      <c r="L212" s="147"/>
      <c r="M212" s="147"/>
      <c r="N212" s="149"/>
    </row>
    <row r="213" spans="1:47" x14ac:dyDescent="0.3">
      <c r="A213" s="149"/>
      <c r="B213" s="149"/>
      <c r="C213" s="149"/>
      <c r="D213" s="149"/>
      <c r="E213" s="149"/>
      <c r="F213" s="149"/>
      <c r="G213" s="149"/>
      <c r="H213" s="149"/>
      <c r="L213" s="147"/>
      <c r="M213" s="147"/>
      <c r="N213" s="14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69"/>
      <c r="AJ213" s="69"/>
      <c r="AK213" s="69"/>
      <c r="AL213" s="69"/>
      <c r="AM213" s="69"/>
      <c r="AN213" s="69"/>
      <c r="AO213" s="69"/>
      <c r="AP213" s="69"/>
      <c r="AQ213" s="69"/>
      <c r="AR213" s="69"/>
      <c r="AS213" s="69"/>
      <c r="AT213" s="148"/>
      <c r="AU213" s="148"/>
    </row>
    <row r="214" spans="1:47" x14ac:dyDescent="0.3">
      <c r="A214" s="149"/>
      <c r="B214" s="149"/>
      <c r="C214" s="149"/>
      <c r="D214" s="149"/>
      <c r="E214" s="149"/>
      <c r="F214" s="149"/>
      <c r="G214" s="149"/>
      <c r="H214" s="149"/>
      <c r="L214" s="147"/>
      <c r="M214" s="147"/>
      <c r="N214" s="149"/>
    </row>
    <row r="215" spans="1:47" x14ac:dyDescent="0.3">
      <c r="A215" s="149"/>
      <c r="B215" s="149"/>
      <c r="C215" s="149"/>
      <c r="D215" s="149"/>
      <c r="E215" s="149"/>
      <c r="F215" s="149"/>
      <c r="G215" s="149"/>
      <c r="H215" s="149"/>
      <c r="L215" s="147"/>
      <c r="M215" s="147"/>
      <c r="N215" s="149"/>
    </row>
    <row r="216" spans="1:47" x14ac:dyDescent="0.3">
      <c r="A216" s="149"/>
      <c r="B216" s="149"/>
      <c r="C216" s="149"/>
      <c r="D216" s="149"/>
      <c r="E216" s="149"/>
      <c r="F216" s="149"/>
      <c r="G216" s="149"/>
      <c r="H216" s="149"/>
      <c r="L216" s="147"/>
      <c r="M216" s="147"/>
      <c r="N216" s="149"/>
    </row>
    <row r="217" spans="1:47" x14ac:dyDescent="0.3">
      <c r="A217" s="149"/>
      <c r="B217" s="149"/>
      <c r="C217" s="149"/>
      <c r="D217" s="149"/>
      <c r="E217" s="149"/>
      <c r="F217" s="149"/>
      <c r="G217" s="149"/>
      <c r="H217" s="149"/>
      <c r="L217" s="147"/>
      <c r="M217" s="147"/>
      <c r="N217" s="149"/>
    </row>
    <row r="218" spans="1:47" x14ac:dyDescent="0.3">
      <c r="A218" s="149"/>
      <c r="B218" s="149"/>
      <c r="C218" s="149"/>
      <c r="D218" s="149"/>
      <c r="E218" s="149"/>
      <c r="F218" s="149"/>
      <c r="G218" s="149"/>
      <c r="H218" s="149"/>
      <c r="L218" s="147"/>
      <c r="M218" s="147"/>
      <c r="N218" s="149"/>
    </row>
    <row r="219" spans="1:47" x14ac:dyDescent="0.3">
      <c r="A219" s="149"/>
      <c r="B219" s="149"/>
      <c r="C219" s="149"/>
      <c r="D219" s="149"/>
      <c r="E219" s="149"/>
      <c r="F219" s="149"/>
      <c r="G219" s="149"/>
      <c r="H219" s="149"/>
      <c r="L219" s="147"/>
      <c r="M219" s="147"/>
      <c r="N219" s="149"/>
    </row>
    <row r="220" spans="1:47" x14ac:dyDescent="0.3">
      <c r="A220" s="149"/>
      <c r="B220" s="149"/>
      <c r="C220" s="149"/>
      <c r="D220" s="149"/>
      <c r="E220" s="149"/>
      <c r="F220" s="149"/>
      <c r="G220" s="149"/>
      <c r="H220" s="149"/>
      <c r="L220" s="147"/>
      <c r="M220" s="147"/>
      <c r="N220" s="149"/>
    </row>
    <row r="221" spans="1:47" x14ac:dyDescent="0.3">
      <c r="A221" s="149"/>
      <c r="B221" s="149"/>
      <c r="C221" s="149"/>
      <c r="D221" s="149"/>
      <c r="E221" s="149"/>
      <c r="F221" s="149"/>
      <c r="G221" s="149"/>
      <c r="H221" s="149"/>
      <c r="L221" s="147"/>
      <c r="M221" s="147"/>
    </row>
    <row r="222" spans="1:47" x14ac:dyDescent="0.3">
      <c r="A222" s="149"/>
      <c r="B222" s="149"/>
      <c r="C222" s="149"/>
      <c r="D222" s="149"/>
      <c r="E222" s="149"/>
      <c r="F222" s="149"/>
      <c r="L222" s="147"/>
      <c r="M222" s="147"/>
    </row>
    <row r="223" spans="1:47" x14ac:dyDescent="0.3">
      <c r="M223" s="147"/>
    </row>
    <row r="224" spans="1:47" x14ac:dyDescent="0.3">
      <c r="M224" s="147"/>
    </row>
    <row r="225" spans="9:13" x14ac:dyDescent="0.3">
      <c r="I225" s="148"/>
      <c r="J225" s="148"/>
      <c r="K225" s="148"/>
      <c r="M225" s="147"/>
    </row>
    <row r="226" spans="9:13" x14ac:dyDescent="0.3">
      <c r="M226" s="147"/>
    </row>
    <row r="227" spans="9:13" x14ac:dyDescent="0.3">
      <c r="L227" s="148"/>
      <c r="M227" s="147"/>
    </row>
    <row r="1048557" spans="1:58" s="70" customFormat="1" x14ac:dyDescent="0.3">
      <c r="A1048557" s="148"/>
      <c r="B1048557" s="148"/>
      <c r="C1048557" s="148"/>
      <c r="D1048557" s="148"/>
      <c r="E1048557" s="148"/>
      <c r="F1048557" s="148"/>
      <c r="G1048557" s="148"/>
      <c r="H1048557" s="148"/>
      <c r="I1048557" s="150"/>
      <c r="J1048557" s="150"/>
      <c r="K1048557" s="150"/>
      <c r="L1048557" s="150"/>
      <c r="M1048557" s="150"/>
      <c r="N1048557" s="148"/>
      <c r="AT1048557" s="69"/>
      <c r="AU1048557" s="69"/>
      <c r="AV1048557" s="148"/>
      <c r="AW1048557" s="148"/>
      <c r="AX1048557" s="148"/>
      <c r="AY1048557" s="148"/>
      <c r="AZ1048557" s="148"/>
      <c r="BA1048557" s="148"/>
      <c r="BB1048557" s="148"/>
      <c r="BC1048557" s="148"/>
      <c r="BD1048557" s="148"/>
      <c r="BE1048557" s="148"/>
      <c r="BF1048557" s="148"/>
    </row>
    <row r="1048565" spans="14:14" x14ac:dyDescent="0.3">
      <c r="N1048565" s="57"/>
    </row>
  </sheetData>
  <mergeCells count="52">
    <mergeCell ref="L79:N79"/>
    <mergeCell ref="L80:M80"/>
    <mergeCell ref="A33:N33"/>
    <mergeCell ref="D34:H34"/>
    <mergeCell ref="D35:H35"/>
    <mergeCell ref="A36:H36"/>
    <mergeCell ref="L36:N36"/>
    <mergeCell ref="A37:L37"/>
    <mergeCell ref="L71:M71"/>
    <mergeCell ref="L72:M72"/>
    <mergeCell ref="L73:M73"/>
    <mergeCell ref="L74:M74"/>
    <mergeCell ref="L75:M75"/>
    <mergeCell ref="L76:M76"/>
    <mergeCell ref="L66:M66"/>
    <mergeCell ref="L64:M64"/>
    <mergeCell ref="L68:M68"/>
    <mergeCell ref="L69:M69"/>
    <mergeCell ref="L78:M78"/>
    <mergeCell ref="L43:N43"/>
    <mergeCell ref="L44:M44"/>
    <mergeCell ref="L45:M45"/>
    <mergeCell ref="L46:N47"/>
    <mergeCell ref="L77:M77"/>
    <mergeCell ref="L48:N48"/>
    <mergeCell ref="L49:M49"/>
    <mergeCell ref="L70:M70"/>
    <mergeCell ref="L51:M51"/>
    <mergeCell ref="L52:M52"/>
    <mergeCell ref="L55:M55"/>
    <mergeCell ref="L56:M56"/>
    <mergeCell ref="L58:M58"/>
    <mergeCell ref="L60:M60"/>
    <mergeCell ref="L62:M62"/>
    <mergeCell ref="L67:M67"/>
    <mergeCell ref="L63:M63"/>
    <mergeCell ref="L65:M65"/>
    <mergeCell ref="L61:M61"/>
    <mergeCell ref="A1:N1"/>
    <mergeCell ref="A2:N2"/>
    <mergeCell ref="A31:B31"/>
    <mergeCell ref="A38:N38"/>
    <mergeCell ref="L59:M59"/>
    <mergeCell ref="L57:M57"/>
    <mergeCell ref="L54:M54"/>
    <mergeCell ref="L50:M50"/>
    <mergeCell ref="D39:H39"/>
    <mergeCell ref="D40:H40"/>
    <mergeCell ref="A41:H41"/>
    <mergeCell ref="A42:N42"/>
    <mergeCell ref="A43:F43"/>
    <mergeCell ref="L53:M53"/>
  </mergeCells>
  <pageMargins left="0" right="0" top="0" bottom="0" header="0.31496062992125984" footer="0.31496062992125984"/>
  <pageSetup paperSize="9" scale="1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E73E4-F826-4915-A3E7-D79584B07648}">
  <sheetPr>
    <pageSetUpPr fitToPage="1"/>
  </sheetPr>
  <dimension ref="A1:BF1048557"/>
  <sheetViews>
    <sheetView zoomScale="60" zoomScaleNormal="60" workbookViewId="0">
      <selection activeCell="A3" sqref="A3"/>
    </sheetView>
  </sheetViews>
  <sheetFormatPr defaultColWidth="9.109375" defaultRowHeight="13.8" x14ac:dyDescent="0.3"/>
  <cols>
    <col min="1" max="1" width="21.88671875" style="148" customWidth="1"/>
    <col min="2" max="2" width="12" style="148" bestFit="1" customWidth="1"/>
    <col min="3" max="3" width="18" style="148" bestFit="1" customWidth="1"/>
    <col min="4" max="4" width="17.5546875" style="148" bestFit="1" customWidth="1"/>
    <col min="5" max="5" width="18.44140625" style="148" customWidth="1"/>
    <col min="6" max="6" width="17.6640625" style="148" customWidth="1"/>
    <col min="7" max="7" width="14.109375" style="148" bestFit="1" customWidth="1"/>
    <col min="8" max="8" width="15.109375" style="148" bestFit="1" customWidth="1"/>
    <col min="9" max="9" width="19.109375" style="150" bestFit="1" customWidth="1"/>
    <col min="10" max="10" width="17.109375" style="150" bestFit="1" customWidth="1"/>
    <col min="11" max="11" width="18" style="150" bestFit="1" customWidth="1"/>
    <col min="12" max="12" width="121.44140625" style="150" bestFit="1" customWidth="1"/>
    <col min="13" max="13" width="9.5546875" style="150" customWidth="1"/>
    <col min="14" max="14" width="18.5546875" style="148" customWidth="1"/>
    <col min="15" max="15" width="10.5546875" style="70" bestFit="1" customWidth="1"/>
    <col min="16" max="45" width="9.109375" style="70"/>
    <col min="46" max="47" width="9.109375" style="69"/>
    <col min="48" max="16384" width="9.109375" style="148"/>
  </cols>
  <sheetData>
    <row r="1" spans="1:45" s="10" customForma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</row>
    <row r="2" spans="1:45" s="10" customFormat="1" ht="28.5" customHeight="1" x14ac:dyDescent="0.3">
      <c r="A2" s="538" t="s">
        <v>518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</row>
    <row r="3" spans="1:45" s="10" customFormat="1" ht="28.5" customHeight="1" x14ac:dyDescent="0.3">
      <c r="A3" s="83" t="s">
        <v>3</v>
      </c>
      <c r="B3" s="83" t="s">
        <v>0</v>
      </c>
      <c r="C3" s="84" t="s">
        <v>1</v>
      </c>
      <c r="D3" s="84" t="s">
        <v>68</v>
      </c>
      <c r="E3" s="84" t="s">
        <v>69</v>
      </c>
      <c r="F3" s="85" t="s">
        <v>2</v>
      </c>
      <c r="G3" s="84" t="s">
        <v>6</v>
      </c>
      <c r="H3" s="84" t="s">
        <v>7</v>
      </c>
      <c r="I3" s="84" t="s">
        <v>4</v>
      </c>
      <c r="J3" s="84" t="s">
        <v>5</v>
      </c>
      <c r="K3" s="84" t="s">
        <v>70</v>
      </c>
      <c r="L3" s="83" t="s">
        <v>59</v>
      </c>
      <c r="M3" s="86" t="s">
        <v>8</v>
      </c>
      <c r="N3" s="86" t="s">
        <v>10</v>
      </c>
    </row>
    <row r="4" spans="1:45" s="11" customFormat="1" x14ac:dyDescent="0.3">
      <c r="A4" s="90" t="s">
        <v>362</v>
      </c>
      <c r="B4" s="90">
        <v>13</v>
      </c>
      <c r="C4" s="5">
        <f>'GERAL 2022'!G15</f>
        <v>550</v>
      </c>
      <c r="D4" s="5">
        <v>0</v>
      </c>
      <c r="E4" s="5">
        <f t="shared" ref="E4:E10" si="0">C4-D4</f>
        <v>550</v>
      </c>
      <c r="F4" s="2">
        <v>0</v>
      </c>
      <c r="G4" s="2">
        <f>D76</f>
        <v>2.8368085106382979</v>
      </c>
      <c r="H4" s="2">
        <f>D75</f>
        <v>19.641666666666666</v>
      </c>
      <c r="I4" s="109">
        <f t="shared" ref="I4:I10" si="1">SUM(E4:H4)</f>
        <v>572.47847517730497</v>
      </c>
      <c r="J4" s="2">
        <f t="shared" ref="J4:J10" si="2">60%*(C4+F4)</f>
        <v>330</v>
      </c>
      <c r="K4" s="2">
        <f t="shared" ref="K4:K10" si="3">I4-J4</f>
        <v>242.47847517730497</v>
      </c>
      <c r="L4" s="90" t="s">
        <v>386</v>
      </c>
      <c r="M4" s="3">
        <v>10</v>
      </c>
      <c r="N4" s="3">
        <v>11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</row>
    <row r="5" spans="1:45" s="69" customFormat="1" x14ac:dyDescent="0.3">
      <c r="A5" s="4" t="s">
        <v>345</v>
      </c>
      <c r="B5" s="4">
        <v>20</v>
      </c>
      <c r="C5" s="2">
        <f>'GERAL 2022'!G22</f>
        <v>660</v>
      </c>
      <c r="D5" s="2">
        <v>0</v>
      </c>
      <c r="E5" s="5">
        <f t="shared" si="0"/>
        <v>660</v>
      </c>
      <c r="F5" s="2">
        <v>50</v>
      </c>
      <c r="G5" s="2">
        <f>D90</f>
        <v>2.8368085106382979</v>
      </c>
      <c r="H5" s="2">
        <f>D89</f>
        <v>19.853333333333335</v>
      </c>
      <c r="I5" s="109">
        <f t="shared" si="1"/>
        <v>732.69014184397167</v>
      </c>
      <c r="J5" s="2">
        <f t="shared" si="2"/>
        <v>426</v>
      </c>
      <c r="K5" s="2">
        <f t="shared" si="3"/>
        <v>306.69014184397167</v>
      </c>
      <c r="L5" s="90" t="s">
        <v>386</v>
      </c>
      <c r="M5" s="3">
        <v>10</v>
      </c>
      <c r="N5" s="4">
        <v>11</v>
      </c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</row>
    <row r="6" spans="1:45" s="69" customFormat="1" x14ac:dyDescent="0.3">
      <c r="A6" s="4" t="s">
        <v>346</v>
      </c>
      <c r="B6" s="4">
        <v>21</v>
      </c>
      <c r="C6" s="165">
        <f>'GERAL 2022'!G23</f>
        <v>500</v>
      </c>
      <c r="D6" s="5">
        <v>0</v>
      </c>
      <c r="E6" s="5">
        <f t="shared" si="0"/>
        <v>500</v>
      </c>
      <c r="F6" s="5">
        <v>25</v>
      </c>
      <c r="G6" s="165">
        <f>D92</f>
        <v>2.8368085106382979</v>
      </c>
      <c r="H6" s="165">
        <f>D91</f>
        <v>19.543333333333333</v>
      </c>
      <c r="I6" s="109">
        <f t="shared" si="1"/>
        <v>547.38014184397161</v>
      </c>
      <c r="J6" s="2">
        <f t="shared" si="2"/>
        <v>315</v>
      </c>
      <c r="K6" s="2">
        <f t="shared" si="3"/>
        <v>232.38014184397161</v>
      </c>
      <c r="L6" s="90" t="s">
        <v>386</v>
      </c>
      <c r="M6" s="3">
        <v>10</v>
      </c>
      <c r="N6" s="4">
        <v>11</v>
      </c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</row>
    <row r="7" spans="1:45" s="69" customFormat="1" x14ac:dyDescent="0.3">
      <c r="A7" s="4" t="s">
        <v>119</v>
      </c>
      <c r="B7" s="4">
        <v>22</v>
      </c>
      <c r="C7" s="165">
        <f>'GERAL 2022'!G24</f>
        <v>500</v>
      </c>
      <c r="D7" s="5">
        <v>0</v>
      </c>
      <c r="E7" s="5">
        <f t="shared" si="0"/>
        <v>500</v>
      </c>
      <c r="F7" s="5">
        <v>25</v>
      </c>
      <c r="G7" s="165">
        <f>D94</f>
        <v>2.8368085106382979</v>
      </c>
      <c r="H7" s="165">
        <f>D93</f>
        <v>19.543333333333333</v>
      </c>
      <c r="I7" s="109">
        <f t="shared" si="1"/>
        <v>547.38014184397161</v>
      </c>
      <c r="J7" s="2">
        <f t="shared" si="2"/>
        <v>315</v>
      </c>
      <c r="K7" s="2">
        <f t="shared" si="3"/>
        <v>232.38014184397161</v>
      </c>
      <c r="L7" s="90" t="s">
        <v>386</v>
      </c>
      <c r="M7" s="3">
        <v>10</v>
      </c>
      <c r="N7" s="4">
        <v>11</v>
      </c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</row>
    <row r="8" spans="1:45" s="10" customFormat="1" x14ac:dyDescent="0.3">
      <c r="A8" s="4" t="s">
        <v>347</v>
      </c>
      <c r="B8" s="4">
        <v>23</v>
      </c>
      <c r="C8" s="165">
        <f>'GERAL 2022'!G25</f>
        <v>550</v>
      </c>
      <c r="D8" s="5">
        <v>0</v>
      </c>
      <c r="E8" s="5">
        <f t="shared" si="0"/>
        <v>550</v>
      </c>
      <c r="F8" s="5">
        <v>0</v>
      </c>
      <c r="G8" s="165">
        <f>D96</f>
        <v>2.8368085106382979</v>
      </c>
      <c r="H8" s="165">
        <f>D95</f>
        <v>19.641666666666666</v>
      </c>
      <c r="I8" s="109">
        <f t="shared" si="1"/>
        <v>572.47847517730497</v>
      </c>
      <c r="J8" s="2">
        <f t="shared" si="2"/>
        <v>330</v>
      </c>
      <c r="K8" s="2">
        <f t="shared" si="3"/>
        <v>242.47847517730497</v>
      </c>
      <c r="L8" s="90" t="s">
        <v>386</v>
      </c>
      <c r="M8" s="3">
        <v>10</v>
      </c>
      <c r="N8" s="4">
        <v>11</v>
      </c>
    </row>
    <row r="9" spans="1:45" s="10" customFormat="1" x14ac:dyDescent="0.3">
      <c r="A9" s="4" t="s">
        <v>348</v>
      </c>
      <c r="B9" s="4">
        <v>26</v>
      </c>
      <c r="C9" s="165">
        <f>'GERAL 2022'!G28</f>
        <v>560</v>
      </c>
      <c r="D9" s="5">
        <v>0</v>
      </c>
      <c r="E9" s="5">
        <f t="shared" si="0"/>
        <v>560</v>
      </c>
      <c r="F9" s="5">
        <v>25</v>
      </c>
      <c r="G9" s="165">
        <f>D102</f>
        <v>2.8368085106382979</v>
      </c>
      <c r="H9" s="165">
        <f>D101</f>
        <v>19.658333333333335</v>
      </c>
      <c r="I9" s="109">
        <f t="shared" si="1"/>
        <v>607.49514184397162</v>
      </c>
      <c r="J9" s="2">
        <f t="shared" si="2"/>
        <v>351</v>
      </c>
      <c r="K9" s="2">
        <f t="shared" si="3"/>
        <v>256.49514184397162</v>
      </c>
      <c r="L9" s="90" t="s">
        <v>386</v>
      </c>
      <c r="M9" s="3">
        <v>10</v>
      </c>
      <c r="N9" s="4">
        <v>11</v>
      </c>
    </row>
    <row r="10" spans="1:45" s="10" customFormat="1" x14ac:dyDescent="0.3">
      <c r="A10" s="4" t="s">
        <v>349</v>
      </c>
      <c r="B10" s="4">
        <v>27</v>
      </c>
      <c r="C10" s="165">
        <f>'GERAL 2022'!G45</f>
        <v>580</v>
      </c>
      <c r="D10" s="5">
        <v>0</v>
      </c>
      <c r="E10" s="5">
        <f t="shared" si="0"/>
        <v>580</v>
      </c>
      <c r="F10" s="5">
        <v>0</v>
      </c>
      <c r="G10" s="165">
        <f>D104</f>
        <v>2.8368085106382979</v>
      </c>
      <c r="H10" s="165">
        <f>D103</f>
        <v>19.696666666666669</v>
      </c>
      <c r="I10" s="109">
        <f t="shared" si="1"/>
        <v>602.53347517730504</v>
      </c>
      <c r="J10" s="2">
        <f t="shared" si="2"/>
        <v>348</v>
      </c>
      <c r="K10" s="2">
        <f t="shared" si="3"/>
        <v>254.53347517730504</v>
      </c>
      <c r="L10" s="90" t="s">
        <v>386</v>
      </c>
      <c r="M10" s="3">
        <v>10</v>
      </c>
      <c r="N10" s="4">
        <v>11</v>
      </c>
    </row>
    <row r="11" spans="1:45" s="10" customFormat="1" x14ac:dyDescent="0.3">
      <c r="A11" s="518" t="s">
        <v>4</v>
      </c>
      <c r="B11" s="518"/>
      <c r="C11" s="109">
        <f>SUM(C4:C10)</f>
        <v>3900</v>
      </c>
      <c r="D11" s="109">
        <f t="shared" ref="D11:J11" si="4">SUM(D4:D10)</f>
        <v>0</v>
      </c>
      <c r="E11" s="109">
        <f t="shared" si="4"/>
        <v>3900</v>
      </c>
      <c r="F11" s="109">
        <f t="shared" si="4"/>
        <v>125</v>
      </c>
      <c r="G11" s="109">
        <f t="shared" si="4"/>
        <v>19.857659574468087</v>
      </c>
      <c r="H11" s="109">
        <f t="shared" si="4"/>
        <v>137.57833333333335</v>
      </c>
      <c r="I11" s="109">
        <f t="shared" si="4"/>
        <v>4182.4359929078018</v>
      </c>
      <c r="J11" s="109">
        <f t="shared" si="4"/>
        <v>2415</v>
      </c>
      <c r="K11" s="109">
        <f>SUM(K4:K10)</f>
        <v>1767.4359929078014</v>
      </c>
      <c r="L11" s="90"/>
      <c r="M11" s="3"/>
      <c r="N11" s="3"/>
    </row>
    <row r="12" spans="1:45" s="10" customFormat="1" x14ac:dyDescent="0.3">
      <c r="A12" s="126"/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</row>
    <row r="13" spans="1:45" s="11" customFormat="1" x14ac:dyDescent="0.3">
      <c r="A13" s="521" t="s">
        <v>384</v>
      </c>
      <c r="B13" s="521"/>
      <c r="C13" s="521"/>
      <c r="D13" s="521"/>
      <c r="E13" s="521"/>
      <c r="F13" s="521"/>
      <c r="G13" s="521"/>
      <c r="H13" s="521"/>
      <c r="I13" s="521"/>
      <c r="J13" s="521"/>
      <c r="K13" s="521"/>
      <c r="L13" s="521"/>
      <c r="M13" s="521"/>
      <c r="N13" s="521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 spans="1:45" s="11" customFormat="1" ht="27.6" x14ac:dyDescent="0.3">
      <c r="A14" s="83" t="s">
        <v>3</v>
      </c>
      <c r="B14" s="83" t="s">
        <v>0</v>
      </c>
      <c r="C14" s="84" t="s">
        <v>1</v>
      </c>
      <c r="D14" s="84" t="s">
        <v>68</v>
      </c>
      <c r="E14" s="84" t="s">
        <v>69</v>
      </c>
      <c r="F14" s="85" t="s">
        <v>2</v>
      </c>
      <c r="G14" s="84" t="s">
        <v>6</v>
      </c>
      <c r="H14" s="84" t="s">
        <v>7</v>
      </c>
      <c r="I14" s="84" t="s">
        <v>4</v>
      </c>
      <c r="J14" s="84" t="s">
        <v>5</v>
      </c>
      <c r="K14" s="84" t="s">
        <v>70</v>
      </c>
      <c r="L14" s="83" t="s">
        <v>59</v>
      </c>
      <c r="M14" s="86" t="s">
        <v>8</v>
      </c>
      <c r="N14" s="86" t="s">
        <v>10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</row>
    <row r="15" spans="1:45" s="15" customFormat="1" x14ac:dyDescent="0.3">
      <c r="A15" s="116" t="s">
        <v>397</v>
      </c>
      <c r="B15" s="90">
        <v>1</v>
      </c>
      <c r="C15" s="2">
        <f>'GERAL 2022'!G35/30*7</f>
        <v>135.33333333333331</v>
      </c>
      <c r="D15" s="2">
        <v>0</v>
      </c>
      <c r="E15" s="2">
        <f>C15-D15</f>
        <v>135.33333333333331</v>
      </c>
      <c r="F15" s="5">
        <f>50/30*7</f>
        <v>11.666666666666668</v>
      </c>
      <c r="G15" s="2">
        <f>D52</f>
        <v>2.8368085106382979</v>
      </c>
      <c r="H15" s="2">
        <f>D51</f>
        <v>19.696666666666669</v>
      </c>
      <c r="I15" s="109">
        <f>SUM(E15:H15)</f>
        <v>169.53347517730492</v>
      </c>
      <c r="J15" s="2">
        <f t="shared" ref="J15:J24" si="5">7%*I15</f>
        <v>11.867343262411346</v>
      </c>
      <c r="K15" s="2">
        <f>I15-J15</f>
        <v>157.66613191489358</v>
      </c>
      <c r="L15" s="5" t="s">
        <v>401</v>
      </c>
      <c r="M15" s="3">
        <v>10</v>
      </c>
      <c r="N15" s="3">
        <v>11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</row>
    <row r="16" spans="1:45" s="96" customFormat="1" x14ac:dyDescent="0.3">
      <c r="A16" s="90"/>
      <c r="B16" s="4">
        <v>2</v>
      </c>
      <c r="C16" s="5"/>
      <c r="D16" s="5"/>
      <c r="E16" s="5"/>
      <c r="F16" s="5"/>
      <c r="G16" s="5"/>
      <c r="H16" s="5"/>
      <c r="I16" s="109"/>
      <c r="J16" s="2">
        <f t="shared" si="5"/>
        <v>0</v>
      </c>
      <c r="K16" s="2"/>
      <c r="L16" s="90"/>
      <c r="M16" s="3"/>
      <c r="N16" s="3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16"/>
      <c r="AK16" s="17"/>
      <c r="AL16" s="17"/>
      <c r="AM16" s="17"/>
      <c r="AN16" s="17"/>
    </row>
    <row r="17" spans="1:45" s="6" customFormat="1" x14ac:dyDescent="0.3">
      <c r="A17" s="90"/>
      <c r="B17" s="4">
        <v>3</v>
      </c>
      <c r="C17" s="5"/>
      <c r="D17" s="5"/>
      <c r="E17" s="5"/>
      <c r="F17" s="5"/>
      <c r="G17" s="5"/>
      <c r="H17" s="5"/>
      <c r="I17" s="109"/>
      <c r="J17" s="2">
        <f t="shared" si="5"/>
        <v>0</v>
      </c>
      <c r="K17" s="2"/>
      <c r="L17" s="90"/>
      <c r="M17" s="3"/>
      <c r="N17" s="3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</row>
    <row r="18" spans="1:45" s="15" customFormat="1" x14ac:dyDescent="0.3">
      <c r="A18" s="90" t="s">
        <v>263</v>
      </c>
      <c r="B18" s="90">
        <v>4</v>
      </c>
      <c r="C18" s="2">
        <f>'GERAL 2022'!G16</f>
        <v>550</v>
      </c>
      <c r="D18" s="2">
        <v>0</v>
      </c>
      <c r="E18" s="2">
        <f>C18-D18</f>
        <v>550</v>
      </c>
      <c r="F18" s="2">
        <v>50</v>
      </c>
      <c r="G18" s="2">
        <v>0</v>
      </c>
      <c r="H18" s="2">
        <f>D57</f>
        <v>19.641666666666666</v>
      </c>
      <c r="I18" s="109">
        <f>SUM(E18:H18)</f>
        <v>619.64166666666665</v>
      </c>
      <c r="J18" s="2">
        <f t="shared" si="5"/>
        <v>43.374916666666671</v>
      </c>
      <c r="K18" s="2">
        <f>I18-J18</f>
        <v>576.26675</v>
      </c>
      <c r="L18" s="90" t="s">
        <v>387</v>
      </c>
      <c r="M18" s="3">
        <v>10</v>
      </c>
      <c r="N18" s="4">
        <v>11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</row>
    <row r="19" spans="1:45" s="15" customFormat="1" x14ac:dyDescent="0.3">
      <c r="A19" s="90"/>
      <c r="B19" s="90">
        <v>5</v>
      </c>
      <c r="C19" s="2"/>
      <c r="D19" s="2"/>
      <c r="E19" s="2"/>
      <c r="F19" s="2"/>
      <c r="G19" s="2"/>
      <c r="H19" s="2"/>
      <c r="I19" s="109"/>
      <c r="J19" s="2">
        <f t="shared" si="5"/>
        <v>0</v>
      </c>
      <c r="K19" s="2"/>
      <c r="L19" s="90"/>
      <c r="M19" s="3"/>
      <c r="N19" s="3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</row>
    <row r="20" spans="1:45" s="11" customFormat="1" x14ac:dyDescent="0.3">
      <c r="A20" s="90" t="s">
        <v>292</v>
      </c>
      <c r="B20" s="90">
        <v>6</v>
      </c>
      <c r="C20" s="5">
        <f>'GERAL 2022'!G8</f>
        <v>650</v>
      </c>
      <c r="D20" s="5">
        <v>0</v>
      </c>
      <c r="E20" s="5">
        <f>C20-D20</f>
        <v>650</v>
      </c>
      <c r="F20" s="2">
        <v>25</v>
      </c>
      <c r="G20" s="2">
        <f>D62</f>
        <v>3.9715319148936166</v>
      </c>
      <c r="H20" s="2">
        <f>D61</f>
        <v>19.836666666666666</v>
      </c>
      <c r="I20" s="109">
        <f>SUM(E20:H20)</f>
        <v>698.8081985815603</v>
      </c>
      <c r="J20" s="2">
        <f t="shared" si="5"/>
        <v>48.916573900709224</v>
      </c>
      <c r="K20" s="2">
        <f>I20-J20</f>
        <v>649.89162468085112</v>
      </c>
      <c r="L20" s="90" t="s">
        <v>388</v>
      </c>
      <c r="M20" s="3">
        <v>10</v>
      </c>
      <c r="N20" s="3">
        <v>11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</row>
    <row r="21" spans="1:45" s="15" customFormat="1" ht="14.25" customHeight="1" x14ac:dyDescent="0.3">
      <c r="A21" s="90"/>
      <c r="B21" s="90">
        <v>7</v>
      </c>
      <c r="C21" s="2"/>
      <c r="D21" s="2"/>
      <c r="E21" s="5"/>
      <c r="F21" s="2"/>
      <c r="G21" s="2"/>
      <c r="H21" s="2"/>
      <c r="I21" s="109"/>
      <c r="J21" s="2">
        <f t="shared" si="5"/>
        <v>0</v>
      </c>
      <c r="K21" s="2"/>
      <c r="L21" s="90"/>
      <c r="M21" s="3"/>
      <c r="N21" s="3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</row>
    <row r="22" spans="1:45" s="15" customFormat="1" x14ac:dyDescent="0.3">
      <c r="A22" s="90" t="s">
        <v>265</v>
      </c>
      <c r="B22" s="90">
        <v>8</v>
      </c>
      <c r="C22" s="2">
        <f>'GERAL 2022'!G10</f>
        <v>610</v>
      </c>
      <c r="D22" s="2">
        <v>0</v>
      </c>
      <c r="E22" s="5">
        <f t="shared" ref="E22:E32" si="6">C22-D22</f>
        <v>610</v>
      </c>
      <c r="F22" s="2">
        <f>50/30*8</f>
        <v>13.333333333333334</v>
      </c>
      <c r="G22" s="2">
        <v>0</v>
      </c>
      <c r="H22" s="2">
        <f>D65</f>
        <v>19.754999999999999</v>
      </c>
      <c r="I22" s="109">
        <f t="shared" ref="I22:I41" si="7">SUM(E22:H22)</f>
        <v>643.08833333333337</v>
      </c>
      <c r="J22" s="2">
        <f t="shared" si="5"/>
        <v>45.016183333333338</v>
      </c>
      <c r="K22" s="2">
        <f t="shared" ref="K22:K29" si="8">I22-J22</f>
        <v>598.07215000000008</v>
      </c>
      <c r="L22" s="90" t="s">
        <v>424</v>
      </c>
      <c r="M22" s="3">
        <v>10</v>
      </c>
      <c r="N22" s="3">
        <v>11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</row>
    <row r="23" spans="1:45" s="15" customFormat="1" ht="14.25" customHeight="1" x14ac:dyDescent="0.3">
      <c r="A23" s="90" t="s">
        <v>246</v>
      </c>
      <c r="B23" s="90">
        <v>9</v>
      </c>
      <c r="C23" s="2">
        <f>'GERAL 2022'!G11</f>
        <v>580</v>
      </c>
      <c r="D23" s="2">
        <v>0</v>
      </c>
      <c r="E23" s="5">
        <f t="shared" si="6"/>
        <v>580</v>
      </c>
      <c r="F23" s="2">
        <f>50</f>
        <v>50</v>
      </c>
      <c r="G23" s="2">
        <v>0</v>
      </c>
      <c r="H23" s="2">
        <f>D67</f>
        <v>19.696666666666669</v>
      </c>
      <c r="I23" s="109">
        <f t="shared" si="7"/>
        <v>649.69666666666672</v>
      </c>
      <c r="J23" s="2">
        <f t="shared" si="5"/>
        <v>45.478766666666672</v>
      </c>
      <c r="K23" s="2">
        <f t="shared" si="8"/>
        <v>604.2179000000001</v>
      </c>
      <c r="L23" s="90" t="s">
        <v>390</v>
      </c>
      <c r="M23" s="125">
        <v>10</v>
      </c>
      <c r="N23" s="3">
        <v>11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</row>
    <row r="24" spans="1:45" s="69" customFormat="1" x14ac:dyDescent="0.3">
      <c r="A24" s="96" t="s">
        <v>402</v>
      </c>
      <c r="B24" s="4">
        <v>10</v>
      </c>
      <c r="C24" s="2">
        <f>'GERAL 2022'!G38/30*25</f>
        <v>458.33333333333331</v>
      </c>
      <c r="D24" s="2">
        <v>0</v>
      </c>
      <c r="E24" s="5">
        <f t="shared" si="6"/>
        <v>458.33333333333331</v>
      </c>
      <c r="F24" s="2">
        <f>50/30*25</f>
        <v>41.666666666666671</v>
      </c>
      <c r="G24" s="2">
        <f>D70/30*25</f>
        <v>2.3640070921985816</v>
      </c>
      <c r="H24" s="2">
        <v>19.649999999999999</v>
      </c>
      <c r="I24" s="109">
        <f t="shared" si="7"/>
        <v>522.01400709219854</v>
      </c>
      <c r="J24" s="2">
        <f t="shared" si="5"/>
        <v>36.540980496453898</v>
      </c>
      <c r="K24" s="2">
        <f t="shared" si="8"/>
        <v>485.47302659574461</v>
      </c>
      <c r="L24" s="90" t="s">
        <v>404</v>
      </c>
      <c r="M24" s="3">
        <v>10</v>
      </c>
      <c r="N24" s="4">
        <v>11</v>
      </c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</row>
    <row r="25" spans="1:45" s="69" customFormat="1" x14ac:dyDescent="0.3">
      <c r="A25" s="4" t="s">
        <v>321</v>
      </c>
      <c r="B25" s="4">
        <v>11</v>
      </c>
      <c r="C25" s="2">
        <f>'GERAL 2022'!G13</f>
        <v>550</v>
      </c>
      <c r="D25" s="2">
        <v>0</v>
      </c>
      <c r="E25" s="5">
        <f t="shared" si="6"/>
        <v>550</v>
      </c>
      <c r="F25" s="2">
        <v>0</v>
      </c>
      <c r="G25" s="2">
        <f>D72</f>
        <v>2.8368085106382979</v>
      </c>
      <c r="H25" s="2">
        <f>D71</f>
        <v>19.641666666666666</v>
      </c>
      <c r="I25" s="109">
        <f t="shared" si="7"/>
        <v>572.47847517730497</v>
      </c>
      <c r="J25" s="2">
        <f t="shared" ref="J25:J41" si="9">7%*I25</f>
        <v>40.073493262411354</v>
      </c>
      <c r="K25" s="2">
        <f>I25-J25</f>
        <v>532.4049819148936</v>
      </c>
      <c r="L25" s="5" t="s">
        <v>338</v>
      </c>
      <c r="M25" s="3">
        <v>10</v>
      </c>
      <c r="N25" s="4">
        <v>11</v>
      </c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</row>
    <row r="26" spans="1:45" s="15" customFormat="1" x14ac:dyDescent="0.3">
      <c r="A26" s="95" t="s">
        <v>427</v>
      </c>
      <c r="B26" s="90">
        <v>12</v>
      </c>
      <c r="C26" s="2">
        <f>'GERAL 2022'!G14/30*21</f>
        <v>385</v>
      </c>
      <c r="D26" s="2">
        <v>0</v>
      </c>
      <c r="E26" s="5">
        <f t="shared" si="6"/>
        <v>385</v>
      </c>
      <c r="F26" s="5">
        <f>25/30*21</f>
        <v>17.5</v>
      </c>
      <c r="G26" s="5">
        <f>D74/30*21</f>
        <v>1.9857659574468085</v>
      </c>
      <c r="H26" s="5">
        <v>19.649999999999999</v>
      </c>
      <c r="I26" s="109">
        <f t="shared" si="7"/>
        <v>424.13576595744678</v>
      </c>
      <c r="J26" s="2">
        <f t="shared" si="9"/>
        <v>29.689503617021277</v>
      </c>
      <c r="K26" s="2">
        <f t="shared" si="8"/>
        <v>394.44626234042551</v>
      </c>
      <c r="L26" s="90" t="s">
        <v>407</v>
      </c>
      <c r="M26" s="3">
        <v>10</v>
      </c>
      <c r="N26" s="3">
        <v>11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</row>
    <row r="27" spans="1:45" s="69" customFormat="1" x14ac:dyDescent="0.3">
      <c r="A27" s="4" t="s">
        <v>362</v>
      </c>
      <c r="B27" s="4">
        <v>13</v>
      </c>
      <c r="C27" s="2">
        <v>0</v>
      </c>
      <c r="D27" s="2">
        <v>0</v>
      </c>
      <c r="E27" s="5">
        <f t="shared" si="6"/>
        <v>0</v>
      </c>
      <c r="F27" s="2">
        <v>0</v>
      </c>
      <c r="G27" s="2">
        <v>0</v>
      </c>
      <c r="H27" s="2">
        <v>0</v>
      </c>
      <c r="I27" s="109">
        <f t="shared" si="7"/>
        <v>0</v>
      </c>
      <c r="J27" s="2">
        <f t="shared" si="9"/>
        <v>0</v>
      </c>
      <c r="K27" s="2">
        <f t="shared" si="8"/>
        <v>0</v>
      </c>
      <c r="L27" s="90" t="s">
        <v>108</v>
      </c>
      <c r="M27" s="3">
        <v>10</v>
      </c>
      <c r="N27" s="4">
        <v>11</v>
      </c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</row>
    <row r="28" spans="1:45" s="69" customFormat="1" x14ac:dyDescent="0.3">
      <c r="A28" s="4" t="s">
        <v>291</v>
      </c>
      <c r="B28" s="4">
        <v>14</v>
      </c>
      <c r="C28" s="2">
        <f>'GERAL 2022'!G16</f>
        <v>550</v>
      </c>
      <c r="D28" s="2">
        <v>0</v>
      </c>
      <c r="E28" s="5">
        <f t="shared" si="6"/>
        <v>550</v>
      </c>
      <c r="F28" s="2">
        <v>0</v>
      </c>
      <c r="G28" s="2">
        <f>D78</f>
        <v>2.8368085106382979</v>
      </c>
      <c r="H28" s="2">
        <f>D77</f>
        <v>19.641666666666666</v>
      </c>
      <c r="I28" s="109">
        <f t="shared" si="7"/>
        <v>572.47847517730497</v>
      </c>
      <c r="J28" s="2">
        <f>7%*I28</f>
        <v>40.073493262411354</v>
      </c>
      <c r="K28" s="2">
        <f t="shared" si="8"/>
        <v>532.4049819148936</v>
      </c>
      <c r="L28" s="90" t="s">
        <v>388</v>
      </c>
      <c r="M28" s="3">
        <v>10</v>
      </c>
      <c r="N28" s="4">
        <v>11</v>
      </c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</row>
    <row r="29" spans="1:45" s="6" customFormat="1" x14ac:dyDescent="0.3">
      <c r="A29" s="90" t="s">
        <v>272</v>
      </c>
      <c r="B29" s="90">
        <v>15</v>
      </c>
      <c r="C29" s="2">
        <f>'GERAL 2022'!G40</f>
        <v>650</v>
      </c>
      <c r="D29" s="2">
        <v>0</v>
      </c>
      <c r="E29" s="5">
        <f t="shared" si="6"/>
        <v>650</v>
      </c>
      <c r="F29" s="2">
        <v>25</v>
      </c>
      <c r="G29" s="2">
        <v>0</v>
      </c>
      <c r="H29" s="2">
        <f>D79</f>
        <v>19.836666666666666</v>
      </c>
      <c r="I29" s="109">
        <f t="shared" si="7"/>
        <v>694.8366666666667</v>
      </c>
      <c r="J29" s="2">
        <f>7%*I29</f>
        <v>48.638566666666676</v>
      </c>
      <c r="K29" s="2">
        <f t="shared" si="8"/>
        <v>646.19810000000007</v>
      </c>
      <c r="L29" s="90" t="s">
        <v>389</v>
      </c>
      <c r="M29" s="125"/>
      <c r="N29" s="3"/>
      <c r="O29" s="9"/>
      <c r="P29" s="9"/>
      <c r="Q29" s="9"/>
      <c r="R29" s="9"/>
      <c r="S29" s="9"/>
      <c r="T29" s="9"/>
      <c r="U29" s="9"/>
      <c r="V29" s="9"/>
      <c r="W29" s="9"/>
    </row>
    <row r="30" spans="1:45" s="11" customFormat="1" x14ac:dyDescent="0.3">
      <c r="A30" s="3" t="s">
        <v>100</v>
      </c>
      <c r="B30" s="3">
        <v>16</v>
      </c>
      <c r="C30" s="2">
        <f>'GERAL 2022'!G18+(10.72339%*640)</f>
        <v>708.62969599999997</v>
      </c>
      <c r="D30" s="2"/>
      <c r="E30" s="5">
        <f t="shared" si="6"/>
        <v>708.62969599999997</v>
      </c>
      <c r="F30" s="2">
        <f>60</f>
        <v>60</v>
      </c>
      <c r="G30" s="2">
        <v>0</v>
      </c>
      <c r="H30" s="2">
        <v>19.82</v>
      </c>
      <c r="I30" s="109">
        <f t="shared" si="7"/>
        <v>788.44969600000002</v>
      </c>
      <c r="J30" s="2">
        <f t="shared" si="9"/>
        <v>55.191478720000006</v>
      </c>
      <c r="K30" s="2">
        <f t="shared" ref="K30:K41" si="10">I30-J30</f>
        <v>733.25821728000005</v>
      </c>
      <c r="L30" s="90" t="s">
        <v>391</v>
      </c>
      <c r="M30" s="3">
        <v>10</v>
      </c>
      <c r="N30" s="3">
        <v>11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</row>
    <row r="31" spans="1:45" s="11" customFormat="1" x14ac:dyDescent="0.3">
      <c r="A31" s="116" t="s">
        <v>392</v>
      </c>
      <c r="B31" s="88">
        <v>17</v>
      </c>
      <c r="C31" s="2">
        <f>'GERAL 2022'!G41/30*23</f>
        <v>444.66666666666663</v>
      </c>
      <c r="D31" s="2">
        <v>0</v>
      </c>
      <c r="E31" s="5">
        <f t="shared" si="6"/>
        <v>444.66666666666663</v>
      </c>
      <c r="F31" s="2">
        <v>0</v>
      </c>
      <c r="G31" s="2">
        <f>D84/30*23</f>
        <v>2.174886524822695</v>
      </c>
      <c r="H31" s="2">
        <f>D83</f>
        <v>19.696666666666669</v>
      </c>
      <c r="I31" s="109">
        <f t="shared" si="7"/>
        <v>466.53821985815597</v>
      </c>
      <c r="J31" s="2">
        <f t="shared" si="9"/>
        <v>32.657675390070921</v>
      </c>
      <c r="K31" s="2">
        <f t="shared" si="10"/>
        <v>433.88054446808508</v>
      </c>
      <c r="L31" s="5" t="s">
        <v>394</v>
      </c>
      <c r="M31" s="3">
        <v>10</v>
      </c>
      <c r="N31" s="3">
        <v>11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</row>
    <row r="32" spans="1:45" s="11" customFormat="1" x14ac:dyDescent="0.3">
      <c r="A32" s="88" t="s">
        <v>103</v>
      </c>
      <c r="B32" s="90">
        <v>18</v>
      </c>
      <c r="C32" s="2">
        <f>'GERAL 2022'!G20+(10.72339%*650)</f>
        <v>719.70203500000002</v>
      </c>
      <c r="D32" s="2">
        <v>0</v>
      </c>
      <c r="E32" s="5">
        <f t="shared" si="6"/>
        <v>719.70203500000002</v>
      </c>
      <c r="F32" s="2">
        <f>30</f>
        <v>30</v>
      </c>
      <c r="G32" s="2"/>
      <c r="H32" s="2">
        <f>D85</f>
        <v>19.836666666666666</v>
      </c>
      <c r="I32" s="109">
        <f t="shared" si="7"/>
        <v>769.53870166666673</v>
      </c>
      <c r="J32" s="2">
        <f t="shared" si="9"/>
        <v>53.867709116666674</v>
      </c>
      <c r="K32" s="2">
        <f t="shared" si="10"/>
        <v>715.67099255000005</v>
      </c>
      <c r="L32" s="90" t="s">
        <v>391</v>
      </c>
      <c r="M32" s="3">
        <v>10</v>
      </c>
      <c r="N32" s="3">
        <v>11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</row>
    <row r="33" spans="1:47" s="11" customFormat="1" ht="16.5" customHeight="1" x14ac:dyDescent="0.3">
      <c r="A33" s="90" t="s">
        <v>142</v>
      </c>
      <c r="B33" s="90">
        <v>19</v>
      </c>
      <c r="C33" s="2">
        <f>'GERAL 2022'!G21</f>
        <v>600</v>
      </c>
      <c r="D33" s="2">
        <f>10%*C33</f>
        <v>60</v>
      </c>
      <c r="E33" s="5">
        <f>(C33-D33)</f>
        <v>540</v>
      </c>
      <c r="F33" s="2">
        <f>50</f>
        <v>50</v>
      </c>
      <c r="G33" s="2">
        <v>0</v>
      </c>
      <c r="H33" s="2">
        <v>0</v>
      </c>
      <c r="I33" s="109">
        <f t="shared" si="7"/>
        <v>590</v>
      </c>
      <c r="J33" s="2">
        <f t="shared" si="9"/>
        <v>41.300000000000004</v>
      </c>
      <c r="K33" s="2">
        <f t="shared" si="10"/>
        <v>548.70000000000005</v>
      </c>
      <c r="L33" s="90" t="s">
        <v>395</v>
      </c>
      <c r="M33" s="3">
        <v>10</v>
      </c>
      <c r="N33" s="3">
        <v>11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</row>
    <row r="34" spans="1:47" s="11" customFormat="1" x14ac:dyDescent="0.3">
      <c r="A34" s="88" t="s">
        <v>345</v>
      </c>
      <c r="B34" s="90">
        <v>20</v>
      </c>
      <c r="C34" s="2">
        <v>0</v>
      </c>
      <c r="D34" s="2">
        <v>0</v>
      </c>
      <c r="E34" s="5">
        <f t="shared" ref="E34:E41" si="11">C34-D34</f>
        <v>0</v>
      </c>
      <c r="F34" s="2">
        <v>0</v>
      </c>
      <c r="G34" s="2">
        <v>0</v>
      </c>
      <c r="H34" s="2">
        <v>0</v>
      </c>
      <c r="I34" s="109">
        <f t="shared" si="7"/>
        <v>0</v>
      </c>
      <c r="J34" s="2">
        <f>7%*I34</f>
        <v>0</v>
      </c>
      <c r="K34" s="2">
        <f t="shared" si="10"/>
        <v>0</v>
      </c>
      <c r="L34" s="90" t="s">
        <v>108</v>
      </c>
      <c r="M34" s="125">
        <v>10</v>
      </c>
      <c r="N34" s="3">
        <v>11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</row>
    <row r="35" spans="1:47" s="11" customFormat="1" x14ac:dyDescent="0.3">
      <c r="A35" s="88" t="s">
        <v>346</v>
      </c>
      <c r="B35" s="90">
        <v>21</v>
      </c>
      <c r="C35" s="2">
        <v>0</v>
      </c>
      <c r="D35" s="2">
        <v>0</v>
      </c>
      <c r="E35" s="5">
        <f t="shared" si="11"/>
        <v>0</v>
      </c>
      <c r="F35" s="2">
        <v>0</v>
      </c>
      <c r="G35" s="2">
        <v>0</v>
      </c>
      <c r="H35" s="2">
        <v>0</v>
      </c>
      <c r="I35" s="109">
        <f t="shared" si="7"/>
        <v>0</v>
      </c>
      <c r="J35" s="2">
        <f t="shared" si="9"/>
        <v>0</v>
      </c>
      <c r="K35" s="2">
        <f t="shared" si="10"/>
        <v>0</v>
      </c>
      <c r="L35" s="90" t="s">
        <v>108</v>
      </c>
      <c r="M35" s="125">
        <v>10</v>
      </c>
      <c r="N35" s="3">
        <v>11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</row>
    <row r="36" spans="1:47" s="11" customFormat="1" ht="15.75" customHeight="1" x14ac:dyDescent="0.3">
      <c r="A36" s="88" t="s">
        <v>119</v>
      </c>
      <c r="B36" s="90">
        <v>22</v>
      </c>
      <c r="C36" s="2">
        <v>0</v>
      </c>
      <c r="D36" s="2">
        <v>0</v>
      </c>
      <c r="E36" s="5">
        <f t="shared" si="11"/>
        <v>0</v>
      </c>
      <c r="F36" s="2">
        <v>0</v>
      </c>
      <c r="G36" s="2">
        <v>0</v>
      </c>
      <c r="H36" s="2">
        <v>0</v>
      </c>
      <c r="I36" s="109">
        <f t="shared" si="7"/>
        <v>0</v>
      </c>
      <c r="J36" s="2">
        <f t="shared" si="9"/>
        <v>0</v>
      </c>
      <c r="K36" s="2">
        <f t="shared" si="10"/>
        <v>0</v>
      </c>
      <c r="L36" s="90" t="s">
        <v>108</v>
      </c>
      <c r="M36" s="125">
        <v>10</v>
      </c>
      <c r="N36" s="3">
        <v>11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</row>
    <row r="37" spans="1:47" s="11" customFormat="1" x14ac:dyDescent="0.3">
      <c r="A37" s="88" t="s">
        <v>379</v>
      </c>
      <c r="B37" s="90">
        <v>23</v>
      </c>
      <c r="C37" s="2">
        <v>0</v>
      </c>
      <c r="D37" s="2">
        <v>0</v>
      </c>
      <c r="E37" s="5">
        <f t="shared" si="11"/>
        <v>0</v>
      </c>
      <c r="F37" s="2">
        <v>0</v>
      </c>
      <c r="G37" s="2">
        <v>0</v>
      </c>
      <c r="H37" s="2">
        <v>0</v>
      </c>
      <c r="I37" s="109">
        <f t="shared" si="7"/>
        <v>0</v>
      </c>
      <c r="J37" s="2">
        <f t="shared" si="9"/>
        <v>0</v>
      </c>
      <c r="K37" s="2">
        <f t="shared" si="10"/>
        <v>0</v>
      </c>
      <c r="L37" s="90" t="s">
        <v>108</v>
      </c>
      <c r="M37" s="3">
        <v>10</v>
      </c>
      <c r="N37" s="3">
        <v>11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</row>
    <row r="38" spans="1:47" s="6" customFormat="1" x14ac:dyDescent="0.3">
      <c r="A38" s="90" t="s">
        <v>267</v>
      </c>
      <c r="B38" s="90">
        <v>24</v>
      </c>
      <c r="C38" s="2">
        <f>'GERAL 2022'!G26</f>
        <v>650</v>
      </c>
      <c r="D38" s="2">
        <v>0</v>
      </c>
      <c r="E38" s="5">
        <f t="shared" si="11"/>
        <v>650</v>
      </c>
      <c r="F38" s="2">
        <v>50</v>
      </c>
      <c r="G38" s="2">
        <v>0</v>
      </c>
      <c r="H38" s="2">
        <f>D97</f>
        <v>19.836666666666666</v>
      </c>
      <c r="I38" s="109">
        <f t="shared" si="7"/>
        <v>719.8366666666667</v>
      </c>
      <c r="J38" s="2">
        <f>7%*I38</f>
        <v>50.388566666666676</v>
      </c>
      <c r="K38" s="2">
        <f t="shared" si="10"/>
        <v>669.44810000000007</v>
      </c>
      <c r="L38" s="90" t="s">
        <v>389</v>
      </c>
      <c r="M38" s="125">
        <v>10</v>
      </c>
      <c r="N38" s="3">
        <v>11</v>
      </c>
      <c r="O38" s="9"/>
      <c r="P38" s="9"/>
      <c r="Q38" s="9"/>
      <c r="R38" s="9"/>
      <c r="S38" s="9"/>
      <c r="T38" s="9"/>
      <c r="U38" s="9"/>
      <c r="V38" s="9"/>
      <c r="W38" s="9"/>
    </row>
    <row r="39" spans="1:47" s="11" customFormat="1" x14ac:dyDescent="0.3">
      <c r="A39" s="11" t="s">
        <v>87</v>
      </c>
      <c r="B39" s="90">
        <v>25</v>
      </c>
      <c r="C39" s="2">
        <f>'GERAL 2022'!G27+(14.66086%*704)</f>
        <v>807.21245439999996</v>
      </c>
      <c r="D39" s="2">
        <v>0</v>
      </c>
      <c r="E39" s="5">
        <f t="shared" si="11"/>
        <v>807.21245439999996</v>
      </c>
      <c r="F39" s="2">
        <f>30</f>
        <v>30</v>
      </c>
      <c r="G39" s="2">
        <v>0</v>
      </c>
      <c r="H39" s="2">
        <f>D99</f>
        <v>19.95</v>
      </c>
      <c r="I39" s="109">
        <f t="shared" si="7"/>
        <v>857.1624544</v>
      </c>
      <c r="J39" s="2">
        <f>7%*I39</f>
        <v>60.001371808000009</v>
      </c>
      <c r="K39" s="2">
        <f>I39-J39</f>
        <v>797.16108259199996</v>
      </c>
      <c r="L39" s="71" t="s">
        <v>396</v>
      </c>
      <c r="M39" s="98">
        <v>10</v>
      </c>
      <c r="N39" s="3">
        <v>11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</row>
    <row r="40" spans="1:47" s="11" customFormat="1" x14ac:dyDescent="0.3">
      <c r="A40" s="88" t="s">
        <v>348</v>
      </c>
      <c r="B40" s="90">
        <v>26</v>
      </c>
      <c r="C40" s="2">
        <v>0</v>
      </c>
      <c r="D40" s="2">
        <v>0</v>
      </c>
      <c r="E40" s="5">
        <f t="shared" si="11"/>
        <v>0</v>
      </c>
      <c r="F40" s="2">
        <v>0</v>
      </c>
      <c r="G40" s="2">
        <v>0</v>
      </c>
      <c r="H40" s="2">
        <v>0</v>
      </c>
      <c r="I40" s="109">
        <f t="shared" si="7"/>
        <v>0</v>
      </c>
      <c r="J40" s="2">
        <f t="shared" si="9"/>
        <v>0</v>
      </c>
      <c r="K40" s="2">
        <f t="shared" si="10"/>
        <v>0</v>
      </c>
      <c r="L40" s="90" t="s">
        <v>108</v>
      </c>
      <c r="M40" s="3">
        <v>10</v>
      </c>
      <c r="N40" s="3">
        <v>11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</row>
    <row r="41" spans="1:47" s="11" customFormat="1" x14ac:dyDescent="0.3">
      <c r="A41" s="88" t="s">
        <v>349</v>
      </c>
      <c r="B41" s="90">
        <v>27</v>
      </c>
      <c r="C41" s="72">
        <v>0</v>
      </c>
      <c r="D41" s="72">
        <v>0</v>
      </c>
      <c r="E41" s="5">
        <f t="shared" si="11"/>
        <v>0</v>
      </c>
      <c r="F41" s="72">
        <v>0</v>
      </c>
      <c r="G41" s="72">
        <v>0</v>
      </c>
      <c r="H41" s="72">
        <v>0</v>
      </c>
      <c r="I41" s="109">
        <f t="shared" si="7"/>
        <v>0</v>
      </c>
      <c r="J41" s="2">
        <f t="shared" si="9"/>
        <v>0</v>
      </c>
      <c r="K41" s="2">
        <f t="shared" si="10"/>
        <v>0</v>
      </c>
      <c r="L41" s="90" t="s">
        <v>108</v>
      </c>
      <c r="M41" s="98">
        <v>10</v>
      </c>
      <c r="N41" s="3">
        <v>11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</row>
    <row r="42" spans="1:47" s="11" customFormat="1" ht="14.4" thickBot="1" x14ac:dyDescent="0.35">
      <c r="A42" s="518" t="s">
        <v>4</v>
      </c>
      <c r="B42" s="518"/>
      <c r="C42" s="109">
        <f>SUM(C15:C41)</f>
        <v>9048.877518733334</v>
      </c>
      <c r="D42" s="109">
        <f t="shared" ref="D42:K42" si="12">SUM(D15:D41)</f>
        <v>60</v>
      </c>
      <c r="E42" s="109">
        <f t="shared" si="12"/>
        <v>8988.877518733334</v>
      </c>
      <c r="F42" s="109">
        <f t="shared" si="12"/>
        <v>454.16666666666669</v>
      </c>
      <c r="G42" s="109">
        <f t="shared" si="12"/>
        <v>19.006617021276597</v>
      </c>
      <c r="H42" s="109">
        <f t="shared" si="12"/>
        <v>296.18666666666667</v>
      </c>
      <c r="I42" s="109">
        <f t="shared" si="12"/>
        <v>9758.2374690879424</v>
      </c>
      <c r="J42" s="109">
        <f t="shared" si="12"/>
        <v>683.07662283615605</v>
      </c>
      <c r="K42" s="109">
        <f t="shared" si="12"/>
        <v>9075.160846251787</v>
      </c>
      <c r="L42" s="90"/>
      <c r="M42" s="120"/>
      <c r="N42" s="155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</row>
    <row r="43" spans="1:47" s="11" customFormat="1" x14ac:dyDescent="0.3">
      <c r="A43" s="95"/>
      <c r="B43" s="95"/>
      <c r="C43" s="109"/>
      <c r="D43" s="109"/>
      <c r="E43" s="109"/>
      <c r="F43" s="109"/>
      <c r="G43" s="109"/>
      <c r="H43" s="109"/>
      <c r="I43" s="109"/>
      <c r="J43" s="109"/>
      <c r="K43" s="109"/>
      <c r="L43" s="90"/>
      <c r="M43" s="138"/>
      <c r="N43" s="3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</row>
    <row r="44" spans="1:47" s="11" customFormat="1" x14ac:dyDescent="0.3">
      <c r="A44" s="518"/>
      <c r="B44" s="518"/>
      <c r="C44" s="518"/>
      <c r="D44" s="518"/>
      <c r="E44" s="518"/>
      <c r="F44" s="518"/>
      <c r="G44" s="518"/>
      <c r="H44" s="518"/>
      <c r="I44" s="518"/>
      <c r="J44" s="518"/>
      <c r="K44" s="518"/>
      <c r="L44" s="518"/>
      <c r="M44" s="109"/>
      <c r="N44" s="109"/>
      <c r="O44" s="10"/>
      <c r="P44" s="10"/>
      <c r="Q44" s="10"/>
      <c r="R44" s="10"/>
      <c r="S44" s="10"/>
      <c r="T44" s="10"/>
      <c r="U44" s="10"/>
      <c r="V44" s="10"/>
      <c r="W44" s="10"/>
    </row>
    <row r="45" spans="1:47" s="11" customFormat="1" ht="28.5" customHeight="1" x14ac:dyDescent="0.3">
      <c r="A45" s="521" t="s">
        <v>177</v>
      </c>
      <c r="B45" s="521"/>
      <c r="C45" s="521"/>
      <c r="D45" s="521"/>
      <c r="E45" s="521"/>
      <c r="F45" s="521"/>
      <c r="G45" s="521"/>
      <c r="H45" s="521"/>
      <c r="I45" s="521"/>
      <c r="J45" s="521"/>
      <c r="K45" s="521"/>
      <c r="L45" s="521"/>
      <c r="M45" s="521"/>
      <c r="N45" s="521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1:47" s="11" customFormat="1" ht="25.5" customHeight="1" x14ac:dyDescent="0.3">
      <c r="A46" s="126" t="s">
        <v>173</v>
      </c>
      <c r="B46" s="126" t="s">
        <v>0</v>
      </c>
      <c r="C46" s="126" t="s">
        <v>174</v>
      </c>
      <c r="D46" s="521" t="s">
        <v>175</v>
      </c>
      <c r="E46" s="521"/>
      <c r="F46" s="521"/>
      <c r="G46" s="521"/>
      <c r="H46" s="521"/>
      <c r="I46" s="129" t="s">
        <v>4</v>
      </c>
      <c r="J46" s="128"/>
      <c r="K46" s="128"/>
      <c r="L46" s="127" t="s">
        <v>59</v>
      </c>
      <c r="M46" s="130" t="s">
        <v>8</v>
      </c>
      <c r="N46" s="130" t="s">
        <v>10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1:47" s="69" customFormat="1" ht="15" customHeight="1" x14ac:dyDescent="0.3">
      <c r="A47" s="4" t="s">
        <v>132</v>
      </c>
      <c r="B47" s="4">
        <v>1</v>
      </c>
      <c r="C47" s="5">
        <f>4977.59-1520</f>
        <v>3457.59</v>
      </c>
      <c r="D47" s="546" t="s">
        <v>284</v>
      </c>
      <c r="E47" s="547"/>
      <c r="F47" s="547"/>
      <c r="G47" s="547"/>
      <c r="H47" s="548"/>
      <c r="I47" s="5">
        <f>4977.59-1520</f>
        <v>3457.59</v>
      </c>
      <c r="J47" s="5"/>
      <c r="K47" s="5"/>
      <c r="L47" s="5" t="s">
        <v>283</v>
      </c>
      <c r="M47" s="140">
        <v>10</v>
      </c>
      <c r="N47" s="4">
        <v>11</v>
      </c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</row>
    <row r="48" spans="1:47" s="40" customFormat="1" ht="15" customHeight="1" thickBot="1" x14ac:dyDescent="0.35">
      <c r="A48" s="518" t="s">
        <v>4</v>
      </c>
      <c r="B48" s="518"/>
      <c r="C48" s="518"/>
      <c r="D48" s="518"/>
      <c r="E48" s="518"/>
      <c r="F48" s="518"/>
      <c r="G48" s="518"/>
      <c r="H48" s="518"/>
      <c r="I48" s="114">
        <f>SUM(I47:I47)</f>
        <v>3457.59</v>
      </c>
      <c r="J48" s="90"/>
      <c r="K48" s="90"/>
      <c r="L48" s="90"/>
      <c r="M48" s="90"/>
      <c r="N48" s="9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1"/>
      <c r="AS48" s="11"/>
      <c r="AT48" s="11"/>
      <c r="AU48" s="11"/>
    </row>
    <row r="49" spans="1:58" s="19" customFormat="1" x14ac:dyDescent="0.3">
      <c r="A49" s="536"/>
      <c r="B49" s="537"/>
      <c r="C49" s="537"/>
      <c r="D49" s="537"/>
      <c r="E49" s="537"/>
      <c r="F49" s="537"/>
      <c r="G49" s="537"/>
      <c r="H49" s="537"/>
      <c r="I49" s="537"/>
      <c r="J49" s="537"/>
      <c r="K49" s="537"/>
      <c r="L49" s="537"/>
      <c r="M49" s="524"/>
      <c r="N49" s="525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</row>
    <row r="50" spans="1:58" s="40" customFormat="1" x14ac:dyDescent="0.3">
      <c r="A50" s="543" t="s">
        <v>9</v>
      </c>
      <c r="B50" s="543"/>
      <c r="C50" s="543"/>
      <c r="D50" s="543"/>
      <c r="E50" s="543"/>
      <c r="F50" s="543"/>
      <c r="G50" s="46"/>
      <c r="H50" s="46"/>
      <c r="I50" s="46"/>
      <c r="J50" s="46"/>
      <c r="K50" s="46"/>
      <c r="L50" s="544" t="s">
        <v>315</v>
      </c>
      <c r="M50" s="544"/>
      <c r="N50" s="545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1"/>
      <c r="AS50" s="11"/>
      <c r="AT50" s="11"/>
      <c r="AU50" s="11"/>
    </row>
    <row r="51" spans="1:58" s="40" customFormat="1" x14ac:dyDescent="0.3">
      <c r="A51" s="76" t="s">
        <v>40</v>
      </c>
      <c r="B51" s="77">
        <f>'GERAL 2022'!J35</f>
        <v>118.18</v>
      </c>
      <c r="C51" s="78">
        <v>6</v>
      </c>
      <c r="D51" s="77">
        <f>B51/C51</f>
        <v>19.696666666666669</v>
      </c>
      <c r="E51" s="78"/>
      <c r="F51" s="77"/>
      <c r="G51" s="11"/>
      <c r="H51" s="11"/>
      <c r="I51" s="87"/>
      <c r="J51" s="87"/>
      <c r="K51" s="87"/>
      <c r="L51" s="527" t="s">
        <v>94</v>
      </c>
      <c r="M51" s="527"/>
      <c r="N51" s="49">
        <f>J42</f>
        <v>683.07662283615605</v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1"/>
      <c r="AS51" s="11"/>
      <c r="AT51" s="11"/>
      <c r="AU51" s="11"/>
    </row>
    <row r="52" spans="1:58" s="40" customFormat="1" x14ac:dyDescent="0.3">
      <c r="A52" s="12" t="s">
        <v>46</v>
      </c>
      <c r="B52" s="2">
        <f>'GERAL 2022'!H35</f>
        <v>14.184042553191489</v>
      </c>
      <c r="C52" s="88">
        <v>5</v>
      </c>
      <c r="D52" s="2">
        <f>B52/C52</f>
        <v>2.8368085106382979</v>
      </c>
      <c r="E52" s="88"/>
      <c r="F52" s="88"/>
      <c r="G52" s="11"/>
      <c r="H52" s="11"/>
      <c r="I52" s="14"/>
      <c r="J52" s="14"/>
      <c r="K52" s="14"/>
      <c r="L52" s="534" t="s">
        <v>260</v>
      </c>
      <c r="M52" s="535"/>
      <c r="N52" s="114">
        <f>J11</f>
        <v>2415</v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1"/>
      <c r="AS52" s="11"/>
      <c r="AT52" s="11"/>
      <c r="AU52" s="11"/>
    </row>
    <row r="53" spans="1:58" s="40" customFormat="1" x14ac:dyDescent="0.3">
      <c r="A53" s="79" t="s">
        <v>29</v>
      </c>
      <c r="B53" s="80"/>
      <c r="C53" s="82"/>
      <c r="D53" s="80"/>
      <c r="E53" s="78"/>
      <c r="F53" s="77"/>
      <c r="G53" s="11"/>
      <c r="H53" s="11"/>
      <c r="I53" s="14"/>
      <c r="J53" s="14"/>
      <c r="K53" s="14"/>
      <c r="L53" s="520"/>
      <c r="M53" s="520"/>
      <c r="N53" s="52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1"/>
      <c r="AS53" s="11"/>
      <c r="AT53" s="11"/>
      <c r="AU53" s="11"/>
    </row>
    <row r="54" spans="1:58" s="40" customFormat="1" x14ac:dyDescent="0.3">
      <c r="A54" s="12" t="s">
        <v>30</v>
      </c>
      <c r="B54" s="2"/>
      <c r="C54" s="88"/>
      <c r="D54" s="2"/>
      <c r="E54" s="53"/>
      <c r="F54" s="53"/>
      <c r="G54" s="11"/>
      <c r="H54" s="11"/>
      <c r="I54" s="62"/>
      <c r="J54" s="62"/>
      <c r="K54" s="62"/>
      <c r="L54" s="520"/>
      <c r="M54" s="520"/>
      <c r="N54" s="52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1"/>
      <c r="AS54" s="11"/>
      <c r="AT54" s="11"/>
      <c r="AU54" s="11"/>
    </row>
    <row r="55" spans="1:58" s="40" customFormat="1" x14ac:dyDescent="0.3">
      <c r="A55" s="79" t="s">
        <v>65</v>
      </c>
      <c r="B55" s="80"/>
      <c r="C55" s="82"/>
      <c r="D55" s="80"/>
      <c r="E55" s="78"/>
      <c r="F55" s="77"/>
      <c r="G55" s="11"/>
      <c r="H55" s="11"/>
      <c r="I55" s="14"/>
      <c r="J55" s="14"/>
      <c r="K55" s="14"/>
      <c r="L55" s="529" t="s">
        <v>12</v>
      </c>
      <c r="M55" s="529"/>
      <c r="N55" s="529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1"/>
      <c r="AS55" s="11"/>
      <c r="AT55" s="11"/>
      <c r="AU55" s="11"/>
    </row>
    <row r="56" spans="1:58" s="11" customFormat="1" ht="15" customHeight="1" x14ac:dyDescent="0.3">
      <c r="A56" s="12" t="s">
        <v>62</v>
      </c>
      <c r="B56" s="2"/>
      <c r="C56" s="88"/>
      <c r="D56" s="2"/>
      <c r="E56" s="88"/>
      <c r="F56" s="88"/>
      <c r="I56" s="63"/>
      <c r="J56" s="63"/>
      <c r="K56" s="63"/>
      <c r="L56" s="514" t="s">
        <v>145</v>
      </c>
      <c r="M56" s="514"/>
      <c r="N56" s="2">
        <v>19.68</v>
      </c>
    </row>
    <row r="57" spans="1:58" s="11" customFormat="1" x14ac:dyDescent="0.3">
      <c r="A57" s="79" t="s">
        <v>60</v>
      </c>
      <c r="B57" s="80">
        <f>'GERAL 2022'!J6</f>
        <v>117.85</v>
      </c>
      <c r="C57" s="82">
        <v>6</v>
      </c>
      <c r="D57" s="80">
        <f>B57/C57</f>
        <v>19.641666666666666</v>
      </c>
      <c r="E57" s="78"/>
      <c r="F57" s="77"/>
      <c r="I57" s="14"/>
      <c r="J57" s="14"/>
      <c r="K57" s="14"/>
      <c r="L57" s="514" t="s">
        <v>408</v>
      </c>
      <c r="M57" s="514"/>
      <c r="N57" s="2">
        <v>19.64</v>
      </c>
    </row>
    <row r="58" spans="1:58" s="11" customFormat="1" ht="15" customHeight="1" x14ac:dyDescent="0.3">
      <c r="A58" s="12" t="s">
        <v>61</v>
      </c>
      <c r="B58" s="2">
        <f>'GERAL 2022'!H6</f>
        <v>14.184042553191489</v>
      </c>
      <c r="C58" s="88">
        <v>5</v>
      </c>
      <c r="D58" s="2">
        <f>B58/C58</f>
        <v>2.8368085106382979</v>
      </c>
      <c r="E58" s="88"/>
      <c r="F58" s="88"/>
      <c r="I58" s="63"/>
      <c r="J58" s="63"/>
      <c r="K58" s="63"/>
      <c r="L58" s="514" t="s">
        <v>409</v>
      </c>
      <c r="M58" s="514"/>
      <c r="N58" s="2">
        <v>19.84</v>
      </c>
    </row>
    <row r="59" spans="1:58" s="11" customFormat="1" x14ac:dyDescent="0.3">
      <c r="A59" s="79" t="s">
        <v>31</v>
      </c>
      <c r="B59" s="80"/>
      <c r="C59" s="82"/>
      <c r="D59" s="80"/>
      <c r="E59" s="78"/>
      <c r="F59" s="77"/>
      <c r="I59" s="14"/>
      <c r="J59" s="14"/>
      <c r="K59" s="14"/>
      <c r="L59" s="514" t="s">
        <v>410</v>
      </c>
      <c r="M59" s="514"/>
      <c r="N59" s="2">
        <v>19.760000000000002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</row>
    <row r="60" spans="1:58" s="11" customFormat="1" x14ac:dyDescent="0.3">
      <c r="A60" s="12" t="s">
        <v>32</v>
      </c>
      <c r="B60" s="2"/>
      <c r="C60" s="88"/>
      <c r="D60" s="2"/>
      <c r="E60" s="88"/>
      <c r="F60" s="88"/>
      <c r="I60" s="63"/>
      <c r="J60" s="63"/>
      <c r="K60" s="63"/>
      <c r="L60" s="514" t="s">
        <v>411</v>
      </c>
      <c r="M60" s="514"/>
      <c r="N60" s="2">
        <v>19.7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</row>
    <row r="61" spans="1:58" s="11" customFormat="1" x14ac:dyDescent="0.3">
      <c r="A61" s="79" t="s">
        <v>57</v>
      </c>
      <c r="B61" s="80">
        <f>'GERAL 2022'!J8</f>
        <v>119.02</v>
      </c>
      <c r="C61" s="82">
        <v>6</v>
      </c>
      <c r="D61" s="80">
        <f>B61/C61</f>
        <v>19.836666666666666</v>
      </c>
      <c r="E61" s="78"/>
      <c r="F61" s="77"/>
      <c r="I61" s="14"/>
      <c r="J61" s="14"/>
      <c r="K61" s="14"/>
      <c r="L61" s="514" t="s">
        <v>109</v>
      </c>
      <c r="M61" s="514"/>
      <c r="N61" s="2">
        <v>19.649999999999999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</row>
    <row r="62" spans="1:58" s="11" customFormat="1" ht="12.75" customHeight="1" x14ac:dyDescent="0.3">
      <c r="A62" s="12" t="s">
        <v>58</v>
      </c>
      <c r="B62" s="2">
        <f>'GERAL 2022'!H8</f>
        <v>19.857659574468084</v>
      </c>
      <c r="C62" s="88">
        <v>5</v>
      </c>
      <c r="D62" s="2">
        <f>B62/C62</f>
        <v>3.9715319148936166</v>
      </c>
      <c r="E62" s="88"/>
      <c r="F62" s="88"/>
      <c r="I62" s="63"/>
      <c r="J62" s="63"/>
      <c r="K62" s="63"/>
      <c r="L62" s="514" t="s">
        <v>412</v>
      </c>
      <c r="M62" s="514"/>
      <c r="N62" s="2">
        <v>19.64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</row>
    <row r="63" spans="1:58" s="11" customFormat="1" x14ac:dyDescent="0.3">
      <c r="A63" s="79" t="s">
        <v>63</v>
      </c>
      <c r="B63" s="80"/>
      <c r="C63" s="82"/>
      <c r="D63" s="80"/>
      <c r="E63" s="78"/>
      <c r="F63" s="77"/>
      <c r="I63" s="14"/>
      <c r="J63" s="14"/>
      <c r="K63" s="14"/>
      <c r="L63" s="514" t="s">
        <v>413</v>
      </c>
      <c r="M63" s="514"/>
      <c r="N63" s="2">
        <v>19.649999999999999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</row>
    <row r="64" spans="1:58" s="11" customFormat="1" ht="15" customHeight="1" x14ac:dyDescent="0.3">
      <c r="A64" s="12" t="s">
        <v>64</v>
      </c>
      <c r="B64" s="2"/>
      <c r="C64" s="88"/>
      <c r="D64" s="2"/>
      <c r="E64" s="88"/>
      <c r="F64" s="88"/>
      <c r="I64" s="63"/>
      <c r="J64" s="63"/>
      <c r="K64" s="63"/>
      <c r="L64" s="514" t="s">
        <v>414</v>
      </c>
      <c r="M64" s="514"/>
      <c r="N64" s="2">
        <v>19.64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</row>
    <row r="65" spans="1:46" s="11" customFormat="1" x14ac:dyDescent="0.3">
      <c r="A65" s="79" t="s">
        <v>33</v>
      </c>
      <c r="B65" s="80">
        <f>'GERAL 2022'!J10</f>
        <v>118.53</v>
      </c>
      <c r="C65" s="82">
        <v>6</v>
      </c>
      <c r="D65" s="80">
        <f t="shared" ref="D65:D74" si="13">B65/C65</f>
        <v>19.754999999999999</v>
      </c>
      <c r="E65" s="78"/>
      <c r="F65" s="77"/>
      <c r="I65" s="14"/>
      <c r="J65" s="14"/>
      <c r="K65" s="14"/>
      <c r="L65" s="514" t="s">
        <v>415</v>
      </c>
      <c r="M65" s="514"/>
      <c r="N65" s="2">
        <v>19.64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</row>
    <row r="66" spans="1:46" s="11" customFormat="1" ht="13.5" customHeight="1" x14ac:dyDescent="0.3">
      <c r="A66" s="12" t="s">
        <v>34</v>
      </c>
      <c r="B66" s="2">
        <f>'GERAL 2022'!H10</f>
        <v>14.184042553191489</v>
      </c>
      <c r="C66" s="88">
        <v>5</v>
      </c>
      <c r="D66" s="2">
        <f t="shared" si="13"/>
        <v>2.8368085106382979</v>
      </c>
      <c r="E66" s="88"/>
      <c r="F66" s="88"/>
      <c r="I66" s="63"/>
      <c r="J66" s="63"/>
      <c r="K66" s="63"/>
      <c r="L66" s="514" t="s">
        <v>223</v>
      </c>
      <c r="M66" s="514"/>
      <c r="N66" s="2">
        <v>19.84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</row>
    <row r="67" spans="1:46" s="11" customFormat="1" x14ac:dyDescent="0.3">
      <c r="A67" s="79" t="s">
        <v>41</v>
      </c>
      <c r="B67" s="80">
        <f>'GERAL 2022'!J11</f>
        <v>118.18</v>
      </c>
      <c r="C67" s="82">
        <v>6</v>
      </c>
      <c r="D67" s="80">
        <f t="shared" si="13"/>
        <v>19.696666666666669</v>
      </c>
      <c r="E67" s="78"/>
      <c r="F67" s="77"/>
      <c r="L67" s="514" t="s">
        <v>110</v>
      </c>
      <c r="M67" s="514"/>
      <c r="N67" s="2">
        <v>19.82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</row>
    <row r="68" spans="1:46" s="11" customFormat="1" x14ac:dyDescent="0.3">
      <c r="A68" s="12" t="s">
        <v>42</v>
      </c>
      <c r="B68" s="2">
        <f>'GERAL 2022'!H11</f>
        <v>14.184042553191489</v>
      </c>
      <c r="C68" s="88">
        <v>5</v>
      </c>
      <c r="D68" s="2">
        <f t="shared" si="13"/>
        <v>2.8368085106382979</v>
      </c>
      <c r="E68" s="88"/>
      <c r="F68" s="88"/>
      <c r="I68" s="63"/>
      <c r="J68" s="63"/>
      <c r="K68" s="63"/>
      <c r="L68" s="514" t="s">
        <v>120</v>
      </c>
      <c r="M68" s="514"/>
      <c r="N68" s="2">
        <v>19.68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</row>
    <row r="69" spans="1:46" s="11" customFormat="1" x14ac:dyDescent="0.3">
      <c r="A69" s="79" t="s">
        <v>66</v>
      </c>
      <c r="B69" s="80">
        <f>'GERAL 2022'!J38</f>
        <v>117.85</v>
      </c>
      <c r="C69" s="81">
        <v>6</v>
      </c>
      <c r="D69" s="80">
        <f t="shared" si="13"/>
        <v>19.641666666666666</v>
      </c>
      <c r="E69" s="82"/>
      <c r="F69" s="80"/>
      <c r="I69" s="14"/>
      <c r="J69" s="14"/>
      <c r="K69" s="14"/>
      <c r="L69" s="514" t="s">
        <v>111</v>
      </c>
      <c r="M69" s="514"/>
      <c r="N69" s="2">
        <v>19.82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</row>
    <row r="70" spans="1:46" s="11" customFormat="1" x14ac:dyDescent="0.3">
      <c r="A70" s="12" t="s">
        <v>67</v>
      </c>
      <c r="B70" s="2">
        <f>'GERAL 2022'!H38</f>
        <v>14.184042553191489</v>
      </c>
      <c r="C70" s="88">
        <v>5</v>
      </c>
      <c r="D70" s="2">
        <f t="shared" si="13"/>
        <v>2.8368085106382979</v>
      </c>
      <c r="E70" s="88"/>
      <c r="F70" s="88"/>
      <c r="I70" s="63"/>
      <c r="J70" s="63"/>
      <c r="K70" s="63"/>
      <c r="L70" s="514" t="s">
        <v>416</v>
      </c>
      <c r="M70" s="514"/>
      <c r="N70" s="2">
        <v>19.850000000000001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</row>
    <row r="71" spans="1:46" s="11" customFormat="1" x14ac:dyDescent="0.3">
      <c r="A71" s="79" t="s">
        <v>14</v>
      </c>
      <c r="B71" s="80">
        <f>'GERAL 2022'!J13</f>
        <v>117.85</v>
      </c>
      <c r="C71" s="82">
        <v>6</v>
      </c>
      <c r="D71" s="80">
        <f t="shared" si="13"/>
        <v>19.641666666666666</v>
      </c>
      <c r="E71" s="82"/>
      <c r="F71" s="80"/>
      <c r="I71" s="14"/>
      <c r="J71" s="14"/>
      <c r="K71" s="14"/>
      <c r="L71" s="514" t="s">
        <v>417</v>
      </c>
      <c r="M71" s="514"/>
      <c r="N71" s="2">
        <v>19.54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</row>
    <row r="72" spans="1:46" s="11" customFormat="1" x14ac:dyDescent="0.3">
      <c r="A72" s="12" t="s">
        <v>15</v>
      </c>
      <c r="B72" s="2">
        <f>'GERAL 2022'!H13</f>
        <v>14.184042553191489</v>
      </c>
      <c r="C72" s="88">
        <v>5</v>
      </c>
      <c r="D72" s="2">
        <f t="shared" si="13"/>
        <v>2.8368085106382979</v>
      </c>
      <c r="E72" s="88"/>
      <c r="F72" s="88"/>
      <c r="I72" s="87"/>
      <c r="J72" s="87"/>
      <c r="K72" s="87"/>
      <c r="L72" s="514" t="s">
        <v>418</v>
      </c>
      <c r="M72" s="514"/>
      <c r="N72" s="2">
        <v>19.54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</row>
    <row r="73" spans="1:46" s="11" customFormat="1" x14ac:dyDescent="0.3">
      <c r="A73" s="79" t="s">
        <v>55</v>
      </c>
      <c r="B73" s="80">
        <f>'GERAL 2022'!J14</f>
        <v>117.85</v>
      </c>
      <c r="C73" s="82">
        <v>6</v>
      </c>
      <c r="D73" s="80">
        <f t="shared" si="13"/>
        <v>19.641666666666666</v>
      </c>
      <c r="E73" s="82"/>
      <c r="F73" s="80"/>
      <c r="L73" s="514" t="s">
        <v>419</v>
      </c>
      <c r="M73" s="514"/>
      <c r="N73" s="2">
        <v>19.64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</row>
    <row r="74" spans="1:46" s="11" customFormat="1" x14ac:dyDescent="0.3">
      <c r="A74" s="12" t="s">
        <v>56</v>
      </c>
      <c r="B74" s="2">
        <f>'GERAL 2022'!H14</f>
        <v>14.184042553191489</v>
      </c>
      <c r="C74" s="88">
        <v>5</v>
      </c>
      <c r="D74" s="2">
        <f t="shared" si="13"/>
        <v>2.8368085106382979</v>
      </c>
      <c r="E74" s="88"/>
      <c r="F74" s="88"/>
      <c r="L74" s="514" t="s">
        <v>420</v>
      </c>
      <c r="M74" s="514"/>
      <c r="N74" s="2">
        <v>19.84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</row>
    <row r="75" spans="1:46" s="11" customFormat="1" x14ac:dyDescent="0.3">
      <c r="A75" s="79" t="s">
        <v>35</v>
      </c>
      <c r="B75" s="80">
        <f>'GERAL 2022'!J15</f>
        <v>117.85</v>
      </c>
      <c r="C75" s="82">
        <v>6</v>
      </c>
      <c r="D75" s="80">
        <f>B75/C75</f>
        <v>19.641666666666666</v>
      </c>
      <c r="E75" s="82"/>
      <c r="F75" s="80"/>
      <c r="L75" s="514" t="s">
        <v>124</v>
      </c>
      <c r="M75" s="514"/>
      <c r="N75" s="2">
        <v>19.93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</row>
    <row r="76" spans="1:46" s="11" customFormat="1" x14ac:dyDescent="0.3">
      <c r="A76" s="12" t="s">
        <v>36</v>
      </c>
      <c r="B76" s="2">
        <f>'GERAL 2022'!H15</f>
        <v>14.184042553191489</v>
      </c>
      <c r="C76" s="88">
        <v>5</v>
      </c>
      <c r="D76" s="2">
        <f>B76/C76</f>
        <v>2.8368085106382979</v>
      </c>
      <c r="E76" s="88"/>
      <c r="F76" s="88"/>
      <c r="I76" s="14"/>
      <c r="J76" s="14"/>
      <c r="K76" s="14"/>
      <c r="L76" s="514" t="s">
        <v>421</v>
      </c>
      <c r="M76" s="514"/>
      <c r="N76" s="165">
        <v>19.66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</row>
    <row r="77" spans="1:46" s="11" customFormat="1" x14ac:dyDescent="0.3">
      <c r="A77" s="79" t="s">
        <v>47</v>
      </c>
      <c r="B77" s="80">
        <f>'GERAL 2022'!J16</f>
        <v>117.85</v>
      </c>
      <c r="C77" s="82">
        <v>6</v>
      </c>
      <c r="D77" s="80">
        <f>B77/C77</f>
        <v>19.641666666666666</v>
      </c>
      <c r="E77" s="82"/>
      <c r="F77" s="80"/>
      <c r="I77" s="15"/>
      <c r="J77" s="15"/>
      <c r="K77" s="15"/>
      <c r="L77" s="514" t="s">
        <v>101</v>
      </c>
      <c r="M77" s="514"/>
      <c r="N77" s="165">
        <v>19.7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</row>
    <row r="78" spans="1:46" s="11" customFormat="1" x14ac:dyDescent="0.3">
      <c r="A78" s="12" t="s">
        <v>48</v>
      </c>
      <c r="B78" s="2">
        <f>'GERAL 2022'!H16</f>
        <v>14.184042553191489</v>
      </c>
      <c r="C78" s="88">
        <v>5</v>
      </c>
      <c r="D78" s="2">
        <f>B78/C78</f>
        <v>2.8368085106382979</v>
      </c>
      <c r="E78" s="88"/>
      <c r="F78" s="88"/>
      <c r="I78" s="14"/>
      <c r="J78" s="14"/>
      <c r="K78" s="14"/>
      <c r="L78" s="542" t="s">
        <v>422</v>
      </c>
      <c r="M78" s="542"/>
      <c r="N78" s="2">
        <f>120*4</f>
        <v>480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</row>
    <row r="79" spans="1:46" s="11" customFormat="1" x14ac:dyDescent="0.3">
      <c r="A79" s="79" t="s">
        <v>16</v>
      </c>
      <c r="B79" s="80">
        <f>'GERAL 2022'!J40</f>
        <v>119.02</v>
      </c>
      <c r="C79" s="82">
        <v>6</v>
      </c>
      <c r="D79" s="80">
        <f t="shared" ref="D79:D104" si="14">B79/C79</f>
        <v>19.836666666666666</v>
      </c>
      <c r="E79" s="81"/>
      <c r="F79" s="81"/>
      <c r="I79" s="14"/>
      <c r="J79" s="14"/>
      <c r="K79" s="14"/>
      <c r="L79" s="542" t="s">
        <v>423</v>
      </c>
      <c r="M79" s="542"/>
      <c r="N79" s="2">
        <f>8.77*4</f>
        <v>35.08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</row>
    <row r="80" spans="1:46" s="11" customFormat="1" x14ac:dyDescent="0.3">
      <c r="A80" s="12" t="s">
        <v>17</v>
      </c>
      <c r="B80" s="2">
        <f>'GERAL 2022'!H40</f>
        <v>19.857659574468084</v>
      </c>
      <c r="C80" s="88">
        <v>5</v>
      </c>
      <c r="D80" s="2">
        <f t="shared" si="14"/>
        <v>3.9715319148936166</v>
      </c>
      <c r="E80" s="88"/>
      <c r="F80" s="88"/>
      <c r="I80" s="14"/>
      <c r="J80" s="14"/>
      <c r="K80" s="14"/>
      <c r="L80" s="520" t="s">
        <v>126</v>
      </c>
      <c r="M80" s="520"/>
      <c r="N80" s="2">
        <v>133.01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</row>
    <row r="81" spans="1:46" s="11" customFormat="1" x14ac:dyDescent="0.3">
      <c r="A81" s="79" t="s">
        <v>27</v>
      </c>
      <c r="B81" s="80">
        <f>'GERAL 2022'!J18</f>
        <v>118.87</v>
      </c>
      <c r="C81" s="82">
        <v>6</v>
      </c>
      <c r="D81" s="80">
        <f t="shared" si="14"/>
        <v>19.811666666666667</v>
      </c>
      <c r="E81" s="81"/>
      <c r="F81" s="82"/>
      <c r="I81" s="14"/>
      <c r="J81" s="14"/>
      <c r="K81" s="14"/>
      <c r="L81" s="520" t="s">
        <v>378</v>
      </c>
      <c r="M81" s="520"/>
      <c r="N81" s="2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</row>
    <row r="82" spans="1:46" s="69" customFormat="1" x14ac:dyDescent="0.3">
      <c r="A82" s="12" t="s">
        <v>28</v>
      </c>
      <c r="B82" s="2">
        <f>'GERAL 2022'!H18</f>
        <v>14.184042553191489</v>
      </c>
      <c r="C82" s="88">
        <v>5</v>
      </c>
      <c r="D82" s="2">
        <f t="shared" si="14"/>
        <v>2.8368085106382979</v>
      </c>
      <c r="E82" s="88"/>
      <c r="F82" s="90"/>
      <c r="G82" s="11"/>
      <c r="H82" s="11"/>
      <c r="I82" s="14"/>
      <c r="J82" s="14"/>
      <c r="K82" s="14"/>
      <c r="L82" s="520" t="s">
        <v>426</v>
      </c>
      <c r="M82" s="520"/>
      <c r="N82" s="2">
        <v>158</v>
      </c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</row>
    <row r="83" spans="1:46" s="69" customFormat="1" ht="14.4" x14ac:dyDescent="0.3">
      <c r="A83" s="79" t="s">
        <v>18</v>
      </c>
      <c r="B83" s="80">
        <f>'GERAL 2022'!J41</f>
        <v>118.18</v>
      </c>
      <c r="C83" s="82">
        <v>6</v>
      </c>
      <c r="D83" s="80">
        <f t="shared" si="14"/>
        <v>19.696666666666669</v>
      </c>
      <c r="E83" s="82"/>
      <c r="F83" s="80"/>
      <c r="G83" s="11"/>
      <c r="H83" s="11"/>
      <c r="I83" s="14"/>
      <c r="J83" s="14"/>
      <c r="K83" s="14"/>
      <c r="L83" s="561" t="s">
        <v>425</v>
      </c>
      <c r="M83" s="562"/>
      <c r="N83" s="141">
        <v>120</v>
      </c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</row>
    <row r="84" spans="1:46" s="69" customFormat="1" ht="14.4" x14ac:dyDescent="0.3">
      <c r="A84" s="12" t="s">
        <v>19</v>
      </c>
      <c r="B84" s="2">
        <f>'GERAL 2022'!H41</f>
        <v>14.184042553191489</v>
      </c>
      <c r="C84" s="88">
        <v>5</v>
      </c>
      <c r="D84" s="2">
        <f>B84/C84</f>
        <v>2.8368085106382979</v>
      </c>
      <c r="E84" s="88"/>
      <c r="F84" s="88"/>
      <c r="G84" s="11"/>
      <c r="H84" s="11"/>
      <c r="I84" s="14"/>
      <c r="J84" s="14"/>
      <c r="K84" s="14"/>
      <c r="L84" s="563"/>
      <c r="M84" s="563"/>
      <c r="N84" s="141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</row>
    <row r="85" spans="1:46" s="69" customFormat="1" ht="14.4" x14ac:dyDescent="0.3">
      <c r="A85" s="79" t="s">
        <v>37</v>
      </c>
      <c r="B85" s="80">
        <f>'GERAL 2022'!J20</f>
        <v>119.02</v>
      </c>
      <c r="C85" s="82">
        <v>6</v>
      </c>
      <c r="D85" s="80">
        <f t="shared" si="14"/>
        <v>19.836666666666666</v>
      </c>
      <c r="E85" s="81"/>
      <c r="F85" s="82"/>
      <c r="G85" s="11"/>
      <c r="H85" s="11"/>
      <c r="I85" s="14"/>
      <c r="J85" s="14"/>
      <c r="K85" s="14"/>
      <c r="L85" s="563"/>
      <c r="M85" s="563"/>
      <c r="N85" s="141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</row>
    <row r="86" spans="1:46" s="69" customFormat="1" x14ac:dyDescent="0.3">
      <c r="A86" s="12" t="s">
        <v>38</v>
      </c>
      <c r="B86" s="2">
        <f>'GERAL 2022'!H20</f>
        <v>14.184042553191489</v>
      </c>
      <c r="C86" s="88">
        <v>5</v>
      </c>
      <c r="D86" s="2">
        <f t="shared" si="14"/>
        <v>2.8368085106382979</v>
      </c>
      <c r="E86" s="88"/>
      <c r="F86" s="88"/>
      <c r="G86" s="11"/>
      <c r="H86" s="11"/>
      <c r="I86" s="14"/>
      <c r="J86" s="14"/>
      <c r="K86" s="14"/>
      <c r="L86" s="520"/>
      <c r="M86" s="520"/>
      <c r="N86" s="2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</row>
    <row r="87" spans="1:46" s="69" customFormat="1" x14ac:dyDescent="0.3">
      <c r="A87" s="79" t="s">
        <v>45</v>
      </c>
      <c r="B87" s="80">
        <f>'GERAL 2022'!J21</f>
        <v>118.43</v>
      </c>
      <c r="C87" s="82">
        <v>6</v>
      </c>
      <c r="D87" s="80">
        <f t="shared" si="14"/>
        <v>19.738333333333333</v>
      </c>
      <c r="E87" s="81"/>
      <c r="F87" s="82"/>
      <c r="G87" s="11"/>
      <c r="H87" s="11"/>
      <c r="I87" s="14"/>
      <c r="J87" s="14"/>
      <c r="K87" s="14"/>
      <c r="L87" s="520"/>
      <c r="M87" s="520"/>
      <c r="N87" s="9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</row>
    <row r="88" spans="1:46" s="69" customFormat="1" x14ac:dyDescent="0.3">
      <c r="A88" s="12" t="s">
        <v>39</v>
      </c>
      <c r="B88" s="2">
        <f>'GERAL 2022'!H21</f>
        <v>14.184042553191489</v>
      </c>
      <c r="C88" s="88">
        <v>5</v>
      </c>
      <c r="D88" s="2">
        <f t="shared" si="14"/>
        <v>2.8368085106382979</v>
      </c>
      <c r="E88" s="88"/>
      <c r="F88" s="88"/>
      <c r="G88" s="11"/>
      <c r="H88" s="11"/>
      <c r="I88" s="14"/>
      <c r="J88" s="14"/>
      <c r="K88" s="14"/>
      <c r="L88" s="518"/>
      <c r="M88" s="518"/>
      <c r="N88" s="109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</row>
    <row r="89" spans="1:46" s="69" customFormat="1" x14ac:dyDescent="0.3">
      <c r="A89" s="81" t="s">
        <v>49</v>
      </c>
      <c r="B89" s="80">
        <f>'GERAL 2022'!J22</f>
        <v>119.12</v>
      </c>
      <c r="C89" s="82">
        <v>6</v>
      </c>
      <c r="D89" s="80">
        <f t="shared" si="14"/>
        <v>19.853333333333335</v>
      </c>
      <c r="E89" s="81"/>
      <c r="F89" s="82"/>
      <c r="G89" s="11"/>
      <c r="H89" s="11"/>
      <c r="I89" s="14"/>
      <c r="J89" s="14"/>
      <c r="K89" s="14"/>
      <c r="L89" s="518" t="s">
        <v>26</v>
      </c>
      <c r="M89" s="518"/>
      <c r="N89" s="109">
        <f>SUM(N51:N88)</f>
        <v>4457.8666228361553</v>
      </c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</row>
    <row r="90" spans="1:46" s="69" customFormat="1" x14ac:dyDescent="0.3">
      <c r="A90" s="90" t="s">
        <v>50</v>
      </c>
      <c r="B90" s="2">
        <f>'GERAL 2022'!H22</f>
        <v>14.184042553191489</v>
      </c>
      <c r="C90" s="88">
        <v>5</v>
      </c>
      <c r="D90" s="2">
        <f t="shared" si="14"/>
        <v>2.8368085106382979</v>
      </c>
      <c r="E90" s="88"/>
      <c r="F90" s="88"/>
      <c r="G90" s="11"/>
      <c r="H90" s="11"/>
      <c r="I90" s="14"/>
      <c r="J90" s="14"/>
      <c r="K90" s="14"/>
      <c r="L90" s="543"/>
      <c r="M90" s="543"/>
      <c r="N90" s="135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</row>
    <row r="91" spans="1:46" s="69" customFormat="1" x14ac:dyDescent="0.3">
      <c r="A91" s="81" t="s">
        <v>43</v>
      </c>
      <c r="B91" s="80">
        <f>'GERAL 2022'!J23</f>
        <v>117.26</v>
      </c>
      <c r="C91" s="82">
        <v>6</v>
      </c>
      <c r="D91" s="80">
        <f t="shared" si="14"/>
        <v>19.543333333333333</v>
      </c>
      <c r="E91" s="81"/>
      <c r="F91" s="82"/>
      <c r="G91" s="11"/>
      <c r="H91" s="11"/>
      <c r="I91" s="14"/>
      <c r="J91" s="14"/>
      <c r="K91" s="14"/>
      <c r="L91" s="564" t="s">
        <v>11</v>
      </c>
      <c r="M91" s="565"/>
      <c r="N91" s="153">
        <f>I42+I11</f>
        <v>13940.673461995744</v>
      </c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</row>
    <row r="92" spans="1:46" s="69" customFormat="1" x14ac:dyDescent="0.3">
      <c r="A92" s="90" t="s">
        <v>44</v>
      </c>
      <c r="B92" s="2">
        <f>'GERAL 2022'!H23</f>
        <v>14.184042553191489</v>
      </c>
      <c r="C92" s="88">
        <v>5</v>
      </c>
      <c r="D92" s="2">
        <f t="shared" si="14"/>
        <v>2.8368085106382979</v>
      </c>
      <c r="E92" s="88"/>
      <c r="F92" s="88"/>
      <c r="G92" s="11"/>
      <c r="H92" s="11"/>
      <c r="I92" s="14"/>
      <c r="J92" s="14"/>
      <c r="K92" s="14"/>
      <c r="L92" s="518"/>
      <c r="M92" s="518"/>
      <c r="N92" s="519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</row>
    <row r="93" spans="1:46" s="69" customFormat="1" x14ac:dyDescent="0.3">
      <c r="A93" s="81" t="s">
        <v>51</v>
      </c>
      <c r="B93" s="80">
        <f>'GERAL 2022'!J24</f>
        <v>117.26</v>
      </c>
      <c r="C93" s="82">
        <v>6</v>
      </c>
      <c r="D93" s="80">
        <f t="shared" si="14"/>
        <v>19.543333333333333</v>
      </c>
      <c r="E93" s="82"/>
      <c r="F93" s="80"/>
      <c r="I93" s="142"/>
      <c r="J93" s="142"/>
      <c r="K93" s="142"/>
      <c r="L93" s="513" t="s">
        <v>13</v>
      </c>
      <c r="M93" s="513"/>
      <c r="N93" s="151">
        <f>N91-N89</f>
        <v>9482.806839159588</v>
      </c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</row>
    <row r="94" spans="1:46" s="70" customFormat="1" x14ac:dyDescent="0.3">
      <c r="A94" s="90" t="s">
        <v>52</v>
      </c>
      <c r="B94" s="2">
        <f>'GERAL 2022'!H24</f>
        <v>14.184042553191489</v>
      </c>
      <c r="C94" s="88">
        <v>5</v>
      </c>
      <c r="D94" s="2">
        <f t="shared" si="14"/>
        <v>2.8368085106382979</v>
      </c>
      <c r="E94" s="88"/>
      <c r="F94" s="4"/>
      <c r="G94" s="63"/>
      <c r="H94" s="63"/>
      <c r="I94" s="69"/>
      <c r="J94" s="69"/>
      <c r="K94" s="69"/>
      <c r="L94" s="123"/>
      <c r="M94" s="123"/>
      <c r="N94" s="133"/>
    </row>
    <row r="95" spans="1:46" s="70" customFormat="1" x14ac:dyDescent="0.3">
      <c r="A95" s="81" t="s">
        <v>53</v>
      </c>
      <c r="B95" s="80">
        <f>'GERAL 2022'!J25</f>
        <v>117.85</v>
      </c>
      <c r="C95" s="82">
        <v>6</v>
      </c>
      <c r="D95" s="80">
        <f t="shared" si="14"/>
        <v>19.641666666666666</v>
      </c>
      <c r="E95" s="82"/>
      <c r="F95" s="82"/>
      <c r="G95" s="11"/>
      <c r="H95" s="63"/>
      <c r="I95" s="142"/>
      <c r="J95" s="142"/>
      <c r="K95" s="142"/>
      <c r="L95" s="124"/>
      <c r="M95" s="124"/>
      <c r="N95" s="134"/>
      <c r="AT95" s="69"/>
    </row>
    <row r="96" spans="1:46" s="70" customFormat="1" x14ac:dyDescent="0.3">
      <c r="A96" s="90" t="s">
        <v>54</v>
      </c>
      <c r="B96" s="2">
        <f>'GERAL 2022'!H25</f>
        <v>14.184042553191489</v>
      </c>
      <c r="C96" s="88">
        <v>5</v>
      </c>
      <c r="D96" s="2">
        <f t="shared" si="14"/>
        <v>2.8368085106382979</v>
      </c>
      <c r="E96" s="88"/>
      <c r="F96" s="4"/>
      <c r="G96" s="142"/>
      <c r="H96" s="142"/>
      <c r="I96" s="142"/>
      <c r="J96" s="142"/>
      <c r="K96" s="142"/>
      <c r="L96" s="124"/>
      <c r="M96" s="124"/>
      <c r="N96" s="57"/>
      <c r="AT96" s="69"/>
    </row>
    <row r="97" spans="1:46" s="70" customFormat="1" x14ac:dyDescent="0.3">
      <c r="A97" s="81" t="s">
        <v>78</v>
      </c>
      <c r="B97" s="80">
        <f>'GERAL 2022'!J26</f>
        <v>119.02</v>
      </c>
      <c r="C97" s="82">
        <v>6</v>
      </c>
      <c r="D97" s="80">
        <f t="shared" si="14"/>
        <v>19.836666666666666</v>
      </c>
      <c r="E97" s="82"/>
      <c r="F97" s="82"/>
      <c r="G97" s="11"/>
      <c r="H97" s="63"/>
      <c r="I97" s="142"/>
      <c r="J97" s="142"/>
      <c r="K97" s="142"/>
      <c r="L97" s="124"/>
      <c r="M97" s="124"/>
      <c r="N97" s="57"/>
      <c r="AT97" s="69"/>
    </row>
    <row r="98" spans="1:46" s="70" customFormat="1" x14ac:dyDescent="0.3">
      <c r="A98" s="90" t="s">
        <v>79</v>
      </c>
      <c r="B98" s="2">
        <f>'GERAL 2022'!H26</f>
        <v>19.857659574468084</v>
      </c>
      <c r="C98" s="88">
        <v>5</v>
      </c>
      <c r="D98" s="2">
        <f t="shared" si="14"/>
        <v>3.9715319148936166</v>
      </c>
      <c r="E98" s="88"/>
      <c r="F98" s="4"/>
      <c r="G98" s="142"/>
      <c r="H98" s="142"/>
      <c r="I98" s="142"/>
      <c r="J98" s="142"/>
      <c r="K98" s="142"/>
      <c r="L98" s="124"/>
      <c r="M98" s="124"/>
      <c r="N98" s="57"/>
      <c r="AT98" s="69"/>
    </row>
    <row r="99" spans="1:46" s="70" customFormat="1" x14ac:dyDescent="0.3">
      <c r="A99" s="81" t="s">
        <v>80</v>
      </c>
      <c r="B99" s="80">
        <f>'GERAL 2022'!J27</f>
        <v>119.7</v>
      </c>
      <c r="C99" s="82">
        <v>6</v>
      </c>
      <c r="D99" s="80">
        <f t="shared" si="14"/>
        <v>19.95</v>
      </c>
      <c r="E99" s="82"/>
      <c r="F99" s="82"/>
      <c r="G99" s="11"/>
      <c r="H99" s="63"/>
      <c r="I99" s="142"/>
      <c r="J99" s="142"/>
      <c r="K99" s="142"/>
      <c r="L99" s="124"/>
      <c r="M99" s="124"/>
      <c r="N99" s="57"/>
      <c r="AT99" s="69"/>
    </row>
    <row r="100" spans="1:46" s="70" customFormat="1" x14ac:dyDescent="0.3">
      <c r="A100" s="90" t="s">
        <v>81</v>
      </c>
      <c r="B100" s="2">
        <f>'GERAL 2022'!H27</f>
        <v>14.184042553191489</v>
      </c>
      <c r="C100" s="88">
        <v>5</v>
      </c>
      <c r="D100" s="2">
        <f t="shared" si="14"/>
        <v>2.8368085106382979</v>
      </c>
      <c r="E100" s="88"/>
      <c r="F100" s="4"/>
      <c r="G100" s="142"/>
      <c r="H100" s="142"/>
      <c r="I100" s="142"/>
      <c r="J100" s="142"/>
      <c r="K100" s="142"/>
      <c r="L100" s="15"/>
      <c r="M100" s="14"/>
      <c r="N100" s="57"/>
      <c r="AT100" s="69"/>
    </row>
    <row r="101" spans="1:46" s="70" customFormat="1" x14ac:dyDescent="0.3">
      <c r="A101" s="81" t="s">
        <v>82</v>
      </c>
      <c r="B101" s="80">
        <f>'GERAL 2022'!J28</f>
        <v>117.95</v>
      </c>
      <c r="C101" s="82">
        <v>6</v>
      </c>
      <c r="D101" s="80">
        <f t="shared" si="14"/>
        <v>19.658333333333335</v>
      </c>
      <c r="E101" s="82"/>
      <c r="F101" s="82"/>
      <c r="G101" s="11"/>
      <c r="H101" s="63"/>
      <c r="I101" s="142"/>
      <c r="J101" s="142"/>
      <c r="K101" s="142"/>
      <c r="L101" s="11"/>
      <c r="M101" s="15"/>
      <c r="N101" s="57"/>
      <c r="AT101" s="69"/>
    </row>
    <row r="102" spans="1:46" s="70" customFormat="1" x14ac:dyDescent="0.3">
      <c r="A102" s="90" t="s">
        <v>83</v>
      </c>
      <c r="B102" s="2">
        <f>'GERAL 2022'!H28</f>
        <v>14.184042553191489</v>
      </c>
      <c r="C102" s="88">
        <v>5</v>
      </c>
      <c r="D102" s="2">
        <f t="shared" si="14"/>
        <v>2.8368085106382979</v>
      </c>
      <c r="E102" s="88"/>
      <c r="F102" s="4"/>
      <c r="G102" s="142"/>
      <c r="H102" s="142"/>
      <c r="I102" s="142"/>
      <c r="J102" s="142"/>
      <c r="K102" s="142"/>
      <c r="L102" s="11"/>
      <c r="M102" s="11"/>
      <c r="N102" s="57"/>
      <c r="AT102" s="69"/>
    </row>
    <row r="103" spans="1:46" s="70" customFormat="1" x14ac:dyDescent="0.3">
      <c r="A103" s="81" t="s">
        <v>84</v>
      </c>
      <c r="B103" s="80">
        <f>'GERAL 2022'!J45</f>
        <v>118.18</v>
      </c>
      <c r="C103" s="82">
        <v>6</v>
      </c>
      <c r="D103" s="80">
        <f t="shared" si="14"/>
        <v>19.696666666666669</v>
      </c>
      <c r="E103" s="82"/>
      <c r="F103" s="82"/>
      <c r="G103" s="11"/>
      <c r="H103" s="63"/>
      <c r="I103" s="142"/>
      <c r="J103" s="142"/>
      <c r="K103" s="142"/>
      <c r="L103" s="14"/>
      <c r="M103" s="14"/>
      <c r="N103" s="57"/>
      <c r="AT103" s="69"/>
    </row>
    <row r="104" spans="1:46" s="70" customFormat="1" x14ac:dyDescent="0.3">
      <c r="A104" s="90" t="s">
        <v>85</v>
      </c>
      <c r="B104" s="2">
        <f>'GERAL 2022'!H45</f>
        <v>14.184042553191489</v>
      </c>
      <c r="C104" s="88">
        <v>5</v>
      </c>
      <c r="D104" s="2">
        <f t="shared" si="14"/>
        <v>2.8368085106382979</v>
      </c>
      <c r="E104" s="88"/>
      <c r="F104" s="4"/>
      <c r="G104" s="142"/>
      <c r="H104" s="142"/>
      <c r="I104" s="142"/>
      <c r="J104" s="142"/>
      <c r="K104" s="142"/>
      <c r="L104" s="14"/>
      <c r="M104" s="15"/>
      <c r="N104" s="57"/>
      <c r="AT104" s="69"/>
    </row>
    <row r="105" spans="1:46" s="70" customFormat="1" x14ac:dyDescent="0.3">
      <c r="A105" s="69"/>
      <c r="B105" s="69"/>
      <c r="C105" s="69"/>
      <c r="D105" s="69"/>
      <c r="E105" s="69"/>
      <c r="F105" s="69"/>
      <c r="G105" s="142"/>
      <c r="H105" s="142"/>
      <c r="I105" s="142"/>
      <c r="J105" s="142"/>
      <c r="K105" s="142"/>
      <c r="L105" s="14"/>
      <c r="M105" s="11"/>
      <c r="N105" s="57"/>
      <c r="AT105" s="69"/>
    </row>
    <row r="106" spans="1:46" s="70" customFormat="1" ht="14.4" thickBot="1" x14ac:dyDescent="0.35">
      <c r="A106" s="69"/>
      <c r="B106" s="69"/>
      <c r="C106" s="69"/>
      <c r="D106" s="69"/>
      <c r="E106" s="69"/>
      <c r="F106" s="69"/>
      <c r="G106" s="143"/>
      <c r="H106" s="143"/>
      <c r="I106" s="143"/>
      <c r="J106" s="143"/>
      <c r="K106" s="143"/>
      <c r="L106" s="14"/>
      <c r="M106" s="11"/>
      <c r="N106" s="57"/>
      <c r="AT106" s="69"/>
    </row>
    <row r="107" spans="1:46" s="70" customFormat="1" x14ac:dyDescent="0.3">
      <c r="A107" s="69"/>
      <c r="B107" s="69"/>
      <c r="C107" s="69"/>
      <c r="D107" s="69"/>
      <c r="E107" s="69"/>
      <c r="F107" s="69"/>
      <c r="G107" s="69"/>
      <c r="H107" s="69"/>
      <c r="I107" s="142"/>
      <c r="J107" s="142"/>
      <c r="K107" s="142"/>
      <c r="L107" s="11"/>
      <c r="M107" s="11"/>
      <c r="N107" s="57"/>
      <c r="AT107" s="69"/>
    </row>
    <row r="108" spans="1:46" s="70" customFormat="1" x14ac:dyDescent="0.3">
      <c r="A108" s="69"/>
      <c r="B108" s="69"/>
      <c r="C108" s="69"/>
      <c r="D108" s="69"/>
      <c r="E108" s="69"/>
      <c r="F108" s="69"/>
      <c r="G108" s="69"/>
      <c r="H108" s="69"/>
      <c r="I108" s="142"/>
      <c r="J108" s="142"/>
      <c r="K108" s="142"/>
      <c r="L108" s="11"/>
      <c r="M108" s="14"/>
      <c r="N108" s="57"/>
      <c r="AT108" s="69"/>
    </row>
    <row r="109" spans="1:46" s="70" customFormat="1" x14ac:dyDescent="0.3">
      <c r="A109" s="69"/>
      <c r="B109" s="69"/>
      <c r="C109" s="69"/>
      <c r="D109" s="69"/>
      <c r="E109" s="69"/>
      <c r="F109" s="69"/>
      <c r="G109" s="69"/>
      <c r="H109" s="69"/>
      <c r="I109" s="142"/>
      <c r="J109" s="142"/>
      <c r="K109" s="142"/>
      <c r="L109" s="11"/>
      <c r="M109" s="14"/>
      <c r="N109" s="57"/>
      <c r="AT109" s="69"/>
    </row>
    <row r="110" spans="1:46" s="70" customFormat="1" x14ac:dyDescent="0.3">
      <c r="A110" s="69"/>
      <c r="B110" s="69"/>
      <c r="C110" s="69"/>
      <c r="D110" s="69"/>
      <c r="E110" s="69"/>
      <c r="F110" s="69"/>
      <c r="G110" s="69"/>
      <c r="H110" s="69"/>
      <c r="I110" s="142"/>
      <c r="J110" s="142"/>
      <c r="K110" s="142"/>
      <c r="L110" s="11"/>
      <c r="M110" s="14"/>
      <c r="N110" s="57"/>
      <c r="AT110" s="69"/>
    </row>
    <row r="111" spans="1:46" s="70" customFormat="1" x14ac:dyDescent="0.3">
      <c r="A111" s="69"/>
      <c r="B111" s="69"/>
      <c r="C111" s="69"/>
      <c r="D111" s="69"/>
      <c r="E111" s="69"/>
      <c r="F111" s="69"/>
      <c r="G111" s="69"/>
      <c r="H111" s="69"/>
      <c r="I111" s="142"/>
      <c r="J111" s="142"/>
      <c r="K111" s="142"/>
      <c r="L111" s="11"/>
      <c r="M111" s="14"/>
      <c r="N111" s="57"/>
      <c r="AT111" s="69"/>
    </row>
    <row r="112" spans="1:46" s="70" customFormat="1" x14ac:dyDescent="0.3">
      <c r="A112" s="69"/>
      <c r="B112" s="69"/>
      <c r="C112" s="69"/>
      <c r="D112" s="69"/>
      <c r="E112" s="69"/>
      <c r="F112" s="69"/>
      <c r="G112" s="69"/>
      <c r="H112" s="69"/>
      <c r="I112" s="142"/>
      <c r="J112" s="142"/>
      <c r="K112" s="142"/>
      <c r="L112" s="11"/>
      <c r="M112" s="11"/>
      <c r="N112" s="57"/>
      <c r="AT112" s="69"/>
    </row>
    <row r="113" spans="7:46" s="70" customFormat="1" x14ac:dyDescent="0.3">
      <c r="G113" s="69"/>
      <c r="H113" s="69"/>
      <c r="I113" s="142"/>
      <c r="J113" s="142"/>
      <c r="K113" s="142"/>
      <c r="L113" s="11"/>
      <c r="M113" s="11"/>
      <c r="N113" s="57"/>
      <c r="AT113" s="69"/>
    </row>
    <row r="114" spans="7:46" s="70" customFormat="1" x14ac:dyDescent="0.3">
      <c r="I114" s="142"/>
      <c r="J114" s="142"/>
      <c r="K114" s="142"/>
      <c r="L114" s="69"/>
      <c r="M114" s="69"/>
      <c r="N114" s="69"/>
      <c r="AT114" s="69"/>
    </row>
    <row r="115" spans="7:46" s="70" customFormat="1" x14ac:dyDescent="0.3">
      <c r="I115" s="142"/>
      <c r="J115" s="142"/>
      <c r="K115" s="142"/>
      <c r="L115" s="69"/>
      <c r="M115" s="69"/>
      <c r="N115" s="69"/>
      <c r="AT115" s="69"/>
    </row>
    <row r="116" spans="7:46" s="70" customFormat="1" x14ac:dyDescent="0.3">
      <c r="I116" s="142"/>
      <c r="J116" s="142"/>
      <c r="K116" s="142"/>
      <c r="L116" s="69"/>
      <c r="M116" s="69"/>
      <c r="N116" s="69"/>
      <c r="AT116" s="69"/>
    </row>
    <row r="117" spans="7:46" s="70" customFormat="1" x14ac:dyDescent="0.3">
      <c r="I117" s="142"/>
      <c r="J117" s="142"/>
      <c r="K117" s="142"/>
      <c r="L117" s="69"/>
      <c r="M117" s="69"/>
      <c r="N117" s="69"/>
      <c r="AT117" s="69"/>
    </row>
    <row r="118" spans="7:46" s="70" customFormat="1" x14ac:dyDescent="0.3">
      <c r="I118" s="142"/>
      <c r="J118" s="142"/>
      <c r="K118" s="142"/>
      <c r="L118" s="69"/>
      <c r="M118" s="69"/>
      <c r="N118" s="69"/>
      <c r="AT118" s="69"/>
    </row>
    <row r="119" spans="7:46" s="70" customFormat="1" x14ac:dyDescent="0.3">
      <c r="I119" s="142"/>
      <c r="J119" s="142"/>
      <c r="K119" s="142"/>
      <c r="L119" s="69"/>
      <c r="M119" s="69"/>
      <c r="N119" s="69"/>
      <c r="AT119" s="69"/>
    </row>
    <row r="120" spans="7:46" s="70" customFormat="1" x14ac:dyDescent="0.3">
      <c r="I120" s="142"/>
      <c r="J120" s="142"/>
      <c r="K120" s="142"/>
      <c r="L120" s="69"/>
      <c r="M120" s="69"/>
      <c r="N120" s="69"/>
      <c r="AT120" s="69"/>
    </row>
    <row r="121" spans="7:46" s="70" customFormat="1" x14ac:dyDescent="0.3">
      <c r="I121" s="142"/>
      <c r="J121" s="142"/>
      <c r="K121" s="142"/>
      <c r="L121" s="144"/>
      <c r="M121" s="69"/>
      <c r="N121" s="69"/>
      <c r="AT121" s="69"/>
    </row>
    <row r="122" spans="7:46" s="70" customFormat="1" x14ac:dyDescent="0.3">
      <c r="I122" s="142"/>
      <c r="J122" s="142"/>
      <c r="K122" s="142"/>
      <c r="L122" s="144"/>
      <c r="M122" s="69"/>
      <c r="N122" s="69"/>
      <c r="AT122" s="69"/>
    </row>
    <row r="123" spans="7:46" s="70" customFormat="1" x14ac:dyDescent="0.3">
      <c r="I123" s="142"/>
      <c r="J123" s="142"/>
      <c r="K123" s="142"/>
      <c r="L123" s="144"/>
      <c r="M123" s="69"/>
      <c r="AT123" s="69"/>
    </row>
    <row r="124" spans="7:46" s="70" customFormat="1" x14ac:dyDescent="0.3">
      <c r="I124" s="142"/>
      <c r="J124" s="142"/>
      <c r="K124" s="142"/>
      <c r="L124" s="144"/>
      <c r="M124" s="69"/>
      <c r="AT124" s="69"/>
    </row>
    <row r="125" spans="7:46" s="70" customFormat="1" x14ac:dyDescent="0.3">
      <c r="I125" s="142"/>
      <c r="J125" s="142"/>
      <c r="K125" s="142"/>
      <c r="L125" s="144"/>
      <c r="M125" s="69"/>
      <c r="AT125" s="69"/>
    </row>
    <row r="126" spans="7:46" s="70" customFormat="1" x14ac:dyDescent="0.3">
      <c r="I126" s="142"/>
      <c r="J126" s="142"/>
      <c r="K126" s="142"/>
      <c r="L126" s="144"/>
      <c r="M126" s="144"/>
      <c r="AT126" s="69"/>
    </row>
    <row r="127" spans="7:46" s="70" customFormat="1" x14ac:dyDescent="0.3">
      <c r="I127" s="142"/>
      <c r="J127" s="142"/>
      <c r="K127" s="142"/>
      <c r="L127" s="144"/>
      <c r="M127" s="144"/>
      <c r="AT127" s="69"/>
    </row>
    <row r="128" spans="7:46" s="70" customFormat="1" x14ac:dyDescent="0.3">
      <c r="I128" s="142"/>
      <c r="J128" s="142"/>
      <c r="K128" s="142"/>
      <c r="L128" s="144"/>
      <c r="M128" s="144"/>
      <c r="AT128" s="69"/>
    </row>
    <row r="129" spans="9:46" s="70" customFormat="1" x14ac:dyDescent="0.3">
      <c r="I129" s="142"/>
      <c r="J129" s="142"/>
      <c r="K129" s="142"/>
      <c r="L129" s="144"/>
      <c r="M129" s="144"/>
      <c r="AT129" s="69"/>
    </row>
    <row r="130" spans="9:46" s="70" customFormat="1" x14ac:dyDescent="0.3">
      <c r="I130" s="142"/>
      <c r="J130" s="142"/>
      <c r="K130" s="142"/>
      <c r="L130" s="144"/>
      <c r="M130" s="144"/>
      <c r="AT130" s="69"/>
    </row>
    <row r="131" spans="9:46" s="70" customFormat="1" x14ac:dyDescent="0.3">
      <c r="I131" s="142"/>
      <c r="J131" s="142"/>
      <c r="K131" s="142"/>
      <c r="L131" s="144"/>
      <c r="M131" s="144"/>
      <c r="AT131" s="69"/>
    </row>
    <row r="132" spans="9:46" s="70" customFormat="1" x14ac:dyDescent="0.3">
      <c r="I132" s="142"/>
      <c r="J132" s="142"/>
      <c r="K132" s="142"/>
      <c r="L132" s="144"/>
      <c r="M132" s="144"/>
      <c r="AT132" s="69"/>
    </row>
    <row r="133" spans="9:46" s="70" customFormat="1" x14ac:dyDescent="0.3">
      <c r="I133" s="142"/>
      <c r="J133" s="142"/>
      <c r="K133" s="142"/>
      <c r="L133" s="144"/>
      <c r="M133" s="144"/>
      <c r="AT133" s="69"/>
    </row>
    <row r="134" spans="9:46" s="70" customFormat="1" x14ac:dyDescent="0.3">
      <c r="I134" s="142"/>
      <c r="J134" s="142"/>
      <c r="K134" s="142"/>
      <c r="L134" s="144"/>
      <c r="M134" s="144"/>
      <c r="AT134" s="69"/>
    </row>
    <row r="135" spans="9:46" s="70" customFormat="1" x14ac:dyDescent="0.3">
      <c r="I135" s="142"/>
      <c r="J135" s="142"/>
      <c r="K135" s="142"/>
      <c r="L135" s="144"/>
      <c r="M135" s="144"/>
      <c r="AT135" s="69"/>
    </row>
    <row r="136" spans="9:46" s="70" customFormat="1" x14ac:dyDescent="0.3">
      <c r="I136" s="142"/>
      <c r="J136" s="142"/>
      <c r="K136" s="142"/>
      <c r="L136" s="144"/>
      <c r="M136" s="144"/>
      <c r="AT136" s="69"/>
    </row>
    <row r="137" spans="9:46" s="70" customFormat="1" x14ac:dyDescent="0.3">
      <c r="I137" s="142"/>
      <c r="J137" s="142"/>
      <c r="K137" s="142"/>
      <c r="L137" s="144"/>
      <c r="M137" s="144"/>
      <c r="AT137" s="69"/>
    </row>
    <row r="138" spans="9:46" s="70" customFormat="1" x14ac:dyDescent="0.3">
      <c r="I138" s="142"/>
      <c r="J138" s="142"/>
      <c r="K138" s="142"/>
      <c r="L138" s="144"/>
      <c r="M138" s="144"/>
      <c r="AT138" s="69"/>
    </row>
    <row r="139" spans="9:46" s="70" customFormat="1" x14ac:dyDescent="0.3">
      <c r="I139" s="142"/>
      <c r="J139" s="142"/>
      <c r="K139" s="142"/>
      <c r="L139" s="144"/>
      <c r="M139" s="144"/>
      <c r="AT139" s="69"/>
    </row>
    <row r="140" spans="9:46" s="70" customFormat="1" x14ac:dyDescent="0.3">
      <c r="I140" s="142"/>
      <c r="J140" s="142"/>
      <c r="K140" s="142"/>
      <c r="L140" s="144"/>
      <c r="M140" s="144"/>
      <c r="AT140" s="69"/>
    </row>
    <row r="141" spans="9:46" s="70" customFormat="1" x14ac:dyDescent="0.3">
      <c r="I141" s="142"/>
      <c r="J141" s="142"/>
      <c r="K141" s="142"/>
      <c r="L141" s="144"/>
      <c r="M141" s="144"/>
      <c r="AT141" s="69"/>
    </row>
    <row r="142" spans="9:46" s="70" customFormat="1" x14ac:dyDescent="0.3">
      <c r="I142" s="142"/>
      <c r="J142" s="142"/>
      <c r="K142" s="142"/>
      <c r="L142" s="144"/>
      <c r="M142" s="144"/>
      <c r="AT142" s="69"/>
    </row>
    <row r="143" spans="9:46" s="70" customFormat="1" x14ac:dyDescent="0.3">
      <c r="I143" s="142"/>
      <c r="J143" s="142"/>
      <c r="K143" s="142"/>
      <c r="L143" s="144"/>
      <c r="M143" s="144"/>
      <c r="AT143" s="69"/>
    </row>
    <row r="144" spans="9:46" s="70" customFormat="1" x14ac:dyDescent="0.3">
      <c r="I144" s="142"/>
      <c r="J144" s="142"/>
      <c r="K144" s="142"/>
      <c r="L144" s="144"/>
      <c r="M144" s="144"/>
      <c r="AT144" s="69"/>
    </row>
    <row r="145" spans="9:46" s="70" customFormat="1" x14ac:dyDescent="0.3">
      <c r="I145" s="142"/>
      <c r="J145" s="142"/>
      <c r="K145" s="142"/>
      <c r="L145" s="144"/>
      <c r="M145" s="144"/>
      <c r="AT145" s="69"/>
    </row>
    <row r="146" spans="9:46" s="70" customFormat="1" x14ac:dyDescent="0.3">
      <c r="I146" s="142"/>
      <c r="J146" s="142"/>
      <c r="K146" s="142"/>
      <c r="L146" s="144"/>
      <c r="M146" s="144"/>
      <c r="AT146" s="69"/>
    </row>
    <row r="147" spans="9:46" s="70" customFormat="1" x14ac:dyDescent="0.3">
      <c r="I147" s="142"/>
      <c r="J147" s="142"/>
      <c r="K147" s="142"/>
      <c r="L147" s="144"/>
      <c r="M147" s="144"/>
      <c r="AT147" s="69"/>
    </row>
    <row r="148" spans="9:46" s="70" customFormat="1" x14ac:dyDescent="0.3">
      <c r="I148" s="142"/>
      <c r="J148" s="142"/>
      <c r="K148" s="142"/>
      <c r="L148" s="144"/>
      <c r="M148" s="144"/>
      <c r="AT148" s="69"/>
    </row>
    <row r="149" spans="9:46" s="70" customFormat="1" x14ac:dyDescent="0.3">
      <c r="I149" s="142"/>
      <c r="J149" s="142"/>
      <c r="K149" s="142"/>
      <c r="L149" s="144"/>
      <c r="M149" s="144"/>
      <c r="AT149" s="69"/>
    </row>
    <row r="150" spans="9:46" s="70" customFormat="1" x14ac:dyDescent="0.3">
      <c r="I150" s="142"/>
      <c r="J150" s="142"/>
      <c r="K150" s="142"/>
      <c r="L150" s="144"/>
      <c r="M150" s="144"/>
      <c r="AT150" s="69"/>
    </row>
    <row r="151" spans="9:46" s="70" customFormat="1" x14ac:dyDescent="0.3">
      <c r="I151" s="142"/>
      <c r="J151" s="142"/>
      <c r="K151" s="142"/>
      <c r="L151" s="144"/>
      <c r="M151" s="144"/>
      <c r="AT151" s="69"/>
    </row>
    <row r="152" spans="9:46" s="70" customFormat="1" x14ac:dyDescent="0.3">
      <c r="I152" s="142"/>
      <c r="J152" s="142"/>
      <c r="K152" s="142"/>
      <c r="L152" s="144"/>
      <c r="M152" s="144"/>
      <c r="AT152" s="69"/>
    </row>
    <row r="153" spans="9:46" s="70" customFormat="1" x14ac:dyDescent="0.3">
      <c r="I153" s="142"/>
      <c r="J153" s="142"/>
      <c r="K153" s="142"/>
      <c r="L153" s="144"/>
      <c r="M153" s="144"/>
      <c r="AT153" s="69"/>
    </row>
    <row r="154" spans="9:46" s="70" customFormat="1" x14ac:dyDescent="0.3">
      <c r="I154" s="142"/>
      <c r="J154" s="142"/>
      <c r="K154" s="142"/>
      <c r="L154" s="144"/>
      <c r="M154" s="144"/>
      <c r="AT154" s="69"/>
    </row>
    <row r="155" spans="9:46" s="70" customFormat="1" x14ac:dyDescent="0.3">
      <c r="I155" s="142"/>
      <c r="J155" s="142"/>
      <c r="K155" s="142"/>
      <c r="L155" s="144"/>
      <c r="M155" s="144"/>
      <c r="AT155" s="69"/>
    </row>
    <row r="156" spans="9:46" s="70" customFormat="1" x14ac:dyDescent="0.3">
      <c r="I156" s="142"/>
      <c r="J156" s="142"/>
      <c r="K156" s="142"/>
      <c r="L156" s="144"/>
      <c r="M156" s="144"/>
      <c r="AT156" s="69"/>
    </row>
    <row r="157" spans="9:46" s="70" customFormat="1" x14ac:dyDescent="0.3">
      <c r="I157" s="142"/>
      <c r="J157" s="142"/>
      <c r="K157" s="142"/>
      <c r="L157" s="144"/>
      <c r="M157" s="144"/>
      <c r="AT157" s="69"/>
    </row>
    <row r="158" spans="9:46" s="70" customFormat="1" x14ac:dyDescent="0.3">
      <c r="I158" s="142"/>
      <c r="J158" s="142"/>
      <c r="K158" s="142"/>
      <c r="L158" s="144"/>
      <c r="M158" s="144"/>
      <c r="AT158" s="69"/>
    </row>
    <row r="159" spans="9:46" s="70" customFormat="1" x14ac:dyDescent="0.3">
      <c r="I159" s="142"/>
      <c r="J159" s="142"/>
      <c r="K159" s="142"/>
      <c r="L159" s="144"/>
      <c r="M159" s="144"/>
      <c r="AT159" s="69"/>
    </row>
    <row r="160" spans="9:46" s="70" customFormat="1" x14ac:dyDescent="0.3">
      <c r="I160" s="142"/>
      <c r="J160" s="142"/>
      <c r="K160" s="142"/>
      <c r="L160" s="144"/>
      <c r="M160" s="144"/>
      <c r="AT160" s="69"/>
    </row>
    <row r="161" spans="1:47" s="70" customFormat="1" x14ac:dyDescent="0.3">
      <c r="I161" s="142"/>
      <c r="J161" s="142"/>
      <c r="K161" s="142"/>
      <c r="L161" s="144"/>
      <c r="M161" s="144"/>
      <c r="AT161" s="69"/>
    </row>
    <row r="162" spans="1:47" s="70" customFormat="1" x14ac:dyDescent="0.3">
      <c r="I162" s="142"/>
      <c r="J162" s="142"/>
      <c r="K162" s="142"/>
      <c r="L162" s="144"/>
      <c r="M162" s="144"/>
      <c r="AT162" s="69"/>
    </row>
    <row r="163" spans="1:47" s="70" customFormat="1" x14ac:dyDescent="0.3">
      <c r="I163" s="142"/>
      <c r="J163" s="142"/>
      <c r="K163" s="142"/>
      <c r="L163" s="144"/>
      <c r="M163" s="144"/>
      <c r="AT163" s="69"/>
    </row>
    <row r="164" spans="1:47" s="70" customFormat="1" x14ac:dyDescent="0.3">
      <c r="I164" s="142"/>
      <c r="J164" s="142"/>
      <c r="K164" s="142"/>
      <c r="L164" s="144"/>
      <c r="M164" s="144"/>
      <c r="AT164" s="69"/>
    </row>
    <row r="165" spans="1:47" s="70" customFormat="1" x14ac:dyDescent="0.3">
      <c r="I165" s="142"/>
      <c r="J165" s="142"/>
      <c r="K165" s="142"/>
      <c r="L165" s="144"/>
      <c r="M165" s="144"/>
      <c r="AT165" s="69"/>
    </row>
    <row r="166" spans="1:47" s="70" customFormat="1" x14ac:dyDescent="0.3">
      <c r="I166" s="142"/>
      <c r="J166" s="142"/>
      <c r="K166" s="142"/>
      <c r="L166" s="144"/>
      <c r="M166" s="144"/>
      <c r="AT166" s="69"/>
    </row>
    <row r="167" spans="1:47" s="70" customFormat="1" x14ac:dyDescent="0.3">
      <c r="I167" s="142"/>
      <c r="J167" s="142"/>
      <c r="K167" s="142"/>
      <c r="L167" s="144"/>
      <c r="M167" s="144"/>
      <c r="AT167" s="69"/>
    </row>
    <row r="168" spans="1:47" s="70" customFormat="1" x14ac:dyDescent="0.3">
      <c r="I168" s="142"/>
      <c r="J168" s="142"/>
      <c r="K168" s="142"/>
      <c r="L168" s="144"/>
      <c r="M168" s="144"/>
      <c r="AT168" s="69"/>
    </row>
    <row r="169" spans="1:47" s="145" customFormat="1" x14ac:dyDescent="0.3">
      <c r="A169" s="70"/>
      <c r="B169" s="70"/>
      <c r="C169" s="70"/>
      <c r="D169" s="70"/>
      <c r="E169" s="70"/>
      <c r="F169" s="70"/>
      <c r="G169" s="70"/>
      <c r="H169" s="70"/>
      <c r="I169" s="142"/>
      <c r="J169" s="142"/>
      <c r="K169" s="142"/>
      <c r="L169" s="144"/>
      <c r="M169" s="144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69"/>
      <c r="AU169" s="70"/>
    </row>
    <row r="170" spans="1:47" s="145" customFormat="1" x14ac:dyDescent="0.3">
      <c r="A170" s="70"/>
      <c r="B170" s="70"/>
      <c r="C170" s="70"/>
      <c r="D170" s="70"/>
      <c r="E170" s="70"/>
      <c r="F170" s="70"/>
      <c r="G170" s="70"/>
      <c r="H170" s="70"/>
      <c r="I170" s="142"/>
      <c r="J170" s="142"/>
      <c r="K170" s="142"/>
      <c r="L170" s="144"/>
      <c r="M170" s="144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69"/>
      <c r="AU170" s="70"/>
    </row>
    <row r="171" spans="1:47" s="145" customFormat="1" x14ac:dyDescent="0.3">
      <c r="A171" s="70"/>
      <c r="B171" s="70"/>
      <c r="C171" s="70"/>
      <c r="D171" s="70"/>
      <c r="E171" s="70"/>
      <c r="F171" s="70"/>
      <c r="G171" s="70"/>
      <c r="H171" s="70"/>
      <c r="I171" s="142"/>
      <c r="J171" s="142"/>
      <c r="K171" s="142"/>
      <c r="L171" s="144"/>
      <c r="M171" s="144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69"/>
      <c r="AU171" s="70"/>
    </row>
    <row r="172" spans="1:47" s="145" customFormat="1" x14ac:dyDescent="0.3">
      <c r="A172" s="70"/>
      <c r="B172" s="70"/>
      <c r="C172" s="70"/>
      <c r="D172" s="70"/>
      <c r="E172" s="70"/>
      <c r="F172" s="70"/>
      <c r="G172" s="70"/>
      <c r="H172" s="70"/>
      <c r="I172" s="142"/>
      <c r="J172" s="142"/>
      <c r="K172" s="142"/>
      <c r="L172" s="144"/>
      <c r="M172" s="144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69"/>
      <c r="AU172" s="70"/>
    </row>
    <row r="173" spans="1:47" s="145" customFormat="1" x14ac:dyDescent="0.3">
      <c r="A173" s="70"/>
      <c r="B173" s="70"/>
      <c r="C173" s="70"/>
      <c r="D173" s="70"/>
      <c r="E173" s="70"/>
      <c r="F173" s="70"/>
      <c r="G173" s="70"/>
      <c r="H173" s="70"/>
      <c r="I173" s="142"/>
      <c r="J173" s="142"/>
      <c r="K173" s="142"/>
      <c r="L173" s="144"/>
      <c r="M173" s="144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69"/>
      <c r="AU173" s="70"/>
    </row>
    <row r="174" spans="1:47" s="145" customFormat="1" x14ac:dyDescent="0.3">
      <c r="A174" s="70"/>
      <c r="B174" s="70"/>
      <c r="C174" s="70"/>
      <c r="D174" s="70"/>
      <c r="E174" s="70"/>
      <c r="F174" s="70"/>
      <c r="G174" s="70"/>
      <c r="H174" s="70"/>
      <c r="I174" s="142"/>
      <c r="J174" s="142"/>
      <c r="K174" s="142"/>
      <c r="L174" s="144"/>
      <c r="M174" s="144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69"/>
      <c r="AU174" s="70"/>
    </row>
    <row r="175" spans="1:47" s="145" customFormat="1" x14ac:dyDescent="0.3">
      <c r="A175" s="70"/>
      <c r="B175" s="70"/>
      <c r="C175" s="70"/>
      <c r="D175" s="70"/>
      <c r="E175" s="70"/>
      <c r="F175" s="70"/>
      <c r="G175" s="70"/>
      <c r="H175" s="70"/>
      <c r="I175" s="142"/>
      <c r="J175" s="142"/>
      <c r="K175" s="142"/>
      <c r="L175" s="144"/>
      <c r="M175" s="144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69"/>
      <c r="AU175" s="70"/>
    </row>
    <row r="176" spans="1:47" s="145" customFormat="1" x14ac:dyDescent="0.3">
      <c r="A176" s="70"/>
      <c r="B176" s="70"/>
      <c r="C176" s="70"/>
      <c r="D176" s="70"/>
      <c r="E176" s="70"/>
      <c r="F176" s="70"/>
      <c r="G176" s="70"/>
      <c r="H176" s="70"/>
      <c r="I176" s="142"/>
      <c r="J176" s="142"/>
      <c r="K176" s="142"/>
      <c r="L176" s="144"/>
      <c r="M176" s="144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69"/>
      <c r="AU176" s="70"/>
    </row>
    <row r="177" spans="1:47" s="145" customFormat="1" x14ac:dyDescent="0.3">
      <c r="A177" s="70"/>
      <c r="B177" s="70"/>
      <c r="C177" s="70"/>
      <c r="D177" s="70"/>
      <c r="E177" s="70"/>
      <c r="F177" s="70"/>
      <c r="G177" s="70"/>
      <c r="H177" s="70"/>
      <c r="I177" s="142"/>
      <c r="J177" s="142"/>
      <c r="K177" s="142"/>
      <c r="L177" s="144"/>
      <c r="M177" s="144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69"/>
      <c r="AU177" s="70"/>
    </row>
    <row r="178" spans="1:47" s="145" customFormat="1" x14ac:dyDescent="0.3">
      <c r="A178" s="70"/>
      <c r="B178" s="70"/>
      <c r="C178" s="70"/>
      <c r="D178" s="70"/>
      <c r="E178" s="70"/>
      <c r="F178" s="70"/>
      <c r="G178" s="70"/>
      <c r="H178" s="70"/>
      <c r="I178" s="142"/>
      <c r="J178" s="142"/>
      <c r="K178" s="142"/>
      <c r="L178" s="144"/>
      <c r="M178" s="144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69"/>
      <c r="AU178" s="70"/>
    </row>
    <row r="179" spans="1:47" s="145" customFormat="1" x14ac:dyDescent="0.3">
      <c r="A179" s="70"/>
      <c r="B179" s="70"/>
      <c r="C179" s="70"/>
      <c r="D179" s="70"/>
      <c r="E179" s="70"/>
      <c r="F179" s="70"/>
      <c r="G179" s="70"/>
      <c r="H179" s="70"/>
      <c r="I179" s="142"/>
      <c r="J179" s="142"/>
      <c r="K179" s="142"/>
      <c r="L179" s="144"/>
      <c r="M179" s="144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69"/>
      <c r="AU179" s="70"/>
    </row>
    <row r="180" spans="1:47" s="145" customFormat="1" x14ac:dyDescent="0.3">
      <c r="A180" s="70"/>
      <c r="B180" s="70"/>
      <c r="C180" s="70"/>
      <c r="D180" s="70"/>
      <c r="E180" s="70"/>
      <c r="F180" s="70"/>
      <c r="G180" s="70"/>
      <c r="H180" s="70"/>
      <c r="I180" s="142"/>
      <c r="J180" s="142"/>
      <c r="K180" s="142"/>
      <c r="L180" s="144"/>
      <c r="M180" s="144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69"/>
      <c r="AU180" s="70"/>
    </row>
    <row r="181" spans="1:47" s="145" customFormat="1" x14ac:dyDescent="0.3">
      <c r="A181" s="70"/>
      <c r="B181" s="70"/>
      <c r="C181" s="70"/>
      <c r="D181" s="70"/>
      <c r="E181" s="70"/>
      <c r="F181" s="70"/>
      <c r="G181" s="70"/>
      <c r="H181" s="70"/>
      <c r="I181" s="146"/>
      <c r="J181" s="146"/>
      <c r="K181" s="146"/>
      <c r="L181" s="144"/>
      <c r="M181" s="144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69"/>
      <c r="AU181" s="70"/>
    </row>
    <row r="182" spans="1:47" s="145" customFormat="1" x14ac:dyDescent="0.3">
      <c r="A182" s="70"/>
      <c r="B182" s="70"/>
      <c r="C182" s="70"/>
      <c r="D182" s="70"/>
      <c r="E182" s="70"/>
      <c r="F182" s="70"/>
      <c r="G182" s="70"/>
      <c r="H182" s="70"/>
      <c r="I182" s="146"/>
      <c r="J182" s="146"/>
      <c r="K182" s="146"/>
      <c r="L182" s="144"/>
      <c r="M182" s="144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69"/>
      <c r="AU182" s="70"/>
    </row>
    <row r="183" spans="1:47" s="145" customFormat="1" x14ac:dyDescent="0.3">
      <c r="A183" s="70"/>
      <c r="B183" s="70"/>
      <c r="C183" s="70"/>
      <c r="D183" s="70"/>
      <c r="E183" s="70"/>
      <c r="F183" s="70"/>
      <c r="G183" s="70"/>
      <c r="H183" s="70"/>
      <c r="I183" s="146"/>
      <c r="J183" s="146"/>
      <c r="K183" s="146"/>
      <c r="L183" s="144"/>
      <c r="M183" s="144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69"/>
      <c r="AU183" s="70"/>
    </row>
    <row r="184" spans="1:47" s="145" customFormat="1" x14ac:dyDescent="0.3">
      <c r="A184" s="70"/>
      <c r="B184" s="70"/>
      <c r="C184" s="70"/>
      <c r="D184" s="70"/>
      <c r="E184" s="70"/>
      <c r="F184" s="70"/>
      <c r="G184" s="70"/>
      <c r="H184" s="70"/>
      <c r="I184" s="146"/>
      <c r="J184" s="146"/>
      <c r="K184" s="146"/>
      <c r="L184" s="144"/>
      <c r="M184" s="144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69"/>
      <c r="AU184" s="70"/>
    </row>
    <row r="185" spans="1:47" s="145" customFormat="1" x14ac:dyDescent="0.3">
      <c r="A185" s="70"/>
      <c r="B185" s="70"/>
      <c r="C185" s="70"/>
      <c r="D185" s="70"/>
      <c r="E185" s="70"/>
      <c r="F185" s="70"/>
      <c r="G185" s="70"/>
      <c r="H185" s="70"/>
      <c r="I185" s="146"/>
      <c r="J185" s="146"/>
      <c r="K185" s="146"/>
      <c r="L185" s="144"/>
      <c r="M185" s="144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69"/>
      <c r="AU185" s="70"/>
    </row>
    <row r="186" spans="1:47" x14ac:dyDescent="0.3">
      <c r="A186" s="70"/>
      <c r="B186" s="70"/>
      <c r="C186" s="70"/>
      <c r="D186" s="70"/>
      <c r="E186" s="70"/>
      <c r="F186" s="70"/>
      <c r="G186" s="70"/>
      <c r="H186" s="70"/>
      <c r="I186" s="146"/>
      <c r="J186" s="146"/>
      <c r="K186" s="146"/>
      <c r="L186" s="144"/>
      <c r="M186" s="144"/>
      <c r="N186" s="70"/>
      <c r="AT186" s="148"/>
      <c r="AU186" s="148"/>
    </row>
    <row r="187" spans="1:47" x14ac:dyDescent="0.3">
      <c r="A187" s="70"/>
      <c r="B187" s="70"/>
      <c r="C187" s="70"/>
      <c r="D187" s="70"/>
      <c r="E187" s="70"/>
      <c r="F187" s="70"/>
      <c r="G187" s="70"/>
      <c r="H187" s="70"/>
      <c r="I187" s="146"/>
      <c r="J187" s="146"/>
      <c r="K187" s="146"/>
      <c r="L187" s="144"/>
      <c r="M187" s="144"/>
      <c r="N187" s="70"/>
      <c r="AT187" s="148"/>
      <c r="AU187" s="148"/>
    </row>
    <row r="188" spans="1:47" x14ac:dyDescent="0.3">
      <c r="A188" s="70"/>
      <c r="B188" s="70"/>
      <c r="C188" s="70"/>
      <c r="D188" s="70"/>
      <c r="E188" s="70"/>
      <c r="F188" s="70"/>
      <c r="G188" s="70"/>
      <c r="H188" s="70"/>
      <c r="I188" s="146"/>
      <c r="J188" s="146"/>
      <c r="K188" s="146"/>
      <c r="L188" s="144"/>
      <c r="M188" s="144"/>
      <c r="N188" s="70"/>
      <c r="AT188" s="148"/>
      <c r="AU188" s="148"/>
    </row>
    <row r="189" spans="1:47" x14ac:dyDescent="0.3">
      <c r="A189" s="70"/>
      <c r="B189" s="70"/>
      <c r="C189" s="70"/>
      <c r="D189" s="70"/>
      <c r="E189" s="70"/>
      <c r="F189" s="70"/>
      <c r="G189" s="70"/>
      <c r="H189" s="70"/>
      <c r="I189" s="146"/>
      <c r="J189" s="146"/>
      <c r="K189" s="146"/>
      <c r="L189" s="144"/>
      <c r="M189" s="144"/>
      <c r="N189" s="70"/>
      <c r="AT189" s="148"/>
      <c r="AU189" s="148"/>
    </row>
    <row r="190" spans="1:47" x14ac:dyDescent="0.3">
      <c r="A190" s="149"/>
      <c r="B190" s="149"/>
      <c r="C190" s="149"/>
      <c r="D190" s="149"/>
      <c r="E190" s="149"/>
      <c r="F190" s="149"/>
      <c r="G190" s="70"/>
      <c r="H190" s="70"/>
      <c r="I190" s="146"/>
      <c r="J190" s="146"/>
      <c r="K190" s="146"/>
      <c r="L190" s="144"/>
      <c r="M190" s="144"/>
      <c r="N190" s="70"/>
      <c r="AT190" s="148"/>
      <c r="AU190" s="148"/>
    </row>
    <row r="191" spans="1:47" x14ac:dyDescent="0.3">
      <c r="A191" s="149"/>
      <c r="B191" s="149"/>
      <c r="C191" s="149"/>
      <c r="D191" s="149"/>
      <c r="E191" s="149"/>
      <c r="F191" s="149"/>
      <c r="G191" s="149"/>
      <c r="H191" s="149"/>
      <c r="I191" s="146"/>
      <c r="J191" s="146"/>
      <c r="K191" s="146"/>
      <c r="L191" s="144"/>
      <c r="M191" s="144"/>
      <c r="N191" s="70"/>
      <c r="AT191" s="148"/>
      <c r="AU191" s="148"/>
    </row>
    <row r="192" spans="1:47" x14ac:dyDescent="0.3">
      <c r="A192" s="149"/>
      <c r="B192" s="149"/>
      <c r="C192" s="149"/>
      <c r="D192" s="149"/>
      <c r="E192" s="149"/>
      <c r="F192" s="149"/>
      <c r="G192" s="149"/>
      <c r="H192" s="149"/>
      <c r="I192" s="146"/>
      <c r="J192" s="146"/>
      <c r="K192" s="146"/>
      <c r="L192" s="144"/>
      <c r="M192" s="144"/>
      <c r="N192" s="70"/>
      <c r="AT192" s="148"/>
      <c r="AU192" s="148"/>
    </row>
    <row r="193" spans="1:47" x14ac:dyDescent="0.3">
      <c r="A193" s="149"/>
      <c r="B193" s="149"/>
      <c r="C193" s="149"/>
      <c r="D193" s="149"/>
      <c r="E193" s="149"/>
      <c r="F193" s="149"/>
      <c r="G193" s="149"/>
      <c r="H193" s="149"/>
      <c r="I193" s="146"/>
      <c r="J193" s="146"/>
      <c r="K193" s="146"/>
      <c r="L193" s="144"/>
      <c r="M193" s="144"/>
      <c r="N193" s="70"/>
      <c r="AT193" s="148"/>
      <c r="AU193" s="148"/>
    </row>
    <row r="194" spans="1:47" x14ac:dyDescent="0.3">
      <c r="A194" s="149"/>
      <c r="B194" s="149"/>
      <c r="C194" s="149"/>
      <c r="D194" s="149"/>
      <c r="E194" s="149"/>
      <c r="F194" s="149"/>
      <c r="G194" s="149"/>
      <c r="H194" s="149"/>
      <c r="I194" s="146"/>
      <c r="J194" s="146"/>
      <c r="K194" s="146"/>
      <c r="L194" s="144"/>
      <c r="M194" s="144"/>
      <c r="N194" s="70"/>
      <c r="AT194" s="148"/>
      <c r="AU194" s="148"/>
    </row>
    <row r="195" spans="1:47" x14ac:dyDescent="0.3">
      <c r="A195" s="149"/>
      <c r="B195" s="149"/>
      <c r="C195" s="149"/>
      <c r="D195" s="149"/>
      <c r="E195" s="149"/>
      <c r="F195" s="149"/>
      <c r="G195" s="149"/>
      <c r="H195" s="149"/>
      <c r="I195" s="146"/>
      <c r="J195" s="146"/>
      <c r="K195" s="146"/>
      <c r="L195" s="144"/>
      <c r="M195" s="144"/>
      <c r="N195" s="70"/>
      <c r="AT195" s="148"/>
      <c r="AU195" s="148"/>
    </row>
    <row r="196" spans="1:47" x14ac:dyDescent="0.3">
      <c r="A196" s="149"/>
      <c r="B196" s="149"/>
      <c r="C196" s="149"/>
      <c r="D196" s="149"/>
      <c r="E196" s="149"/>
      <c r="F196" s="149"/>
      <c r="G196" s="149"/>
      <c r="H196" s="149"/>
      <c r="I196" s="146"/>
      <c r="J196" s="146"/>
      <c r="K196" s="146"/>
      <c r="L196" s="144"/>
      <c r="M196" s="144"/>
      <c r="N196" s="70"/>
      <c r="AT196" s="148"/>
      <c r="AU196" s="148"/>
    </row>
    <row r="197" spans="1:47" x14ac:dyDescent="0.3">
      <c r="A197" s="149"/>
      <c r="B197" s="149"/>
      <c r="C197" s="149"/>
      <c r="D197" s="149"/>
      <c r="E197" s="149"/>
      <c r="F197" s="149"/>
      <c r="G197" s="149"/>
      <c r="H197" s="149"/>
      <c r="I197" s="146"/>
      <c r="J197" s="146"/>
      <c r="K197" s="146"/>
      <c r="L197" s="144"/>
      <c r="M197" s="144"/>
      <c r="N197" s="70"/>
      <c r="AT197" s="148"/>
      <c r="AU197" s="148"/>
    </row>
    <row r="198" spans="1:47" x14ac:dyDescent="0.3">
      <c r="A198" s="149"/>
      <c r="B198" s="149"/>
      <c r="C198" s="149"/>
      <c r="D198" s="149"/>
      <c r="E198" s="149"/>
      <c r="F198" s="149"/>
      <c r="G198" s="149"/>
      <c r="H198" s="149"/>
      <c r="L198" s="147"/>
      <c r="M198" s="144"/>
      <c r="N198" s="70"/>
    </row>
    <row r="199" spans="1:47" x14ac:dyDescent="0.3">
      <c r="A199" s="149"/>
      <c r="B199" s="149"/>
      <c r="C199" s="149"/>
      <c r="D199" s="149"/>
      <c r="E199" s="149"/>
      <c r="F199" s="149"/>
      <c r="G199" s="149"/>
      <c r="H199" s="149"/>
      <c r="L199" s="147"/>
      <c r="M199" s="144"/>
      <c r="N199" s="70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69"/>
      <c r="AJ199" s="69"/>
      <c r="AK199" s="69"/>
      <c r="AL199" s="69"/>
      <c r="AM199" s="69"/>
      <c r="AN199" s="69"/>
      <c r="AO199" s="69"/>
      <c r="AP199" s="69"/>
      <c r="AQ199" s="69"/>
      <c r="AR199" s="69"/>
      <c r="AS199" s="69"/>
      <c r="AT199" s="148"/>
      <c r="AU199" s="148"/>
    </row>
    <row r="200" spans="1:47" x14ac:dyDescent="0.3">
      <c r="A200" s="149"/>
      <c r="B200" s="149"/>
      <c r="C200" s="149"/>
      <c r="D200" s="149"/>
      <c r="E200" s="149"/>
      <c r="F200" s="149"/>
      <c r="G200" s="149"/>
      <c r="H200" s="149"/>
      <c r="L200" s="147"/>
      <c r="M200" s="144"/>
      <c r="N200" s="70"/>
    </row>
    <row r="201" spans="1:47" x14ac:dyDescent="0.3">
      <c r="A201" s="149"/>
      <c r="B201" s="149"/>
      <c r="C201" s="149"/>
      <c r="D201" s="149"/>
      <c r="E201" s="149"/>
      <c r="F201" s="149"/>
      <c r="G201" s="149"/>
      <c r="H201" s="149"/>
      <c r="L201" s="147"/>
      <c r="M201" s="144"/>
      <c r="N201" s="149"/>
    </row>
    <row r="202" spans="1:47" x14ac:dyDescent="0.3">
      <c r="A202" s="149"/>
      <c r="B202" s="149"/>
      <c r="C202" s="149"/>
      <c r="D202" s="149"/>
      <c r="E202" s="149"/>
      <c r="F202" s="149"/>
      <c r="G202" s="149"/>
      <c r="H202" s="149"/>
      <c r="L202" s="147"/>
      <c r="M202" s="144"/>
      <c r="N202" s="149"/>
    </row>
    <row r="203" spans="1:47" x14ac:dyDescent="0.3">
      <c r="A203" s="149"/>
      <c r="B203" s="149"/>
      <c r="C203" s="149"/>
      <c r="D203" s="149"/>
      <c r="E203" s="149"/>
      <c r="F203" s="149"/>
      <c r="G203" s="149"/>
      <c r="H203" s="149"/>
      <c r="L203" s="147"/>
      <c r="M203" s="147"/>
      <c r="N203" s="149"/>
    </row>
    <row r="204" spans="1:47" x14ac:dyDescent="0.3">
      <c r="A204" s="149"/>
      <c r="B204" s="149"/>
      <c r="C204" s="149"/>
      <c r="D204" s="149"/>
      <c r="E204" s="149"/>
      <c r="F204" s="149"/>
      <c r="G204" s="149"/>
      <c r="H204" s="149"/>
      <c r="L204" s="147"/>
      <c r="M204" s="147"/>
      <c r="N204" s="149"/>
    </row>
    <row r="205" spans="1:47" x14ac:dyDescent="0.3">
      <c r="A205" s="149"/>
      <c r="B205" s="149"/>
      <c r="C205" s="149"/>
      <c r="D205" s="149"/>
      <c r="E205" s="149"/>
      <c r="F205" s="149"/>
      <c r="G205" s="149"/>
      <c r="H205" s="149"/>
      <c r="L205" s="147"/>
      <c r="M205" s="147"/>
      <c r="N205" s="149"/>
    </row>
    <row r="206" spans="1:47" x14ac:dyDescent="0.3">
      <c r="A206" s="149"/>
      <c r="B206" s="149"/>
      <c r="C206" s="149"/>
      <c r="D206" s="149"/>
      <c r="E206" s="149"/>
      <c r="F206" s="149"/>
      <c r="G206" s="149"/>
      <c r="H206" s="149"/>
      <c r="L206" s="147"/>
      <c r="M206" s="147"/>
      <c r="N206" s="149"/>
    </row>
    <row r="207" spans="1:47" x14ac:dyDescent="0.3">
      <c r="G207" s="149"/>
      <c r="H207" s="149"/>
      <c r="L207" s="147"/>
      <c r="M207" s="147"/>
      <c r="N207" s="149"/>
    </row>
    <row r="208" spans="1:47" x14ac:dyDescent="0.3">
      <c r="L208" s="147"/>
      <c r="M208" s="147"/>
      <c r="N208" s="149"/>
    </row>
    <row r="209" spans="9:14" x14ac:dyDescent="0.3">
      <c r="L209" s="147"/>
      <c r="M209" s="147"/>
      <c r="N209" s="149"/>
    </row>
    <row r="210" spans="9:14" x14ac:dyDescent="0.3">
      <c r="L210" s="147"/>
      <c r="M210" s="147"/>
      <c r="N210" s="149"/>
    </row>
    <row r="211" spans="9:14" x14ac:dyDescent="0.3">
      <c r="I211" s="148"/>
      <c r="J211" s="148"/>
      <c r="K211" s="148"/>
      <c r="L211" s="147"/>
      <c r="M211" s="147"/>
      <c r="N211" s="149"/>
    </row>
    <row r="212" spans="9:14" x14ac:dyDescent="0.3">
      <c r="L212" s="147"/>
      <c r="M212" s="147"/>
      <c r="N212" s="149"/>
    </row>
    <row r="213" spans="9:14" x14ac:dyDescent="0.3">
      <c r="L213" s="147"/>
      <c r="M213" s="147"/>
    </row>
    <row r="214" spans="9:14" x14ac:dyDescent="0.3">
      <c r="L214" s="147"/>
      <c r="M214" s="147"/>
    </row>
    <row r="215" spans="9:14" x14ac:dyDescent="0.3">
      <c r="M215" s="147"/>
    </row>
    <row r="216" spans="9:14" x14ac:dyDescent="0.3">
      <c r="M216" s="147"/>
    </row>
    <row r="217" spans="9:14" x14ac:dyDescent="0.3">
      <c r="M217" s="147"/>
    </row>
    <row r="218" spans="9:14" x14ac:dyDescent="0.3">
      <c r="M218" s="147"/>
    </row>
    <row r="219" spans="9:14" x14ac:dyDescent="0.3">
      <c r="L219" s="148"/>
      <c r="M219" s="147"/>
    </row>
    <row r="1048543" spans="1:58" s="70" customFormat="1" x14ac:dyDescent="0.3">
      <c r="A1048543" s="148"/>
      <c r="B1048543" s="148"/>
      <c r="C1048543" s="148"/>
      <c r="D1048543" s="148"/>
      <c r="E1048543" s="148"/>
      <c r="F1048543" s="148"/>
      <c r="G1048543" s="148"/>
      <c r="H1048543" s="148"/>
      <c r="I1048543" s="150"/>
      <c r="J1048543" s="150"/>
      <c r="K1048543" s="150"/>
      <c r="L1048543" s="150"/>
      <c r="M1048543" s="150"/>
      <c r="N1048543" s="148"/>
      <c r="AT1048543" s="69"/>
      <c r="AU1048543" s="69"/>
      <c r="AV1048543" s="148"/>
      <c r="AW1048543" s="148"/>
      <c r="AX1048543" s="148"/>
      <c r="AY1048543" s="148"/>
      <c r="AZ1048543" s="148"/>
      <c r="BA1048543" s="148"/>
      <c r="BB1048543" s="148"/>
      <c r="BC1048543" s="148"/>
      <c r="BD1048543" s="148"/>
      <c r="BE1048543" s="148"/>
      <c r="BF1048543" s="148"/>
    </row>
    <row r="1048557" spans="14:14" x14ac:dyDescent="0.3">
      <c r="N1048557" s="57"/>
    </row>
  </sheetData>
  <mergeCells count="55">
    <mergeCell ref="L90:M90"/>
    <mergeCell ref="L91:M91"/>
    <mergeCell ref="L92:N92"/>
    <mergeCell ref="L93:M93"/>
    <mergeCell ref="A2:N2"/>
    <mergeCell ref="A11:B11"/>
    <mergeCell ref="L56:M56"/>
    <mergeCell ref="L61:M61"/>
    <mergeCell ref="L63:M63"/>
    <mergeCell ref="L68:M68"/>
    <mergeCell ref="L84:M84"/>
    <mergeCell ref="L85:M85"/>
    <mergeCell ref="L86:M86"/>
    <mergeCell ref="L87:M87"/>
    <mergeCell ref="L88:M88"/>
    <mergeCell ref="L89:M89"/>
    <mergeCell ref="L83:M83"/>
    <mergeCell ref="L72:M72"/>
    <mergeCell ref="L73:M73"/>
    <mergeCell ref="L74:M74"/>
    <mergeCell ref="L75:M75"/>
    <mergeCell ref="L76:M76"/>
    <mergeCell ref="L77:M77"/>
    <mergeCell ref="L78:M78"/>
    <mergeCell ref="L79:M79"/>
    <mergeCell ref="L80:M80"/>
    <mergeCell ref="L81:M81"/>
    <mergeCell ref="L82:M82"/>
    <mergeCell ref="L71:M71"/>
    <mergeCell ref="L53:N54"/>
    <mergeCell ref="L55:N55"/>
    <mergeCell ref="L57:M57"/>
    <mergeCell ref="L58:M58"/>
    <mergeCell ref="L59:M59"/>
    <mergeCell ref="L60:M60"/>
    <mergeCell ref="L62:M62"/>
    <mergeCell ref="L64:M64"/>
    <mergeCell ref="L65:M65"/>
    <mergeCell ref="L66:M66"/>
    <mergeCell ref="L70:M70"/>
    <mergeCell ref="A1:N1"/>
    <mergeCell ref="A13:N13"/>
    <mergeCell ref="A42:B42"/>
    <mergeCell ref="L67:M67"/>
    <mergeCell ref="L69:M69"/>
    <mergeCell ref="L52:M52"/>
    <mergeCell ref="A44:L44"/>
    <mergeCell ref="A45:N45"/>
    <mergeCell ref="D46:H46"/>
    <mergeCell ref="D47:H47"/>
    <mergeCell ref="A48:H48"/>
    <mergeCell ref="A49:N49"/>
    <mergeCell ref="A50:F50"/>
    <mergeCell ref="L50:N50"/>
    <mergeCell ref="L51:M51"/>
  </mergeCells>
  <pageMargins left="0" right="0" top="0" bottom="0" header="0.31496062992125984" footer="0.31496062992125984"/>
  <pageSetup paperSize="9" scale="1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7F86A-0145-45BA-AC3C-3D57AD06740A}">
  <sheetPr>
    <pageSetUpPr fitToPage="1"/>
  </sheetPr>
  <dimension ref="A1:BF1048556"/>
  <sheetViews>
    <sheetView zoomScale="70" zoomScaleNormal="70" workbookViewId="0">
      <selection activeCell="A3" sqref="A3"/>
    </sheetView>
  </sheetViews>
  <sheetFormatPr defaultColWidth="9.109375" defaultRowHeight="13.8" x14ac:dyDescent="0.3"/>
  <cols>
    <col min="1" max="1" width="24.33203125" style="148" customWidth="1"/>
    <col min="2" max="2" width="12" style="148" bestFit="1" customWidth="1"/>
    <col min="3" max="3" width="18" style="148" bestFit="1" customWidth="1"/>
    <col min="4" max="4" width="17.5546875" style="148" bestFit="1" customWidth="1"/>
    <col min="5" max="5" width="18.44140625" style="148" customWidth="1"/>
    <col min="6" max="6" width="17.6640625" style="148" customWidth="1"/>
    <col min="7" max="7" width="14.109375" style="148" bestFit="1" customWidth="1"/>
    <col min="8" max="8" width="15.109375" style="148" bestFit="1" customWidth="1"/>
    <col min="9" max="9" width="19.109375" style="150" bestFit="1" customWidth="1"/>
    <col min="10" max="10" width="17.109375" style="150" bestFit="1" customWidth="1"/>
    <col min="11" max="11" width="18" style="150" bestFit="1" customWidth="1"/>
    <col min="12" max="12" width="121.44140625" style="150" bestFit="1" customWidth="1"/>
    <col min="13" max="13" width="9.5546875" style="150" customWidth="1"/>
    <col min="14" max="14" width="18.5546875" style="148" customWidth="1"/>
    <col min="15" max="15" width="40.109375" style="70" bestFit="1" customWidth="1"/>
    <col min="16" max="16" width="11.5546875" style="70" bestFit="1" customWidth="1"/>
    <col min="17" max="45" width="9.109375" style="70"/>
    <col min="46" max="47" width="9.109375" style="69"/>
    <col min="48" max="16384" width="9.109375" style="148"/>
  </cols>
  <sheetData>
    <row r="1" spans="1:45" s="10" customForma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</row>
    <row r="2" spans="1:45" s="10" customFormat="1" ht="28.5" customHeight="1" x14ac:dyDescent="0.3">
      <c r="A2" s="538" t="s">
        <v>519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</row>
    <row r="3" spans="1:45" s="10" customFormat="1" ht="28.5" customHeight="1" x14ac:dyDescent="0.3">
      <c r="A3" s="83" t="s">
        <v>3</v>
      </c>
      <c r="B3" s="83" t="s">
        <v>0</v>
      </c>
      <c r="C3" s="84" t="s">
        <v>1</v>
      </c>
      <c r="D3" s="84" t="s">
        <v>68</v>
      </c>
      <c r="E3" s="84" t="s">
        <v>69</v>
      </c>
      <c r="F3" s="85" t="s">
        <v>2</v>
      </c>
      <c r="G3" s="84" t="s">
        <v>6</v>
      </c>
      <c r="H3" s="84" t="s">
        <v>7</v>
      </c>
      <c r="I3" s="84" t="s">
        <v>4</v>
      </c>
      <c r="J3" s="84" t="s">
        <v>5</v>
      </c>
      <c r="K3" s="84" t="s">
        <v>70</v>
      </c>
      <c r="L3" s="83" t="s">
        <v>59</v>
      </c>
      <c r="M3" s="86" t="s">
        <v>8</v>
      </c>
      <c r="N3" s="86" t="s">
        <v>10</v>
      </c>
    </row>
    <row r="4" spans="1:45" s="15" customFormat="1" x14ac:dyDescent="0.3">
      <c r="A4" s="88" t="s">
        <v>397</v>
      </c>
      <c r="B4" s="90">
        <v>1</v>
      </c>
      <c r="C4" s="2">
        <f>'GERAL 2022'!G35</f>
        <v>580</v>
      </c>
      <c r="D4" s="2">
        <v>0</v>
      </c>
      <c r="E4" s="2">
        <f>C4-D4</f>
        <v>580</v>
      </c>
      <c r="F4" s="5">
        <f>50</f>
        <v>50</v>
      </c>
      <c r="G4" s="2">
        <f>D48</f>
        <v>2.8368085106382979</v>
      </c>
      <c r="H4" s="2">
        <f>D47</f>
        <v>19.696666666666669</v>
      </c>
      <c r="I4" s="109">
        <f>SUM(E4:H4)</f>
        <v>652.53347517730504</v>
      </c>
      <c r="J4" s="2">
        <f>60%*(C4+F4)</f>
        <v>378</v>
      </c>
      <c r="K4" s="2">
        <f>I4-J4</f>
        <v>274.53347517730504</v>
      </c>
      <c r="L4" s="5" t="s">
        <v>319</v>
      </c>
      <c r="M4" s="3">
        <v>10</v>
      </c>
      <c r="N4" s="3">
        <v>11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</row>
    <row r="5" spans="1:45" s="69" customFormat="1" x14ac:dyDescent="0.3">
      <c r="A5" s="4" t="s">
        <v>402</v>
      </c>
      <c r="B5" s="4">
        <v>10</v>
      </c>
      <c r="C5" s="2">
        <f>'GERAL 2022'!G38</f>
        <v>550</v>
      </c>
      <c r="D5" s="2">
        <v>0</v>
      </c>
      <c r="E5" s="5">
        <f>C5-D5</f>
        <v>550</v>
      </c>
      <c r="F5" s="2">
        <f>50</f>
        <v>50</v>
      </c>
      <c r="G5" s="2">
        <f>D66</f>
        <v>2.8368085106382979</v>
      </c>
      <c r="H5" s="2">
        <f>D65</f>
        <v>19.641666666666666</v>
      </c>
      <c r="I5" s="109">
        <f>SUM(E5:H5)</f>
        <v>622.47847517730497</v>
      </c>
      <c r="J5" s="2">
        <f>60%*(C5+F5)</f>
        <v>360</v>
      </c>
      <c r="K5" s="2">
        <f>I5-J5</f>
        <v>262.47847517730497</v>
      </c>
      <c r="L5" s="90" t="s">
        <v>319</v>
      </c>
      <c r="M5" s="3">
        <v>10</v>
      </c>
      <c r="N5" s="4">
        <v>11</v>
      </c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</row>
    <row r="6" spans="1:45" s="15" customFormat="1" ht="15.75" customHeight="1" x14ac:dyDescent="0.3">
      <c r="A6" s="90" t="s">
        <v>427</v>
      </c>
      <c r="B6" s="90">
        <v>12</v>
      </c>
      <c r="C6" s="2">
        <f>'GERAL 2022'!G14</f>
        <v>550</v>
      </c>
      <c r="D6" s="2">
        <v>0</v>
      </c>
      <c r="E6" s="5">
        <f>C6-D6</f>
        <v>550</v>
      </c>
      <c r="F6" s="5">
        <f>25</f>
        <v>25</v>
      </c>
      <c r="G6" s="5">
        <f>D70</f>
        <v>2.8368085106382979</v>
      </c>
      <c r="H6" s="5">
        <f>D69</f>
        <v>19.641666666666666</v>
      </c>
      <c r="I6" s="109">
        <f>SUM(E6:H6)</f>
        <v>597.47847517730497</v>
      </c>
      <c r="J6" s="2">
        <f>60%*(C6+F6)</f>
        <v>345</v>
      </c>
      <c r="K6" s="2">
        <f>I6-J6</f>
        <v>252.47847517730497</v>
      </c>
      <c r="L6" s="90" t="s">
        <v>319</v>
      </c>
      <c r="M6" s="3">
        <v>10</v>
      </c>
      <c r="N6" s="3">
        <v>11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</row>
    <row r="7" spans="1:45" s="11" customFormat="1" x14ac:dyDescent="0.3">
      <c r="A7" s="88" t="s">
        <v>392</v>
      </c>
      <c r="B7" s="88">
        <v>17</v>
      </c>
      <c r="C7" s="2">
        <f>'GERAL 2022'!G41</f>
        <v>580</v>
      </c>
      <c r="D7" s="2">
        <v>0</v>
      </c>
      <c r="E7" s="5">
        <f>C7-D7</f>
        <v>580</v>
      </c>
      <c r="F7" s="2">
        <v>0</v>
      </c>
      <c r="G7" s="2">
        <f>D80</f>
        <v>2.8368085106382979</v>
      </c>
      <c r="H7" s="2">
        <f>D79</f>
        <v>19.696666666666669</v>
      </c>
      <c r="I7" s="109">
        <f>SUM(E7:H7)</f>
        <v>602.53347517730504</v>
      </c>
      <c r="J7" s="2">
        <f>60%*(C7+F7)</f>
        <v>348</v>
      </c>
      <c r="K7" s="2">
        <f>I7-J7</f>
        <v>254.53347517730504</v>
      </c>
      <c r="L7" s="5" t="s">
        <v>319</v>
      </c>
      <c r="M7" s="3">
        <v>10</v>
      </c>
      <c r="N7" s="3">
        <v>11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 spans="1:45" s="10" customFormat="1" x14ac:dyDescent="0.3">
      <c r="A8" s="518" t="s">
        <v>4</v>
      </c>
      <c r="B8" s="518"/>
      <c r="C8" s="109">
        <f>SUM(C4:C7)</f>
        <v>2260</v>
      </c>
      <c r="D8" s="109">
        <f t="shared" ref="D8:K8" si="0">SUM(D4:D7)</f>
        <v>0</v>
      </c>
      <c r="E8" s="109">
        <f t="shared" si="0"/>
        <v>2260</v>
      </c>
      <c r="F8" s="109">
        <f t="shared" si="0"/>
        <v>125</v>
      </c>
      <c r="G8" s="109">
        <f t="shared" si="0"/>
        <v>11.347234042553191</v>
      </c>
      <c r="H8" s="109">
        <f t="shared" si="0"/>
        <v>78.676666666666677</v>
      </c>
      <c r="I8" s="109">
        <f t="shared" si="0"/>
        <v>2475.02390070922</v>
      </c>
      <c r="J8" s="109">
        <f t="shared" si="0"/>
        <v>1431</v>
      </c>
      <c r="K8" s="109">
        <f t="shared" si="0"/>
        <v>1044.02390070922</v>
      </c>
      <c r="L8" s="90"/>
      <c r="M8" s="3"/>
      <c r="N8" s="3"/>
    </row>
    <row r="9" spans="1:45" s="10" customFormat="1" x14ac:dyDescent="0.3">
      <c r="A9" s="126"/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</row>
    <row r="10" spans="1:45" s="11" customFormat="1" x14ac:dyDescent="0.3">
      <c r="A10" s="521" t="s">
        <v>465</v>
      </c>
      <c r="B10" s="521"/>
      <c r="C10" s="521"/>
      <c r="D10" s="521"/>
      <c r="E10" s="521"/>
      <c r="F10" s="521"/>
      <c r="G10" s="521"/>
      <c r="H10" s="521"/>
      <c r="I10" s="521"/>
      <c r="J10" s="521"/>
      <c r="K10" s="521"/>
      <c r="L10" s="521"/>
      <c r="M10" s="521"/>
      <c r="N10" s="521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 spans="1:45" s="11" customFormat="1" ht="27.6" x14ac:dyDescent="0.3">
      <c r="A11" s="83" t="s">
        <v>3</v>
      </c>
      <c r="B11" s="83" t="s">
        <v>0</v>
      </c>
      <c r="C11" s="84" t="s">
        <v>1</v>
      </c>
      <c r="D11" s="84" t="s">
        <v>68</v>
      </c>
      <c r="E11" s="84" t="s">
        <v>69</v>
      </c>
      <c r="F11" s="85" t="s">
        <v>2</v>
      </c>
      <c r="G11" s="84" t="s">
        <v>6</v>
      </c>
      <c r="H11" s="84" t="s">
        <v>7</v>
      </c>
      <c r="I11" s="84" t="s">
        <v>4</v>
      </c>
      <c r="J11" s="84" t="s">
        <v>5</v>
      </c>
      <c r="K11" s="84" t="s">
        <v>70</v>
      </c>
      <c r="L11" s="83" t="s">
        <v>59</v>
      </c>
      <c r="M11" s="86" t="s">
        <v>8</v>
      </c>
      <c r="N11" s="86" t="s">
        <v>10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</row>
    <row r="12" spans="1:45" s="15" customFormat="1" x14ac:dyDescent="0.3">
      <c r="A12" s="88" t="s">
        <v>397</v>
      </c>
      <c r="B12" s="90">
        <v>1</v>
      </c>
      <c r="C12" s="2">
        <v>0</v>
      </c>
      <c r="D12" s="2">
        <v>0</v>
      </c>
      <c r="E12" s="2">
        <f t="shared" ref="E12:E18" si="1">C12-D12</f>
        <v>0</v>
      </c>
      <c r="F12" s="5">
        <v>0</v>
      </c>
      <c r="G12" s="2">
        <v>0</v>
      </c>
      <c r="H12" s="2">
        <v>0</v>
      </c>
      <c r="I12" s="109">
        <f t="shared" ref="I12:I18" si="2">SUM(E12:H12)</f>
        <v>0</v>
      </c>
      <c r="J12" s="2">
        <f t="shared" ref="J12:J21" si="3">7%*I12</f>
        <v>0</v>
      </c>
      <c r="K12" s="2">
        <f t="shared" ref="K12:K18" si="4">I12-J12</f>
        <v>0</v>
      </c>
      <c r="L12" s="5" t="s">
        <v>108</v>
      </c>
      <c r="M12" s="3">
        <v>10</v>
      </c>
      <c r="N12" s="3">
        <v>11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</row>
    <row r="13" spans="1:45" s="96" customFormat="1" x14ac:dyDescent="0.3">
      <c r="A13" s="95" t="s">
        <v>434</v>
      </c>
      <c r="B13" s="4">
        <v>2</v>
      </c>
      <c r="C13" s="5">
        <f>'GERAL 2022'!G4/31*12</f>
        <v>224.51612903225808</v>
      </c>
      <c r="D13" s="5">
        <v>0</v>
      </c>
      <c r="E13" s="5">
        <f t="shared" si="1"/>
        <v>224.51612903225808</v>
      </c>
      <c r="F13" s="5">
        <f>50/31*12</f>
        <v>19.354838709677416</v>
      </c>
      <c r="G13" s="5">
        <f>D50/31*12</f>
        <v>1.0981194234728895</v>
      </c>
      <c r="H13" s="5">
        <f>D49</f>
        <v>19.696666666666669</v>
      </c>
      <c r="I13" s="109">
        <f t="shared" si="2"/>
        <v>264.66575383207504</v>
      </c>
      <c r="J13" s="2">
        <f t="shared" si="3"/>
        <v>18.526602768245255</v>
      </c>
      <c r="K13" s="2">
        <f t="shared" si="4"/>
        <v>246.13915106382979</v>
      </c>
      <c r="L13" s="90" t="s">
        <v>437</v>
      </c>
      <c r="M13" s="3">
        <v>10</v>
      </c>
      <c r="N13" s="3">
        <v>11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16"/>
      <c r="AK13" s="17"/>
      <c r="AL13" s="17"/>
      <c r="AM13" s="17"/>
      <c r="AN13" s="17"/>
    </row>
    <row r="14" spans="1:45" s="6" customFormat="1" x14ac:dyDescent="0.3">
      <c r="A14" s="95" t="s">
        <v>438</v>
      </c>
      <c r="B14" s="4">
        <v>3</v>
      </c>
      <c r="C14" s="5">
        <f>'GERAL 2022'!G5/31*4</f>
        <v>70.967741935483872</v>
      </c>
      <c r="D14" s="5">
        <v>0</v>
      </c>
      <c r="E14" s="5">
        <f t="shared" si="1"/>
        <v>70.967741935483872</v>
      </c>
      <c r="F14" s="5">
        <v>0</v>
      </c>
      <c r="G14" s="5">
        <f>D52/31*4</f>
        <v>0.36603980782429651</v>
      </c>
      <c r="H14" s="5">
        <v>19.649999999999999</v>
      </c>
      <c r="I14" s="109">
        <f>SUM(E14:H14)</f>
        <v>90.983781743308157</v>
      </c>
      <c r="J14" s="2">
        <f t="shared" si="3"/>
        <v>6.3688647220315717</v>
      </c>
      <c r="K14" s="2">
        <f t="shared" si="4"/>
        <v>84.614917021276582</v>
      </c>
      <c r="L14" s="90" t="s">
        <v>439</v>
      </c>
      <c r="M14" s="3">
        <v>10</v>
      </c>
      <c r="N14" s="3">
        <v>11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</row>
    <row r="15" spans="1:45" s="15" customFormat="1" x14ac:dyDescent="0.3">
      <c r="A15" s="90" t="s">
        <v>263</v>
      </c>
      <c r="B15" s="90">
        <v>4</v>
      </c>
      <c r="C15" s="2">
        <f>'GERAL 2022'!G16</f>
        <v>550</v>
      </c>
      <c r="D15" s="2">
        <v>0</v>
      </c>
      <c r="E15" s="2">
        <f t="shared" si="1"/>
        <v>550</v>
      </c>
      <c r="F15" s="2">
        <v>50</v>
      </c>
      <c r="G15" s="2">
        <v>0</v>
      </c>
      <c r="H15" s="2">
        <f>D53</f>
        <v>19.641666666666666</v>
      </c>
      <c r="I15" s="109">
        <f t="shared" si="2"/>
        <v>619.64166666666665</v>
      </c>
      <c r="J15" s="2">
        <f t="shared" si="3"/>
        <v>43.374916666666671</v>
      </c>
      <c r="K15" s="2">
        <f t="shared" si="4"/>
        <v>576.26675</v>
      </c>
      <c r="L15" s="90" t="s">
        <v>429</v>
      </c>
      <c r="M15" s="3">
        <v>10</v>
      </c>
      <c r="N15" s="4">
        <v>11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</row>
    <row r="16" spans="1:45" s="15" customFormat="1" x14ac:dyDescent="0.3">
      <c r="A16" s="95" t="s">
        <v>440</v>
      </c>
      <c r="B16" s="90">
        <v>5</v>
      </c>
      <c r="C16" s="2">
        <f>'GERAL 2022'!G7</f>
        <v>580</v>
      </c>
      <c r="D16" s="2">
        <v>0</v>
      </c>
      <c r="E16" s="2">
        <f t="shared" si="1"/>
        <v>580</v>
      </c>
      <c r="F16" s="2">
        <v>50</v>
      </c>
      <c r="G16" s="2">
        <f>D56</f>
        <v>2.8368085106382979</v>
      </c>
      <c r="H16" s="2">
        <f>D55</f>
        <v>19.696666666666669</v>
      </c>
      <c r="I16" s="109">
        <f t="shared" si="2"/>
        <v>652.53347517730504</v>
      </c>
      <c r="J16" s="2">
        <f t="shared" si="3"/>
        <v>45.677343262411355</v>
      </c>
      <c r="K16" s="2">
        <f t="shared" si="4"/>
        <v>606.85613191489369</v>
      </c>
      <c r="L16" s="90" t="s">
        <v>323</v>
      </c>
      <c r="M16" s="3">
        <v>10</v>
      </c>
      <c r="N16" s="3">
        <v>11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</row>
    <row r="17" spans="1:45" s="11" customFormat="1" x14ac:dyDescent="0.3">
      <c r="A17" s="90" t="s">
        <v>292</v>
      </c>
      <c r="B17" s="90">
        <v>6</v>
      </c>
      <c r="C17" s="5">
        <f>'GERAL 2022'!G8</f>
        <v>650</v>
      </c>
      <c r="D17" s="5">
        <v>0</v>
      </c>
      <c r="E17" s="5">
        <f t="shared" si="1"/>
        <v>650</v>
      </c>
      <c r="F17" s="2">
        <v>25</v>
      </c>
      <c r="G17" s="2">
        <f>D58</f>
        <v>3.9715319148936166</v>
      </c>
      <c r="H17" s="2">
        <f>D57</f>
        <v>19.836666666666666</v>
      </c>
      <c r="I17" s="109">
        <f t="shared" si="2"/>
        <v>698.8081985815603</v>
      </c>
      <c r="J17" s="2">
        <f t="shared" si="3"/>
        <v>48.916573900709224</v>
      </c>
      <c r="K17" s="2">
        <f t="shared" si="4"/>
        <v>649.89162468085112</v>
      </c>
      <c r="L17" s="90" t="s">
        <v>430</v>
      </c>
      <c r="M17" s="3">
        <v>10</v>
      </c>
      <c r="N17" s="3">
        <v>11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</row>
    <row r="18" spans="1:45" s="15" customFormat="1" ht="14.25" customHeight="1" x14ac:dyDescent="0.3">
      <c r="A18" s="95" t="s">
        <v>442</v>
      </c>
      <c r="B18" s="90">
        <v>7</v>
      </c>
      <c r="C18" s="2">
        <f>'GERAL 2022'!G9/31*26</f>
        <v>486.45161290322585</v>
      </c>
      <c r="D18" s="2">
        <v>0</v>
      </c>
      <c r="E18" s="5">
        <f t="shared" si="1"/>
        <v>486.45161290322585</v>
      </c>
      <c r="F18" s="2">
        <f>50/31*26</f>
        <v>41.935483870967737</v>
      </c>
      <c r="G18" s="2">
        <f>D60/31*26</f>
        <v>2.3792587508579275</v>
      </c>
      <c r="H18" s="2">
        <f>D59</f>
        <v>19.696666666666669</v>
      </c>
      <c r="I18" s="109">
        <f t="shared" si="2"/>
        <v>550.46302219171821</v>
      </c>
      <c r="J18" s="2">
        <f t="shared" si="3"/>
        <v>38.532411553420282</v>
      </c>
      <c r="K18" s="2">
        <f t="shared" si="4"/>
        <v>511.93061063829794</v>
      </c>
      <c r="L18" s="90" t="s">
        <v>444</v>
      </c>
      <c r="M18" s="3">
        <v>10</v>
      </c>
      <c r="N18" s="3">
        <v>11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</row>
    <row r="19" spans="1:45" s="15" customFormat="1" x14ac:dyDescent="0.3">
      <c r="A19" s="90" t="s">
        <v>265</v>
      </c>
      <c r="B19" s="90">
        <v>8</v>
      </c>
      <c r="C19" s="2">
        <f>'GERAL 2022'!G10</f>
        <v>610</v>
      </c>
      <c r="D19" s="2">
        <v>0</v>
      </c>
      <c r="E19" s="5">
        <f t="shared" ref="E19:E29" si="5">C19-D19</f>
        <v>610</v>
      </c>
      <c r="F19" s="2">
        <f>50/31*11</f>
        <v>17.741935483870968</v>
      </c>
      <c r="G19" s="2">
        <v>0</v>
      </c>
      <c r="H19" s="2">
        <f>D61</f>
        <v>19.754999999999999</v>
      </c>
      <c r="I19" s="109">
        <f t="shared" ref="I19:I37" si="6">SUM(E19:H19)</f>
        <v>647.49693548387097</v>
      </c>
      <c r="J19" s="2">
        <f t="shared" si="3"/>
        <v>45.324785483870976</v>
      </c>
      <c r="K19" s="2">
        <f t="shared" ref="K19:K37" si="7">I19-J19</f>
        <v>602.17214999999999</v>
      </c>
      <c r="L19" s="90" t="s">
        <v>445</v>
      </c>
      <c r="M19" s="3">
        <v>10</v>
      </c>
      <c r="N19" s="3">
        <v>11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</row>
    <row r="20" spans="1:45" s="15" customFormat="1" ht="14.25" customHeight="1" x14ac:dyDescent="0.3">
      <c r="A20" s="90" t="s">
        <v>246</v>
      </c>
      <c r="B20" s="90">
        <v>9</v>
      </c>
      <c r="C20" s="2">
        <f>'GERAL 2022'!G11</f>
        <v>580</v>
      </c>
      <c r="D20" s="2">
        <v>0</v>
      </c>
      <c r="E20" s="5">
        <f t="shared" si="5"/>
        <v>580</v>
      </c>
      <c r="F20" s="2">
        <f>25+(25/31*6)</f>
        <v>29.838709677419352</v>
      </c>
      <c r="G20" s="2">
        <v>0</v>
      </c>
      <c r="H20" s="2">
        <v>0</v>
      </c>
      <c r="I20" s="109">
        <f t="shared" si="6"/>
        <v>609.83870967741939</v>
      </c>
      <c r="J20" s="2">
        <f t="shared" si="3"/>
        <v>42.688709677419361</v>
      </c>
      <c r="K20" s="2">
        <f t="shared" si="7"/>
        <v>567.15</v>
      </c>
      <c r="L20" s="90" t="s">
        <v>466</v>
      </c>
      <c r="M20" s="125">
        <v>10</v>
      </c>
      <c r="N20" s="3">
        <v>11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</row>
    <row r="21" spans="1:45" s="69" customFormat="1" x14ac:dyDescent="0.3">
      <c r="A21" s="4" t="s">
        <v>402</v>
      </c>
      <c r="B21" s="4">
        <v>10</v>
      </c>
      <c r="C21" s="2">
        <v>0</v>
      </c>
      <c r="D21" s="2">
        <v>0</v>
      </c>
      <c r="E21" s="5">
        <f t="shared" si="5"/>
        <v>0</v>
      </c>
      <c r="F21" s="2">
        <v>0</v>
      </c>
      <c r="G21" s="2">
        <v>0</v>
      </c>
      <c r="H21" s="2">
        <v>0</v>
      </c>
      <c r="I21" s="109">
        <f t="shared" si="6"/>
        <v>0</v>
      </c>
      <c r="J21" s="2">
        <f t="shared" si="3"/>
        <v>0</v>
      </c>
      <c r="K21" s="2">
        <f t="shared" si="7"/>
        <v>0</v>
      </c>
      <c r="L21" s="5" t="s">
        <v>108</v>
      </c>
      <c r="M21" s="3">
        <v>10</v>
      </c>
      <c r="N21" s="4">
        <v>11</v>
      </c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</row>
    <row r="22" spans="1:45" s="69" customFormat="1" x14ac:dyDescent="0.3">
      <c r="A22" s="4" t="s">
        <v>321</v>
      </c>
      <c r="B22" s="4">
        <v>11</v>
      </c>
      <c r="C22" s="2">
        <f>'GERAL 2022'!G13</f>
        <v>550</v>
      </c>
      <c r="D22" s="2">
        <v>0</v>
      </c>
      <c r="E22" s="5">
        <f t="shared" si="5"/>
        <v>550</v>
      </c>
      <c r="F22" s="2">
        <v>0</v>
      </c>
      <c r="G22" s="2">
        <f>D68</f>
        <v>2.8368085106382979</v>
      </c>
      <c r="H22" s="2">
        <f>D67</f>
        <v>19.641666666666666</v>
      </c>
      <c r="I22" s="109">
        <f t="shared" si="6"/>
        <v>572.47847517730497</v>
      </c>
      <c r="J22" s="2">
        <f t="shared" ref="J22:J37" si="8">7%*I22</f>
        <v>40.073493262411354</v>
      </c>
      <c r="K22" s="2">
        <f>I22-J22</f>
        <v>532.4049819148936</v>
      </c>
      <c r="L22" s="5" t="s">
        <v>388</v>
      </c>
      <c r="M22" s="3">
        <v>10</v>
      </c>
      <c r="N22" s="4">
        <v>11</v>
      </c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</row>
    <row r="23" spans="1:45" s="15" customFormat="1" x14ac:dyDescent="0.3">
      <c r="A23" s="90" t="s">
        <v>427</v>
      </c>
      <c r="B23" s="90">
        <v>12</v>
      </c>
      <c r="C23" s="2">
        <v>0</v>
      </c>
      <c r="D23" s="2">
        <v>0</v>
      </c>
      <c r="E23" s="5">
        <f t="shared" si="5"/>
        <v>0</v>
      </c>
      <c r="F23" s="5">
        <v>0</v>
      </c>
      <c r="G23" s="5">
        <v>0</v>
      </c>
      <c r="H23" s="5">
        <v>0</v>
      </c>
      <c r="I23" s="109">
        <f t="shared" si="6"/>
        <v>0</v>
      </c>
      <c r="J23" s="2">
        <f>7%*I23</f>
        <v>0</v>
      </c>
      <c r="K23" s="2">
        <f t="shared" si="7"/>
        <v>0</v>
      </c>
      <c r="L23" s="5" t="s">
        <v>108</v>
      </c>
      <c r="M23" s="3">
        <v>10</v>
      </c>
      <c r="N23" s="3">
        <v>11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</row>
    <row r="24" spans="1:45" s="11" customFormat="1" x14ac:dyDescent="0.3">
      <c r="A24" s="90" t="s">
        <v>362</v>
      </c>
      <c r="B24" s="90">
        <v>13</v>
      </c>
      <c r="C24" s="5">
        <f>'GERAL 2022'!G15</f>
        <v>550</v>
      </c>
      <c r="D24" s="5">
        <v>0</v>
      </c>
      <c r="E24" s="5">
        <f t="shared" si="5"/>
        <v>550</v>
      </c>
      <c r="F24" s="2">
        <v>0</v>
      </c>
      <c r="G24" s="2">
        <f>D72</f>
        <v>2.8368085106382979</v>
      </c>
      <c r="H24" s="2">
        <f>D71</f>
        <v>19.641666666666666</v>
      </c>
      <c r="I24" s="109">
        <f>SUM(E24:H24)</f>
        <v>572.47847517730497</v>
      </c>
      <c r="J24" s="2">
        <f>7%*I24</f>
        <v>40.073493262411354</v>
      </c>
      <c r="K24" s="2">
        <f>I24-J24</f>
        <v>532.4049819148936</v>
      </c>
      <c r="L24" s="90" t="s">
        <v>428</v>
      </c>
      <c r="M24" s="3">
        <v>10</v>
      </c>
      <c r="N24" s="3">
        <v>11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</row>
    <row r="25" spans="1:45" s="69" customFormat="1" x14ac:dyDescent="0.3">
      <c r="A25" s="4" t="s">
        <v>291</v>
      </c>
      <c r="B25" s="4">
        <v>14</v>
      </c>
      <c r="C25" s="2">
        <f>'GERAL 2022'!G16</f>
        <v>550</v>
      </c>
      <c r="D25" s="2">
        <v>0</v>
      </c>
      <c r="E25" s="5">
        <f t="shared" si="5"/>
        <v>550</v>
      </c>
      <c r="F25" s="2">
        <v>0</v>
      </c>
      <c r="G25" s="2">
        <f>D74</f>
        <v>2.8368085106382979</v>
      </c>
      <c r="H25" s="2">
        <f>D73</f>
        <v>19.641666666666666</v>
      </c>
      <c r="I25" s="109">
        <f t="shared" si="6"/>
        <v>572.47847517730497</v>
      </c>
      <c r="J25" s="2">
        <f>7%*I25</f>
        <v>40.073493262411354</v>
      </c>
      <c r="K25" s="2">
        <f t="shared" si="7"/>
        <v>532.4049819148936</v>
      </c>
      <c r="L25" s="90" t="s">
        <v>430</v>
      </c>
      <c r="M25" s="3">
        <v>10</v>
      </c>
      <c r="N25" s="4">
        <v>11</v>
      </c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</row>
    <row r="26" spans="1:45" s="6" customFormat="1" x14ac:dyDescent="0.3">
      <c r="A26" s="90" t="s">
        <v>272</v>
      </c>
      <c r="B26" s="90">
        <v>15</v>
      </c>
      <c r="C26" s="2">
        <f>'GERAL 2022'!G40</f>
        <v>650</v>
      </c>
      <c r="D26" s="2">
        <v>0</v>
      </c>
      <c r="E26" s="5">
        <f t="shared" si="5"/>
        <v>650</v>
      </c>
      <c r="F26" s="2">
        <v>25</v>
      </c>
      <c r="G26" s="2">
        <v>0</v>
      </c>
      <c r="H26" s="2">
        <f>D75</f>
        <v>19.836666666666666</v>
      </c>
      <c r="I26" s="109">
        <f t="shared" si="6"/>
        <v>694.8366666666667</v>
      </c>
      <c r="J26" s="2">
        <f>7%*I26</f>
        <v>48.638566666666676</v>
      </c>
      <c r="K26" s="2">
        <f t="shared" si="7"/>
        <v>646.19810000000007</v>
      </c>
      <c r="L26" s="90" t="s">
        <v>390</v>
      </c>
      <c r="M26" s="3">
        <v>10</v>
      </c>
      <c r="N26" s="3">
        <v>11</v>
      </c>
      <c r="O26" s="9"/>
      <c r="P26" s="9"/>
      <c r="Q26" s="9"/>
      <c r="R26" s="9"/>
      <c r="S26" s="9"/>
      <c r="T26" s="9"/>
      <c r="U26" s="9"/>
      <c r="V26" s="9"/>
      <c r="W26" s="9"/>
    </row>
    <row r="27" spans="1:45" s="11" customFormat="1" x14ac:dyDescent="0.3">
      <c r="A27" s="3" t="s">
        <v>100</v>
      </c>
      <c r="B27" s="3">
        <v>16</v>
      </c>
      <c r="C27" s="2">
        <f>'GERAL 2022'!G18+(10.72339%*640)</f>
        <v>708.62969599999997</v>
      </c>
      <c r="D27" s="2"/>
      <c r="E27" s="5">
        <f t="shared" si="5"/>
        <v>708.62969599999997</v>
      </c>
      <c r="F27" s="2">
        <f>60</f>
        <v>60</v>
      </c>
      <c r="G27" s="2">
        <v>0</v>
      </c>
      <c r="H27" s="2">
        <v>19.82</v>
      </c>
      <c r="I27" s="109">
        <f t="shared" si="6"/>
        <v>788.44969600000002</v>
      </c>
      <c r="J27" s="2">
        <f t="shared" si="8"/>
        <v>55.191478720000006</v>
      </c>
      <c r="K27" s="2">
        <f t="shared" si="7"/>
        <v>733.25821728000005</v>
      </c>
      <c r="L27" s="90" t="s">
        <v>431</v>
      </c>
      <c r="M27" s="3">
        <v>10</v>
      </c>
      <c r="N27" s="3">
        <v>11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</row>
    <row r="28" spans="1:45" s="11" customFormat="1" x14ac:dyDescent="0.3">
      <c r="A28" s="88" t="s">
        <v>392</v>
      </c>
      <c r="B28" s="88">
        <v>17</v>
      </c>
      <c r="C28" s="2">
        <v>0</v>
      </c>
      <c r="D28" s="2">
        <v>0</v>
      </c>
      <c r="E28" s="5">
        <f t="shared" si="5"/>
        <v>0</v>
      </c>
      <c r="F28" s="2">
        <v>0</v>
      </c>
      <c r="G28" s="2">
        <v>0</v>
      </c>
      <c r="H28" s="2">
        <v>0</v>
      </c>
      <c r="I28" s="109">
        <f t="shared" si="6"/>
        <v>0</v>
      </c>
      <c r="J28" s="2">
        <f t="shared" si="8"/>
        <v>0</v>
      </c>
      <c r="K28" s="2">
        <f t="shared" si="7"/>
        <v>0</v>
      </c>
      <c r="L28" s="5" t="s">
        <v>108</v>
      </c>
      <c r="M28" s="3">
        <v>10</v>
      </c>
      <c r="N28" s="3">
        <v>11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</row>
    <row r="29" spans="1:45" s="11" customFormat="1" x14ac:dyDescent="0.3">
      <c r="A29" s="88" t="s">
        <v>103</v>
      </c>
      <c r="B29" s="90">
        <v>18</v>
      </c>
      <c r="C29" s="2">
        <f>'GERAL 2022'!G20+(10.72339%*650)</f>
        <v>719.70203500000002</v>
      </c>
      <c r="D29" s="2">
        <v>0</v>
      </c>
      <c r="E29" s="5">
        <f t="shared" si="5"/>
        <v>719.70203500000002</v>
      </c>
      <c r="F29" s="2">
        <f>30</f>
        <v>30</v>
      </c>
      <c r="G29" s="2"/>
      <c r="H29" s="2">
        <f>D81</f>
        <v>19.836666666666666</v>
      </c>
      <c r="I29" s="109">
        <f t="shared" si="6"/>
        <v>769.53870166666673</v>
      </c>
      <c r="J29" s="2">
        <f t="shared" si="8"/>
        <v>53.867709116666674</v>
      </c>
      <c r="K29" s="2">
        <f t="shared" si="7"/>
        <v>715.67099255000005</v>
      </c>
      <c r="L29" s="90" t="s">
        <v>431</v>
      </c>
      <c r="M29" s="3">
        <v>10</v>
      </c>
      <c r="N29" s="3">
        <v>11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</row>
    <row r="30" spans="1:45" s="11" customFormat="1" x14ac:dyDescent="0.3">
      <c r="A30" s="90" t="s">
        <v>142</v>
      </c>
      <c r="B30" s="90">
        <v>19</v>
      </c>
      <c r="C30" s="2">
        <f>'GERAL 2022'!G21</f>
        <v>600</v>
      </c>
      <c r="D30" s="2">
        <f>10%*C30</f>
        <v>60</v>
      </c>
      <c r="E30" s="5">
        <f>(C30-D30)</f>
        <v>540</v>
      </c>
      <c r="F30" s="2">
        <f>50</f>
        <v>50</v>
      </c>
      <c r="G30" s="2">
        <v>0</v>
      </c>
      <c r="H30" s="2">
        <v>0</v>
      </c>
      <c r="I30" s="109">
        <f t="shared" si="6"/>
        <v>590</v>
      </c>
      <c r="J30" s="2">
        <f t="shared" si="8"/>
        <v>41.300000000000004</v>
      </c>
      <c r="K30" s="2">
        <f t="shared" si="7"/>
        <v>548.70000000000005</v>
      </c>
      <c r="L30" s="90" t="s">
        <v>432</v>
      </c>
      <c r="M30" s="3">
        <v>10</v>
      </c>
      <c r="N30" s="3">
        <v>11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</row>
    <row r="31" spans="1:45" s="11" customFormat="1" x14ac:dyDescent="0.3">
      <c r="A31" s="88" t="s">
        <v>345</v>
      </c>
      <c r="B31" s="90">
        <v>20</v>
      </c>
      <c r="C31" s="2">
        <f>'GERAL 2022'!G22</f>
        <v>660</v>
      </c>
      <c r="D31" s="2">
        <v>0</v>
      </c>
      <c r="E31" s="5">
        <f t="shared" ref="E31:E37" si="9">C31-D31</f>
        <v>660</v>
      </c>
      <c r="F31" s="2">
        <v>50</v>
      </c>
      <c r="G31" s="2">
        <f>D84</f>
        <v>2.8368085106382979</v>
      </c>
      <c r="H31" s="2">
        <f>D85</f>
        <v>19.853333333333335</v>
      </c>
      <c r="I31" s="109">
        <f t="shared" si="6"/>
        <v>732.69014184397167</v>
      </c>
      <c r="J31" s="2">
        <f>7%*I31</f>
        <v>51.288309929078025</v>
      </c>
      <c r="K31" s="2">
        <f>I31-J31</f>
        <v>681.40183191489359</v>
      </c>
      <c r="L31" s="90" t="s">
        <v>428</v>
      </c>
      <c r="M31" s="125">
        <v>10</v>
      </c>
      <c r="N31" s="3">
        <v>11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</row>
    <row r="32" spans="1:45" s="11" customFormat="1" x14ac:dyDescent="0.3">
      <c r="A32" s="88" t="s">
        <v>346</v>
      </c>
      <c r="B32" s="90">
        <v>21</v>
      </c>
      <c r="C32" s="2">
        <f>'GERAL 2022'!G23</f>
        <v>500</v>
      </c>
      <c r="D32" s="2">
        <v>0</v>
      </c>
      <c r="E32" s="5">
        <f t="shared" si="9"/>
        <v>500</v>
      </c>
      <c r="F32" s="2">
        <v>25</v>
      </c>
      <c r="G32" s="2">
        <f>D88</f>
        <v>2.8368085106382979</v>
      </c>
      <c r="H32" s="2">
        <f>D87</f>
        <v>19.543333333333333</v>
      </c>
      <c r="I32" s="109">
        <f t="shared" si="6"/>
        <v>547.38014184397161</v>
      </c>
      <c r="J32" s="2">
        <f>7%*I32</f>
        <v>38.31660992907802</v>
      </c>
      <c r="K32" s="2">
        <f t="shared" si="7"/>
        <v>509.06353191489359</v>
      </c>
      <c r="L32" s="90" t="s">
        <v>428</v>
      </c>
      <c r="M32" s="125">
        <v>10</v>
      </c>
      <c r="N32" s="3">
        <v>11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</row>
    <row r="33" spans="1:58" s="11" customFormat="1" ht="15.75" customHeight="1" x14ac:dyDescent="0.3">
      <c r="A33" s="88" t="s">
        <v>119</v>
      </c>
      <c r="B33" s="90">
        <v>22</v>
      </c>
      <c r="C33" s="2">
        <f>'GERAL 2022'!G24</f>
        <v>500</v>
      </c>
      <c r="D33" s="2">
        <v>0</v>
      </c>
      <c r="E33" s="5">
        <f t="shared" si="9"/>
        <v>500</v>
      </c>
      <c r="F33" s="2">
        <v>25</v>
      </c>
      <c r="G33" s="2">
        <f>D90</f>
        <v>2.8368085106382979</v>
      </c>
      <c r="H33" s="2">
        <f>D89</f>
        <v>19.543333333333333</v>
      </c>
      <c r="I33" s="109">
        <f t="shared" si="6"/>
        <v>547.38014184397161</v>
      </c>
      <c r="J33" s="2">
        <f t="shared" si="8"/>
        <v>38.31660992907802</v>
      </c>
      <c r="K33" s="2">
        <f t="shared" si="7"/>
        <v>509.06353191489359</v>
      </c>
      <c r="L33" s="90" t="s">
        <v>428</v>
      </c>
      <c r="M33" s="125">
        <v>10</v>
      </c>
      <c r="N33" s="3">
        <v>11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</row>
    <row r="34" spans="1:58" s="11" customFormat="1" x14ac:dyDescent="0.3">
      <c r="A34" s="88" t="s">
        <v>379</v>
      </c>
      <c r="B34" s="90">
        <v>23</v>
      </c>
      <c r="C34" s="2">
        <f>'GERAL 2022'!G25</f>
        <v>550</v>
      </c>
      <c r="D34" s="2">
        <v>0</v>
      </c>
      <c r="E34" s="5">
        <f t="shared" si="9"/>
        <v>550</v>
      </c>
      <c r="F34" s="2">
        <v>0</v>
      </c>
      <c r="G34" s="2">
        <f>D92</f>
        <v>2.8368085106382979</v>
      </c>
      <c r="H34" s="2">
        <f>D91</f>
        <v>19.641666666666666</v>
      </c>
      <c r="I34" s="109">
        <f t="shared" si="6"/>
        <v>572.47847517730497</v>
      </c>
      <c r="J34" s="2">
        <f t="shared" si="8"/>
        <v>40.073493262411354</v>
      </c>
      <c r="K34" s="2">
        <f>I34-J34</f>
        <v>532.4049819148936</v>
      </c>
      <c r="L34" s="90" t="s">
        <v>428</v>
      </c>
      <c r="M34" s="3">
        <v>10</v>
      </c>
      <c r="N34" s="3">
        <v>11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</row>
    <row r="35" spans="1:58" s="6" customFormat="1" x14ac:dyDescent="0.3">
      <c r="A35" s="90" t="s">
        <v>267</v>
      </c>
      <c r="B35" s="90">
        <v>24</v>
      </c>
      <c r="C35" s="2">
        <f>'GERAL 2022'!G26</f>
        <v>650</v>
      </c>
      <c r="D35" s="2">
        <v>0</v>
      </c>
      <c r="E35" s="5">
        <f t="shared" si="9"/>
        <v>650</v>
      </c>
      <c r="F35" s="2">
        <v>50</v>
      </c>
      <c r="G35" s="2">
        <v>0</v>
      </c>
      <c r="H35" s="2">
        <f>D93</f>
        <v>19.836666666666666</v>
      </c>
      <c r="I35" s="109">
        <f t="shared" si="6"/>
        <v>719.8366666666667</v>
      </c>
      <c r="J35" s="2">
        <f>7%*I35</f>
        <v>50.388566666666676</v>
      </c>
      <c r="K35" s="2">
        <f t="shared" si="7"/>
        <v>669.44810000000007</v>
      </c>
      <c r="L35" s="90" t="s">
        <v>390</v>
      </c>
      <c r="M35" s="125">
        <v>10</v>
      </c>
      <c r="N35" s="3">
        <v>11</v>
      </c>
      <c r="O35" s="9"/>
      <c r="P35" s="9"/>
      <c r="Q35" s="9"/>
      <c r="R35" s="9"/>
      <c r="S35" s="9"/>
      <c r="T35" s="9"/>
      <c r="U35" s="9"/>
      <c r="V35" s="9"/>
      <c r="W35" s="9"/>
    </row>
    <row r="36" spans="1:58" s="11" customFormat="1" x14ac:dyDescent="0.3">
      <c r="A36" s="88" t="s">
        <v>348</v>
      </c>
      <c r="B36" s="90">
        <v>26</v>
      </c>
      <c r="C36" s="2">
        <f>'GERAL 2022'!G28</f>
        <v>560</v>
      </c>
      <c r="D36" s="2">
        <v>0</v>
      </c>
      <c r="E36" s="5">
        <f t="shared" si="9"/>
        <v>560</v>
      </c>
      <c r="F36" s="2">
        <v>25</v>
      </c>
      <c r="G36" s="2">
        <f>D98</f>
        <v>2.8368085106382979</v>
      </c>
      <c r="H36" s="2">
        <f>D97</f>
        <v>19.658333333333335</v>
      </c>
      <c r="I36" s="109">
        <f t="shared" si="6"/>
        <v>607.49514184397162</v>
      </c>
      <c r="J36" s="2">
        <f t="shared" si="8"/>
        <v>42.52465992907802</v>
      </c>
      <c r="K36" s="2">
        <f t="shared" si="7"/>
        <v>564.97048191489364</v>
      </c>
      <c r="L36" s="90" t="s">
        <v>428</v>
      </c>
      <c r="M36" s="3">
        <v>10</v>
      </c>
      <c r="N36" s="3">
        <v>11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</row>
    <row r="37" spans="1:58" s="11" customFormat="1" x14ac:dyDescent="0.3">
      <c r="A37" s="88" t="s">
        <v>349</v>
      </c>
      <c r="B37" s="90">
        <v>27</v>
      </c>
      <c r="C37" s="72">
        <f>'GERAL 2022'!G45</f>
        <v>580</v>
      </c>
      <c r="D37" s="72">
        <v>0</v>
      </c>
      <c r="E37" s="5">
        <f t="shared" si="9"/>
        <v>580</v>
      </c>
      <c r="F37" s="72">
        <v>0</v>
      </c>
      <c r="G37" s="72">
        <f>D100</f>
        <v>2.8368085106382979</v>
      </c>
      <c r="H37" s="72">
        <f>D99</f>
        <v>19.696666666666669</v>
      </c>
      <c r="I37" s="109">
        <f t="shared" si="6"/>
        <v>602.53347517730504</v>
      </c>
      <c r="J37" s="2">
        <f t="shared" si="8"/>
        <v>42.177343262411355</v>
      </c>
      <c r="K37" s="2">
        <f t="shared" si="7"/>
        <v>560.35613191489369</v>
      </c>
      <c r="L37" s="90" t="s">
        <v>428</v>
      </c>
      <c r="M37" s="98">
        <v>10</v>
      </c>
      <c r="N37" s="3">
        <v>11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</row>
    <row r="38" spans="1:58" s="11" customFormat="1" ht="14.4" thickBot="1" x14ac:dyDescent="0.35">
      <c r="A38" s="518" t="s">
        <v>4</v>
      </c>
      <c r="B38" s="518"/>
      <c r="C38" s="109">
        <f>SUM(C12:C37)</f>
        <v>12080.267214870968</v>
      </c>
      <c r="D38" s="109">
        <f t="shared" ref="D38:K38" si="10">SUM(D12:D37)</f>
        <v>60</v>
      </c>
      <c r="E38" s="109">
        <f t="shared" si="10"/>
        <v>12020.267214870968</v>
      </c>
      <c r="F38" s="109">
        <f t="shared" si="10"/>
        <v>573.87096774193549</v>
      </c>
      <c r="G38" s="109">
        <f t="shared" si="10"/>
        <v>36.183035003431719</v>
      </c>
      <c r="H38" s="109">
        <f t="shared" si="10"/>
        <v>394.16500000000002</v>
      </c>
      <c r="I38" s="109">
        <f t="shared" si="10"/>
        <v>13024.486217616335</v>
      </c>
      <c r="J38" s="109">
        <f t="shared" si="10"/>
        <v>911.71403523314348</v>
      </c>
      <c r="K38" s="109">
        <f t="shared" si="10"/>
        <v>12112.772182383191</v>
      </c>
      <c r="L38" s="90"/>
      <c r="M38" s="120"/>
      <c r="N38" s="155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</row>
    <row r="39" spans="1:58" s="11" customFormat="1" x14ac:dyDescent="0.3">
      <c r="A39" s="518"/>
      <c r="B39" s="518"/>
      <c r="C39" s="518"/>
      <c r="D39" s="518"/>
      <c r="E39" s="518"/>
      <c r="F39" s="518"/>
      <c r="G39" s="518"/>
      <c r="H39" s="518"/>
      <c r="I39" s="518"/>
      <c r="J39" s="518"/>
      <c r="K39" s="518"/>
      <c r="L39" s="518"/>
      <c r="M39" s="109"/>
      <c r="N39" s="109"/>
      <c r="O39" s="10"/>
      <c r="P39" s="10"/>
      <c r="Q39" s="10"/>
      <c r="R39" s="10"/>
      <c r="S39" s="10"/>
      <c r="T39" s="10"/>
      <c r="U39" s="10"/>
      <c r="V39" s="10"/>
      <c r="W39" s="10"/>
    </row>
    <row r="40" spans="1:58" s="11" customFormat="1" ht="28.5" customHeight="1" x14ac:dyDescent="0.3">
      <c r="A40" s="521" t="s">
        <v>177</v>
      </c>
      <c r="B40" s="521"/>
      <c r="C40" s="521"/>
      <c r="D40" s="521"/>
      <c r="E40" s="521"/>
      <c r="F40" s="521"/>
      <c r="G40" s="521"/>
      <c r="H40" s="521"/>
      <c r="I40" s="521"/>
      <c r="J40" s="521"/>
      <c r="K40" s="521"/>
      <c r="L40" s="521"/>
      <c r="M40" s="521"/>
      <c r="N40" s="521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58" s="11" customFormat="1" ht="25.5" customHeight="1" x14ac:dyDescent="0.3">
      <c r="A41" s="126" t="s">
        <v>173</v>
      </c>
      <c r="B41" s="126" t="s">
        <v>0</v>
      </c>
      <c r="C41" s="126" t="s">
        <v>174</v>
      </c>
      <c r="D41" s="521" t="s">
        <v>175</v>
      </c>
      <c r="E41" s="521"/>
      <c r="F41" s="521"/>
      <c r="G41" s="521"/>
      <c r="H41" s="521"/>
      <c r="I41" s="129" t="s">
        <v>4</v>
      </c>
      <c r="J41" s="128"/>
      <c r="K41" s="128"/>
      <c r="L41" s="127" t="s">
        <v>59</v>
      </c>
      <c r="M41" s="130" t="s">
        <v>8</v>
      </c>
      <c r="N41" s="130" t="s">
        <v>10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58" s="69" customFormat="1" ht="15" customHeight="1" x14ac:dyDescent="0.3">
      <c r="A42" s="4" t="s">
        <v>132</v>
      </c>
      <c r="B42" s="4">
        <v>1</v>
      </c>
      <c r="C42" s="5">
        <f>4977.59-1520</f>
        <v>3457.59</v>
      </c>
      <c r="D42" s="546" t="s">
        <v>284</v>
      </c>
      <c r="E42" s="547"/>
      <c r="F42" s="547"/>
      <c r="G42" s="547"/>
      <c r="H42" s="548"/>
      <c r="I42" s="5">
        <f>4977.59-1520</f>
        <v>3457.59</v>
      </c>
      <c r="J42" s="5"/>
      <c r="K42" s="5"/>
      <c r="L42" s="5" t="s">
        <v>283</v>
      </c>
      <c r="M42" s="140">
        <v>10</v>
      </c>
      <c r="N42" s="4">
        <v>11</v>
      </c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</row>
    <row r="43" spans="1:58" s="11" customFormat="1" x14ac:dyDescent="0.3">
      <c r="A43" s="11" t="s">
        <v>87</v>
      </c>
      <c r="B43" s="90">
        <v>25</v>
      </c>
      <c r="C43" s="2">
        <f>807.21+30+19.95</f>
        <v>857.16000000000008</v>
      </c>
      <c r="D43" s="546" t="s">
        <v>468</v>
      </c>
      <c r="E43" s="547"/>
      <c r="F43" s="547"/>
      <c r="G43" s="547"/>
      <c r="H43" s="548"/>
      <c r="I43" s="2">
        <f>807.21+30+19.95</f>
        <v>857.16000000000008</v>
      </c>
      <c r="J43" s="2"/>
      <c r="K43" s="2"/>
      <c r="L43" s="71" t="s">
        <v>433</v>
      </c>
      <c r="M43" s="98">
        <v>10</v>
      </c>
      <c r="N43" s="3">
        <v>11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</row>
    <row r="44" spans="1:58" s="40" customFormat="1" ht="15" customHeight="1" thickBot="1" x14ac:dyDescent="0.35">
      <c r="A44" s="534" t="s">
        <v>4</v>
      </c>
      <c r="B44" s="549"/>
      <c r="C44" s="549"/>
      <c r="D44" s="549"/>
      <c r="E44" s="549"/>
      <c r="F44" s="549"/>
      <c r="G44" s="549"/>
      <c r="H44" s="535"/>
      <c r="I44" s="114">
        <f>SUM(I42:I43)</f>
        <v>4314.75</v>
      </c>
      <c r="J44" s="90"/>
      <c r="K44" s="90"/>
      <c r="L44" s="90"/>
      <c r="M44" s="90"/>
      <c r="N44" s="9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1"/>
      <c r="AS44" s="11"/>
      <c r="AT44" s="11"/>
      <c r="AU44" s="11"/>
    </row>
    <row r="45" spans="1:58" s="19" customFormat="1" x14ac:dyDescent="0.3">
      <c r="A45" s="179"/>
      <c r="B45" s="180"/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1"/>
      <c r="N45" s="182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</row>
    <row r="46" spans="1:58" s="40" customFormat="1" x14ac:dyDescent="0.3">
      <c r="A46" s="543" t="s">
        <v>9</v>
      </c>
      <c r="B46" s="543"/>
      <c r="C46" s="543"/>
      <c r="D46" s="543"/>
      <c r="E46" s="543"/>
      <c r="F46" s="543"/>
      <c r="G46" s="46"/>
      <c r="H46" s="46"/>
      <c r="I46" s="46"/>
      <c r="J46" s="46"/>
      <c r="K46" s="46"/>
      <c r="L46" s="544" t="s">
        <v>315</v>
      </c>
      <c r="M46" s="544"/>
      <c r="N46" s="545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1"/>
      <c r="AS46" s="11"/>
      <c r="AT46" s="11"/>
      <c r="AU46" s="11"/>
    </row>
    <row r="47" spans="1:58" s="40" customFormat="1" x14ac:dyDescent="0.3">
      <c r="A47" s="76" t="s">
        <v>40</v>
      </c>
      <c r="B47" s="77">
        <f>'GERAL 2022'!J35</f>
        <v>118.18</v>
      </c>
      <c r="C47" s="78">
        <v>6</v>
      </c>
      <c r="D47" s="77">
        <f t="shared" ref="D47:D60" si="11">B47/C47</f>
        <v>19.696666666666669</v>
      </c>
      <c r="E47" s="78"/>
      <c r="F47" s="77"/>
      <c r="G47" s="11"/>
      <c r="H47" s="11"/>
      <c r="I47" s="87"/>
      <c r="J47" s="87"/>
      <c r="K47" s="87"/>
      <c r="L47" s="527" t="s">
        <v>94</v>
      </c>
      <c r="M47" s="527"/>
      <c r="N47" s="49">
        <f>J38</f>
        <v>911.71403523314348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1"/>
      <c r="AS47" s="11"/>
      <c r="AT47" s="11"/>
      <c r="AU47" s="11"/>
    </row>
    <row r="48" spans="1:58" s="40" customFormat="1" x14ac:dyDescent="0.3">
      <c r="A48" s="12" t="s">
        <v>46</v>
      </c>
      <c r="B48" s="2">
        <f>'GERAL 2022'!H35</f>
        <v>14.184042553191489</v>
      </c>
      <c r="C48" s="88">
        <v>5</v>
      </c>
      <c r="D48" s="2">
        <f t="shared" si="11"/>
        <v>2.8368085106382979</v>
      </c>
      <c r="E48" s="88"/>
      <c r="F48" s="88"/>
      <c r="G48" s="11"/>
      <c r="H48" s="11"/>
      <c r="I48" s="14"/>
      <c r="J48" s="14"/>
      <c r="K48" s="14"/>
      <c r="L48" s="534" t="s">
        <v>260</v>
      </c>
      <c r="M48" s="535"/>
      <c r="N48" s="114">
        <f>J8</f>
        <v>1431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1"/>
      <c r="AS48" s="11"/>
      <c r="AT48" s="11"/>
      <c r="AU48" s="11"/>
    </row>
    <row r="49" spans="1:47" s="40" customFormat="1" x14ac:dyDescent="0.3">
      <c r="A49" s="79" t="s">
        <v>29</v>
      </c>
      <c r="B49" s="80">
        <f>'GERAL 2022'!J4</f>
        <v>118.18</v>
      </c>
      <c r="C49" s="82">
        <v>6</v>
      </c>
      <c r="D49" s="80">
        <f t="shared" si="11"/>
        <v>19.696666666666669</v>
      </c>
      <c r="E49" s="78"/>
      <c r="F49" s="77"/>
      <c r="G49" s="11"/>
      <c r="H49" s="11"/>
      <c r="I49" s="14"/>
      <c r="J49" s="14"/>
      <c r="K49" s="14"/>
      <c r="L49" s="520"/>
      <c r="M49" s="520"/>
      <c r="N49" s="52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1"/>
      <c r="AS49" s="11"/>
      <c r="AT49" s="11"/>
      <c r="AU49" s="11"/>
    </row>
    <row r="50" spans="1:47" s="40" customFormat="1" x14ac:dyDescent="0.3">
      <c r="A50" s="12" t="s">
        <v>30</v>
      </c>
      <c r="B50" s="2">
        <f>'GERAL 2022'!H4</f>
        <v>14.184042553191489</v>
      </c>
      <c r="C50" s="88">
        <v>5</v>
      </c>
      <c r="D50" s="2">
        <f t="shared" si="11"/>
        <v>2.8368085106382979</v>
      </c>
      <c r="E50" s="53"/>
      <c r="F50" s="53"/>
      <c r="G50" s="11"/>
      <c r="H50" s="11"/>
      <c r="I50" s="62"/>
      <c r="J50" s="62"/>
      <c r="K50" s="62"/>
      <c r="L50" s="520"/>
      <c r="M50" s="520"/>
      <c r="N50" s="52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1"/>
      <c r="AS50" s="11"/>
      <c r="AT50" s="11"/>
      <c r="AU50" s="11"/>
    </row>
    <row r="51" spans="1:47" s="40" customFormat="1" x14ac:dyDescent="0.3">
      <c r="A51" s="79" t="s">
        <v>65</v>
      </c>
      <c r="B51" s="80">
        <f>'GERAL 2022'!J5</f>
        <v>117.85</v>
      </c>
      <c r="C51" s="82">
        <v>6</v>
      </c>
      <c r="D51" s="80">
        <f t="shared" si="11"/>
        <v>19.641666666666666</v>
      </c>
      <c r="E51" s="78"/>
      <c r="F51" s="77"/>
      <c r="G51" s="11"/>
      <c r="H51" s="11"/>
      <c r="I51" s="14"/>
      <c r="J51" s="14"/>
      <c r="K51" s="14"/>
      <c r="L51" s="529" t="s">
        <v>12</v>
      </c>
      <c r="M51" s="529"/>
      <c r="N51" s="529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1"/>
      <c r="AS51" s="11"/>
      <c r="AT51" s="11"/>
      <c r="AU51" s="11"/>
    </row>
    <row r="52" spans="1:47" s="11" customFormat="1" ht="15" customHeight="1" x14ac:dyDescent="0.3">
      <c r="A52" s="12" t="s">
        <v>62</v>
      </c>
      <c r="B52" s="2">
        <f>'GERAL 2022'!H5</f>
        <v>14.184042553191489</v>
      </c>
      <c r="C52" s="88">
        <v>5</v>
      </c>
      <c r="D52" s="2">
        <f t="shared" si="11"/>
        <v>2.8368085106382979</v>
      </c>
      <c r="E52" s="88"/>
      <c r="F52" s="88"/>
      <c r="I52" s="63"/>
      <c r="J52" s="63"/>
      <c r="K52" s="63"/>
      <c r="L52" s="514" t="s">
        <v>163</v>
      </c>
      <c r="M52" s="514"/>
      <c r="N52" s="2">
        <v>19.7</v>
      </c>
      <c r="O52" s="175"/>
      <c r="P52" s="176"/>
    </row>
    <row r="53" spans="1:47" s="11" customFormat="1" ht="14.4" x14ac:dyDescent="0.3">
      <c r="A53" s="79" t="s">
        <v>60</v>
      </c>
      <c r="B53" s="80">
        <f>'GERAL 2022'!J6</f>
        <v>117.85</v>
      </c>
      <c r="C53" s="82">
        <v>6</v>
      </c>
      <c r="D53" s="80">
        <f t="shared" si="11"/>
        <v>19.641666666666666</v>
      </c>
      <c r="E53" s="78"/>
      <c r="F53" s="77"/>
      <c r="I53" s="14"/>
      <c r="J53" s="14"/>
      <c r="K53" s="14"/>
      <c r="L53" s="514" t="s">
        <v>446</v>
      </c>
      <c r="M53" s="514"/>
      <c r="N53" s="2">
        <v>19.68</v>
      </c>
      <c r="O53" s="175"/>
      <c r="P53" s="177"/>
    </row>
    <row r="54" spans="1:47" s="11" customFormat="1" ht="15" customHeight="1" x14ac:dyDescent="0.3">
      <c r="A54" s="12" t="s">
        <v>61</v>
      </c>
      <c r="B54" s="2">
        <f>'GERAL 2022'!H6</f>
        <v>14.184042553191489</v>
      </c>
      <c r="C54" s="88">
        <v>5</v>
      </c>
      <c r="D54" s="2">
        <f t="shared" si="11"/>
        <v>2.8368085106382979</v>
      </c>
      <c r="E54" s="88"/>
      <c r="F54" s="88"/>
      <c r="I54" s="63"/>
      <c r="J54" s="63"/>
      <c r="K54" s="63"/>
      <c r="L54" s="514" t="s">
        <v>447</v>
      </c>
      <c r="M54" s="514"/>
      <c r="N54" s="2">
        <v>19.649999999999999</v>
      </c>
      <c r="O54" s="175"/>
      <c r="P54" s="177"/>
    </row>
    <row r="55" spans="1:47" s="11" customFormat="1" ht="14.4" x14ac:dyDescent="0.3">
      <c r="A55" s="79" t="s">
        <v>31</v>
      </c>
      <c r="B55" s="80">
        <f>'GERAL 2022'!J7</f>
        <v>118.18</v>
      </c>
      <c r="C55" s="82">
        <v>6</v>
      </c>
      <c r="D55" s="80">
        <f t="shared" si="11"/>
        <v>19.696666666666669</v>
      </c>
      <c r="E55" s="78"/>
      <c r="F55" s="77"/>
      <c r="I55" s="14"/>
      <c r="J55" s="14"/>
      <c r="K55" s="14"/>
      <c r="L55" s="514" t="s">
        <v>448</v>
      </c>
      <c r="M55" s="514"/>
      <c r="N55" s="2">
        <v>19.64</v>
      </c>
      <c r="O55" s="175"/>
      <c r="P55" s="176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</row>
    <row r="56" spans="1:47" s="11" customFormat="1" ht="14.4" x14ac:dyDescent="0.3">
      <c r="A56" s="12" t="s">
        <v>32</v>
      </c>
      <c r="B56" s="2">
        <f>'GERAL 2022'!H7</f>
        <v>14.184042553191489</v>
      </c>
      <c r="C56" s="88">
        <v>5</v>
      </c>
      <c r="D56" s="2">
        <f t="shared" si="11"/>
        <v>2.8368085106382979</v>
      </c>
      <c r="E56" s="88"/>
      <c r="F56" s="88"/>
      <c r="I56" s="63"/>
      <c r="J56" s="63"/>
      <c r="K56" s="63"/>
      <c r="L56" s="514" t="s">
        <v>449</v>
      </c>
      <c r="M56" s="514"/>
      <c r="N56" s="2">
        <v>19.68</v>
      </c>
      <c r="O56" s="175"/>
      <c r="P56" s="176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</row>
    <row r="57" spans="1:47" s="11" customFormat="1" ht="14.4" x14ac:dyDescent="0.3">
      <c r="A57" s="79" t="s">
        <v>57</v>
      </c>
      <c r="B57" s="80">
        <f>'GERAL 2022'!J8</f>
        <v>119.02</v>
      </c>
      <c r="C57" s="82">
        <v>6</v>
      </c>
      <c r="D57" s="80">
        <f t="shared" si="11"/>
        <v>19.836666666666666</v>
      </c>
      <c r="E57" s="78"/>
      <c r="F57" s="77"/>
      <c r="I57" s="14"/>
      <c r="J57" s="14"/>
      <c r="K57" s="14"/>
      <c r="L57" s="514" t="s">
        <v>450</v>
      </c>
      <c r="M57" s="514"/>
      <c r="N57" s="2">
        <v>19.84</v>
      </c>
      <c r="O57" s="175"/>
      <c r="P57" s="178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</row>
    <row r="58" spans="1:47" s="11" customFormat="1" ht="12.75" customHeight="1" x14ac:dyDescent="0.3">
      <c r="A58" s="12" t="s">
        <v>58</v>
      </c>
      <c r="B58" s="2">
        <f>'GERAL 2022'!H8</f>
        <v>19.857659574468084</v>
      </c>
      <c r="C58" s="88">
        <v>5</v>
      </c>
      <c r="D58" s="2">
        <f t="shared" si="11"/>
        <v>3.9715319148936166</v>
      </c>
      <c r="E58" s="88"/>
      <c r="F58" s="88"/>
      <c r="I58" s="63"/>
      <c r="J58" s="63"/>
      <c r="K58" s="63"/>
      <c r="L58" s="514" t="s">
        <v>451</v>
      </c>
      <c r="M58" s="514"/>
      <c r="N58" s="2">
        <v>19.68</v>
      </c>
      <c r="O58" s="175"/>
      <c r="P58" s="176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</row>
    <row r="59" spans="1:47" s="11" customFormat="1" ht="14.4" x14ac:dyDescent="0.3">
      <c r="A59" s="79" t="s">
        <v>63</v>
      </c>
      <c r="B59" s="80">
        <f>'GERAL 2022'!J9</f>
        <v>118.18</v>
      </c>
      <c r="C59" s="82">
        <v>6</v>
      </c>
      <c r="D59" s="80">
        <f t="shared" si="11"/>
        <v>19.696666666666669</v>
      </c>
      <c r="E59" s="78"/>
      <c r="F59" s="77"/>
      <c r="I59" s="14"/>
      <c r="J59" s="14"/>
      <c r="K59" s="14"/>
      <c r="L59" s="514" t="s">
        <v>452</v>
      </c>
      <c r="M59" s="514"/>
      <c r="N59" s="2">
        <v>19.75</v>
      </c>
      <c r="O59" s="175"/>
      <c r="P59" s="178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</row>
    <row r="60" spans="1:47" s="11" customFormat="1" ht="15" customHeight="1" x14ac:dyDescent="0.3">
      <c r="A60" s="12" t="s">
        <v>64</v>
      </c>
      <c r="B60" s="2">
        <f>'GERAL 2022'!H9</f>
        <v>14.184042553191489</v>
      </c>
      <c r="C60" s="88">
        <v>5</v>
      </c>
      <c r="D60" s="2">
        <f t="shared" si="11"/>
        <v>2.8368085106382979</v>
      </c>
      <c r="E60" s="88"/>
      <c r="F60" s="88"/>
      <c r="I60" s="63"/>
      <c r="J60" s="63"/>
      <c r="K60" s="63"/>
      <c r="L60" s="514" t="s">
        <v>121</v>
      </c>
      <c r="M60" s="514"/>
      <c r="N60" s="2">
        <v>19.64</v>
      </c>
      <c r="O60" s="175"/>
      <c r="P60" s="178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</row>
    <row r="61" spans="1:47" s="11" customFormat="1" ht="14.4" x14ac:dyDescent="0.3">
      <c r="A61" s="79" t="s">
        <v>33</v>
      </c>
      <c r="B61" s="80">
        <f>'GERAL 2022'!J10</f>
        <v>118.53</v>
      </c>
      <c r="C61" s="82">
        <v>6</v>
      </c>
      <c r="D61" s="80">
        <f t="shared" ref="D61:D70" si="12">B61/C61</f>
        <v>19.754999999999999</v>
      </c>
      <c r="E61" s="78"/>
      <c r="F61" s="77"/>
      <c r="I61" s="14"/>
      <c r="J61" s="14"/>
      <c r="K61" s="14"/>
      <c r="L61" s="514" t="s">
        <v>453</v>
      </c>
      <c r="M61" s="514"/>
      <c r="N61" s="2">
        <v>19.64</v>
      </c>
      <c r="O61" s="175"/>
      <c r="P61" s="178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</row>
    <row r="62" spans="1:47" s="11" customFormat="1" ht="13.5" customHeight="1" x14ac:dyDescent="0.3">
      <c r="A62" s="12" t="s">
        <v>34</v>
      </c>
      <c r="B62" s="2">
        <f>'GERAL 2022'!H10</f>
        <v>14.184042553191489</v>
      </c>
      <c r="C62" s="88">
        <v>5</v>
      </c>
      <c r="D62" s="2">
        <f t="shared" si="12"/>
        <v>2.8368085106382979</v>
      </c>
      <c r="E62" s="88"/>
      <c r="F62" s="88"/>
      <c r="I62" s="63"/>
      <c r="J62" s="63"/>
      <c r="K62" s="63"/>
      <c r="L62" s="514" t="s">
        <v>454</v>
      </c>
      <c r="M62" s="514"/>
      <c r="N62" s="2">
        <v>19.64</v>
      </c>
      <c r="O62" s="175"/>
      <c r="P62" s="178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</row>
    <row r="63" spans="1:47" s="11" customFormat="1" ht="14.4" x14ac:dyDescent="0.3">
      <c r="A63" s="79" t="s">
        <v>41</v>
      </c>
      <c r="B63" s="80">
        <f>'GERAL 2022'!J11</f>
        <v>118.18</v>
      </c>
      <c r="C63" s="82">
        <v>6</v>
      </c>
      <c r="D63" s="80">
        <f t="shared" si="12"/>
        <v>19.696666666666669</v>
      </c>
      <c r="E63" s="78"/>
      <c r="F63" s="77"/>
      <c r="L63" s="514" t="s">
        <v>455</v>
      </c>
      <c r="M63" s="514"/>
      <c r="N63" s="2">
        <v>19.64</v>
      </c>
      <c r="O63" s="175"/>
      <c r="P63" s="178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</row>
    <row r="64" spans="1:47" s="11" customFormat="1" ht="14.4" x14ac:dyDescent="0.3">
      <c r="A64" s="12" t="s">
        <v>42</v>
      </c>
      <c r="B64" s="2">
        <f>'GERAL 2022'!H11</f>
        <v>14.184042553191489</v>
      </c>
      <c r="C64" s="88">
        <v>5</v>
      </c>
      <c r="D64" s="2">
        <f t="shared" si="12"/>
        <v>2.8368085106382979</v>
      </c>
      <c r="E64" s="88"/>
      <c r="F64" s="88"/>
      <c r="I64" s="63"/>
      <c r="J64" s="63"/>
      <c r="K64" s="63"/>
      <c r="L64" s="514" t="s">
        <v>456</v>
      </c>
      <c r="M64" s="514"/>
      <c r="N64" s="2">
        <v>19.64</v>
      </c>
      <c r="O64" s="175"/>
      <c r="P64" s="178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</row>
    <row r="65" spans="1:46" s="11" customFormat="1" ht="14.4" x14ac:dyDescent="0.3">
      <c r="A65" s="79" t="s">
        <v>66</v>
      </c>
      <c r="B65" s="80">
        <f>'GERAL 2022'!J38</f>
        <v>117.85</v>
      </c>
      <c r="C65" s="81">
        <v>6</v>
      </c>
      <c r="D65" s="80">
        <f t="shared" si="12"/>
        <v>19.641666666666666</v>
      </c>
      <c r="E65" s="82"/>
      <c r="F65" s="80"/>
      <c r="I65" s="14"/>
      <c r="J65" s="14"/>
      <c r="K65" s="14"/>
      <c r="L65" s="514" t="s">
        <v>237</v>
      </c>
      <c r="M65" s="514"/>
      <c r="N65" s="2">
        <v>19.84</v>
      </c>
      <c r="O65" s="175"/>
      <c r="P65" s="178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</row>
    <row r="66" spans="1:46" s="11" customFormat="1" ht="14.4" x14ac:dyDescent="0.3">
      <c r="A66" s="12" t="s">
        <v>67</v>
      </c>
      <c r="B66" s="2">
        <f>'GERAL 2022'!H38</f>
        <v>14.184042553191489</v>
      </c>
      <c r="C66" s="88">
        <v>5</v>
      </c>
      <c r="D66" s="2">
        <f t="shared" si="12"/>
        <v>2.8368085106382979</v>
      </c>
      <c r="E66" s="88"/>
      <c r="F66" s="88"/>
      <c r="I66" s="63"/>
      <c r="J66" s="63"/>
      <c r="K66" s="63"/>
      <c r="L66" s="514" t="s">
        <v>122</v>
      </c>
      <c r="M66" s="514"/>
      <c r="N66" s="2">
        <v>19.809999999999999</v>
      </c>
      <c r="O66" s="175"/>
      <c r="P66" s="178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</row>
    <row r="67" spans="1:46" s="11" customFormat="1" ht="14.4" x14ac:dyDescent="0.3">
      <c r="A67" s="79" t="s">
        <v>14</v>
      </c>
      <c r="B67" s="80">
        <f>'GERAL 2022'!J13</f>
        <v>117.85</v>
      </c>
      <c r="C67" s="82">
        <v>6</v>
      </c>
      <c r="D67" s="80">
        <f t="shared" si="12"/>
        <v>19.641666666666666</v>
      </c>
      <c r="E67" s="82"/>
      <c r="F67" s="80"/>
      <c r="I67" s="14"/>
      <c r="J67" s="14"/>
      <c r="K67" s="14"/>
      <c r="L67" s="514" t="s">
        <v>149</v>
      </c>
      <c r="M67" s="514"/>
      <c r="N67" s="2">
        <v>19.7</v>
      </c>
      <c r="O67" s="175"/>
      <c r="P67" s="178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</row>
    <row r="68" spans="1:46" s="11" customFormat="1" ht="14.4" x14ac:dyDescent="0.3">
      <c r="A68" s="12" t="s">
        <v>15</v>
      </c>
      <c r="B68" s="2">
        <f>'GERAL 2022'!H13</f>
        <v>14.184042553191489</v>
      </c>
      <c r="C68" s="88">
        <v>5</v>
      </c>
      <c r="D68" s="2">
        <f t="shared" si="12"/>
        <v>2.8368085106382979</v>
      </c>
      <c r="E68" s="88"/>
      <c r="F68" s="88"/>
      <c r="I68" s="87"/>
      <c r="J68" s="87"/>
      <c r="K68" s="87"/>
      <c r="L68" s="514" t="s">
        <v>123</v>
      </c>
      <c r="M68" s="514"/>
      <c r="N68" s="2">
        <v>19.84</v>
      </c>
      <c r="O68" s="175"/>
      <c r="P68" s="178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</row>
    <row r="69" spans="1:46" s="11" customFormat="1" ht="14.4" x14ac:dyDescent="0.3">
      <c r="A69" s="79" t="s">
        <v>55</v>
      </c>
      <c r="B69" s="80">
        <f>'GERAL 2022'!J14</f>
        <v>117.85</v>
      </c>
      <c r="C69" s="82">
        <v>6</v>
      </c>
      <c r="D69" s="80">
        <f t="shared" si="12"/>
        <v>19.641666666666666</v>
      </c>
      <c r="E69" s="82"/>
      <c r="F69" s="80"/>
      <c r="L69" s="514" t="s">
        <v>457</v>
      </c>
      <c r="M69" s="514"/>
      <c r="N69" s="2">
        <v>19.850000000000001</v>
      </c>
      <c r="O69" s="175"/>
      <c r="P69" s="178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</row>
    <row r="70" spans="1:46" s="11" customFormat="1" ht="14.4" x14ac:dyDescent="0.3">
      <c r="A70" s="12" t="s">
        <v>56</v>
      </c>
      <c r="B70" s="2">
        <f>'GERAL 2022'!H14</f>
        <v>14.184042553191489</v>
      </c>
      <c r="C70" s="88">
        <v>5</v>
      </c>
      <c r="D70" s="2">
        <f t="shared" si="12"/>
        <v>2.8368085106382979</v>
      </c>
      <c r="E70" s="88"/>
      <c r="F70" s="88"/>
      <c r="L70" s="514" t="s">
        <v>458</v>
      </c>
      <c r="M70" s="514"/>
      <c r="N70" s="2">
        <v>19.54</v>
      </c>
      <c r="O70" s="175"/>
      <c r="P70" s="178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</row>
    <row r="71" spans="1:46" s="11" customFormat="1" ht="14.4" x14ac:dyDescent="0.3">
      <c r="A71" s="79" t="s">
        <v>35</v>
      </c>
      <c r="B71" s="80">
        <f>'GERAL 2022'!J15</f>
        <v>117.85</v>
      </c>
      <c r="C71" s="82">
        <v>6</v>
      </c>
      <c r="D71" s="80">
        <f>B71/C71</f>
        <v>19.641666666666666</v>
      </c>
      <c r="E71" s="82"/>
      <c r="F71" s="80"/>
      <c r="L71" s="514" t="s">
        <v>459</v>
      </c>
      <c r="M71" s="514"/>
      <c r="N71" s="2">
        <v>19.54</v>
      </c>
      <c r="O71" s="175"/>
      <c r="P71" s="178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</row>
    <row r="72" spans="1:46" s="11" customFormat="1" ht="14.4" x14ac:dyDescent="0.3">
      <c r="A72" s="12" t="s">
        <v>36</v>
      </c>
      <c r="B72" s="2">
        <f>'GERAL 2022'!H15</f>
        <v>14.184042553191489</v>
      </c>
      <c r="C72" s="88">
        <v>5</v>
      </c>
      <c r="D72" s="2">
        <f>B72/C72</f>
        <v>2.8368085106382979</v>
      </c>
      <c r="E72" s="88"/>
      <c r="F72" s="88"/>
      <c r="I72" s="14"/>
      <c r="J72" s="14"/>
      <c r="K72" s="14"/>
      <c r="L72" s="514" t="s">
        <v>460</v>
      </c>
      <c r="M72" s="514"/>
      <c r="N72" s="2">
        <v>19.64</v>
      </c>
      <c r="O72" s="175"/>
      <c r="P72" s="178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</row>
    <row r="73" spans="1:46" s="11" customFormat="1" ht="14.4" x14ac:dyDescent="0.3">
      <c r="A73" s="79" t="s">
        <v>47</v>
      </c>
      <c r="B73" s="80">
        <f>'GERAL 2022'!J16</f>
        <v>117.85</v>
      </c>
      <c r="C73" s="82">
        <v>6</v>
      </c>
      <c r="D73" s="80">
        <f>B73/C73</f>
        <v>19.641666666666666</v>
      </c>
      <c r="E73" s="82"/>
      <c r="F73" s="80"/>
      <c r="I73" s="15"/>
      <c r="J73" s="15"/>
      <c r="K73" s="15"/>
      <c r="L73" s="514" t="s">
        <v>461</v>
      </c>
      <c r="M73" s="514"/>
      <c r="N73" s="2">
        <v>19.84</v>
      </c>
      <c r="O73" s="175"/>
      <c r="P73" s="178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</row>
    <row r="74" spans="1:46" s="11" customFormat="1" ht="14.4" x14ac:dyDescent="0.3">
      <c r="A74" s="12" t="s">
        <v>48</v>
      </c>
      <c r="B74" s="2">
        <f>'GERAL 2022'!H16</f>
        <v>14.184042553191489</v>
      </c>
      <c r="C74" s="88">
        <v>5</v>
      </c>
      <c r="D74" s="2">
        <f>B74/C74</f>
        <v>2.8368085106382979</v>
      </c>
      <c r="E74" s="88"/>
      <c r="F74" s="88"/>
      <c r="I74" s="14"/>
      <c r="J74" s="14"/>
      <c r="K74" s="14"/>
      <c r="L74" s="514" t="s">
        <v>152</v>
      </c>
      <c r="M74" s="514"/>
      <c r="N74" s="2">
        <v>19.93</v>
      </c>
      <c r="O74" s="175"/>
      <c r="P74" s="178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</row>
    <row r="75" spans="1:46" s="11" customFormat="1" ht="14.4" x14ac:dyDescent="0.3">
      <c r="A75" s="79" t="s">
        <v>16</v>
      </c>
      <c r="B75" s="80">
        <f>'GERAL 2022'!J40</f>
        <v>119.02</v>
      </c>
      <c r="C75" s="82">
        <v>6</v>
      </c>
      <c r="D75" s="80">
        <f t="shared" ref="D75:D100" si="13">B75/C75</f>
        <v>19.836666666666666</v>
      </c>
      <c r="E75" s="81"/>
      <c r="F75" s="81"/>
      <c r="I75" s="14"/>
      <c r="J75" s="14"/>
      <c r="K75" s="14"/>
      <c r="L75" s="514" t="s">
        <v>462</v>
      </c>
      <c r="M75" s="514"/>
      <c r="N75" s="165">
        <v>19.66</v>
      </c>
      <c r="O75" s="175"/>
      <c r="P75" s="178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</row>
    <row r="76" spans="1:46" s="11" customFormat="1" ht="14.4" x14ac:dyDescent="0.3">
      <c r="A76" s="12" t="s">
        <v>17</v>
      </c>
      <c r="B76" s="2">
        <f>'GERAL 2022'!H40</f>
        <v>19.857659574468084</v>
      </c>
      <c r="C76" s="88">
        <v>5</v>
      </c>
      <c r="D76" s="2">
        <f t="shared" si="13"/>
        <v>3.9715319148936166</v>
      </c>
      <c r="E76" s="88"/>
      <c r="F76" s="88"/>
      <c r="I76" s="14"/>
      <c r="J76" s="14"/>
      <c r="K76" s="14"/>
      <c r="L76" s="514" t="s">
        <v>125</v>
      </c>
      <c r="M76" s="514"/>
      <c r="N76" s="165">
        <v>19.7</v>
      </c>
      <c r="O76" s="175"/>
      <c r="P76" s="178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</row>
    <row r="77" spans="1:46" s="11" customFormat="1" x14ac:dyDescent="0.3">
      <c r="A77" s="79" t="s">
        <v>27</v>
      </c>
      <c r="B77" s="80">
        <f>'GERAL 2022'!J18</f>
        <v>118.87</v>
      </c>
      <c r="C77" s="82">
        <v>6</v>
      </c>
      <c r="D77" s="80">
        <f t="shared" si="13"/>
        <v>19.811666666666667</v>
      </c>
      <c r="E77" s="81"/>
      <c r="F77" s="82"/>
      <c r="I77" s="14"/>
      <c r="J77" s="14"/>
      <c r="K77" s="14"/>
      <c r="L77" s="542" t="s">
        <v>463</v>
      </c>
      <c r="M77" s="542"/>
      <c r="N77" s="2">
        <f>120*5</f>
        <v>600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</row>
    <row r="78" spans="1:46" s="69" customFormat="1" x14ac:dyDescent="0.3">
      <c r="A78" s="12" t="s">
        <v>28</v>
      </c>
      <c r="B78" s="2">
        <f>'GERAL 2022'!H18</f>
        <v>14.184042553191489</v>
      </c>
      <c r="C78" s="88">
        <v>5</v>
      </c>
      <c r="D78" s="2">
        <f t="shared" si="13"/>
        <v>2.8368085106382979</v>
      </c>
      <c r="E78" s="88"/>
      <c r="F78" s="90"/>
      <c r="G78" s="11"/>
      <c r="H78" s="11"/>
      <c r="I78" s="14"/>
      <c r="J78" s="14"/>
      <c r="K78" s="14"/>
      <c r="L78" s="542" t="s">
        <v>464</v>
      </c>
      <c r="M78" s="542"/>
      <c r="N78" s="2">
        <f>8.77*4</f>
        <v>35.08</v>
      </c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</row>
    <row r="79" spans="1:46" s="69" customFormat="1" x14ac:dyDescent="0.3">
      <c r="A79" s="79" t="s">
        <v>18</v>
      </c>
      <c r="B79" s="80">
        <f>'GERAL 2022'!J41</f>
        <v>118.18</v>
      </c>
      <c r="C79" s="82">
        <v>6</v>
      </c>
      <c r="D79" s="80">
        <f t="shared" si="13"/>
        <v>19.696666666666669</v>
      </c>
      <c r="E79" s="82"/>
      <c r="F79" s="80"/>
      <c r="G79" s="11"/>
      <c r="H79" s="11"/>
      <c r="I79" s="14"/>
      <c r="J79" s="14"/>
      <c r="K79" s="14"/>
      <c r="L79" s="520" t="s">
        <v>126</v>
      </c>
      <c r="M79" s="520"/>
      <c r="N79" s="2">
        <v>125.73</v>
      </c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</row>
    <row r="80" spans="1:46" s="69" customFormat="1" x14ac:dyDescent="0.3">
      <c r="A80" s="12" t="s">
        <v>19</v>
      </c>
      <c r="B80" s="2">
        <f>'GERAL 2022'!H41</f>
        <v>14.184042553191489</v>
      </c>
      <c r="C80" s="88">
        <v>5</v>
      </c>
      <c r="D80" s="2">
        <f>B80/C80</f>
        <v>2.8368085106382979</v>
      </c>
      <c r="E80" s="88"/>
      <c r="F80" s="88"/>
      <c r="G80" s="11"/>
      <c r="H80" s="11"/>
      <c r="I80" s="14"/>
      <c r="J80" s="14"/>
      <c r="K80" s="14"/>
      <c r="L80" s="516" t="s">
        <v>277</v>
      </c>
      <c r="M80" s="517"/>
      <c r="N80" s="2">
        <v>48.52</v>
      </c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</row>
    <row r="81" spans="1:46" s="69" customFormat="1" ht="14.4" x14ac:dyDescent="0.3">
      <c r="A81" s="79" t="s">
        <v>37</v>
      </c>
      <c r="B81" s="80">
        <f>'GERAL 2022'!J20</f>
        <v>119.02</v>
      </c>
      <c r="C81" s="82">
        <v>6</v>
      </c>
      <c r="D81" s="80">
        <f t="shared" si="13"/>
        <v>19.836666666666666</v>
      </c>
      <c r="E81" s="81"/>
      <c r="F81" s="82"/>
      <c r="G81" s="11"/>
      <c r="H81" s="11"/>
      <c r="I81" s="14"/>
      <c r="J81" s="14"/>
      <c r="K81" s="14"/>
      <c r="L81" s="566" t="s">
        <v>467</v>
      </c>
      <c r="M81" s="567"/>
      <c r="N81" s="141">
        <v>350</v>
      </c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</row>
    <row r="82" spans="1:46" s="69" customFormat="1" ht="14.4" x14ac:dyDescent="0.3">
      <c r="A82" s="12" t="s">
        <v>38</v>
      </c>
      <c r="B82" s="2">
        <f>'GERAL 2022'!H20</f>
        <v>14.184042553191489</v>
      </c>
      <c r="C82" s="88">
        <v>5</v>
      </c>
      <c r="D82" s="2">
        <f t="shared" si="13"/>
        <v>2.8368085106382979</v>
      </c>
      <c r="E82" s="88"/>
      <c r="F82" s="88"/>
      <c r="G82" s="11"/>
      <c r="H82" s="11"/>
      <c r="I82" s="14"/>
      <c r="J82" s="14"/>
      <c r="K82" s="14"/>
      <c r="L82" s="520" t="s">
        <v>378</v>
      </c>
      <c r="M82" s="520"/>
      <c r="N82" s="141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</row>
    <row r="83" spans="1:46" s="69" customFormat="1" x14ac:dyDescent="0.3">
      <c r="A83" s="79" t="s">
        <v>45</v>
      </c>
      <c r="B83" s="80">
        <f>'GERAL 2022'!J21</f>
        <v>118.43</v>
      </c>
      <c r="C83" s="82">
        <v>6</v>
      </c>
      <c r="D83" s="80">
        <f t="shared" si="13"/>
        <v>19.738333333333333</v>
      </c>
      <c r="E83" s="81"/>
      <c r="F83" s="82"/>
      <c r="G83" s="11"/>
      <c r="H83" s="11"/>
      <c r="I83" s="14"/>
      <c r="J83" s="14"/>
      <c r="K83" s="14"/>
      <c r="L83" s="568"/>
      <c r="M83" s="569"/>
      <c r="N83" s="4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</row>
    <row r="84" spans="1:46" s="69" customFormat="1" ht="14.4" x14ac:dyDescent="0.3">
      <c r="A84" s="12" t="s">
        <v>39</v>
      </c>
      <c r="B84" s="2">
        <f>'GERAL 2022'!H21</f>
        <v>14.184042553191489</v>
      </c>
      <c r="C84" s="88">
        <v>5</v>
      </c>
      <c r="D84" s="2">
        <f t="shared" si="13"/>
        <v>2.8368085106382979</v>
      </c>
      <c r="E84" s="88"/>
      <c r="F84" s="88"/>
      <c r="G84" s="11"/>
      <c r="H84" s="11"/>
      <c r="I84" s="14"/>
      <c r="J84" s="14"/>
      <c r="K84" s="14"/>
      <c r="L84" s="563"/>
      <c r="M84" s="563"/>
      <c r="N84" s="141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</row>
    <row r="85" spans="1:46" s="69" customFormat="1" x14ac:dyDescent="0.3">
      <c r="A85" s="81" t="s">
        <v>49</v>
      </c>
      <c r="B85" s="80">
        <f>'GERAL 2022'!J22</f>
        <v>119.12</v>
      </c>
      <c r="C85" s="82">
        <v>6</v>
      </c>
      <c r="D85" s="80">
        <f t="shared" si="13"/>
        <v>19.853333333333335</v>
      </c>
      <c r="E85" s="81"/>
      <c r="F85" s="82"/>
      <c r="G85" s="11"/>
      <c r="H85" s="11"/>
      <c r="I85" s="14"/>
      <c r="J85" s="14"/>
      <c r="K85" s="14"/>
      <c r="L85" s="520"/>
      <c r="M85" s="520"/>
      <c r="N85" s="2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</row>
    <row r="86" spans="1:46" s="69" customFormat="1" x14ac:dyDescent="0.3">
      <c r="A86" s="90" t="s">
        <v>50</v>
      </c>
      <c r="B86" s="2">
        <f>'GERAL 2022'!H22</f>
        <v>14.184042553191489</v>
      </c>
      <c r="C86" s="88">
        <v>5</v>
      </c>
      <c r="D86" s="2">
        <f t="shared" si="13"/>
        <v>2.8368085106382979</v>
      </c>
      <c r="E86" s="88"/>
      <c r="F86" s="88"/>
      <c r="G86" s="11"/>
      <c r="H86" s="11"/>
      <c r="I86" s="14"/>
      <c r="J86" s="14"/>
      <c r="K86" s="14"/>
      <c r="L86" s="520"/>
      <c r="M86" s="520"/>
      <c r="N86" s="9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</row>
    <row r="87" spans="1:46" s="69" customFormat="1" x14ac:dyDescent="0.3">
      <c r="A87" s="81" t="s">
        <v>43</v>
      </c>
      <c r="B87" s="80">
        <f>'GERAL 2022'!J23</f>
        <v>117.26</v>
      </c>
      <c r="C87" s="82">
        <v>6</v>
      </c>
      <c r="D87" s="80">
        <f t="shared" si="13"/>
        <v>19.543333333333333</v>
      </c>
      <c r="E87" s="81"/>
      <c r="F87" s="82"/>
      <c r="G87" s="11"/>
      <c r="H87" s="11"/>
      <c r="I87" s="14"/>
      <c r="J87" s="14"/>
      <c r="K87" s="14"/>
      <c r="L87" s="518"/>
      <c r="M87" s="518"/>
      <c r="N87" s="109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</row>
    <row r="88" spans="1:46" s="69" customFormat="1" x14ac:dyDescent="0.3">
      <c r="A88" s="90" t="s">
        <v>44</v>
      </c>
      <c r="B88" s="2">
        <f>'GERAL 2022'!H23</f>
        <v>14.184042553191489</v>
      </c>
      <c r="C88" s="88">
        <v>5</v>
      </c>
      <c r="D88" s="2">
        <f t="shared" si="13"/>
        <v>2.8368085106382979</v>
      </c>
      <c r="E88" s="88"/>
      <c r="F88" s="88"/>
      <c r="G88" s="11"/>
      <c r="H88" s="11"/>
      <c r="I88" s="14"/>
      <c r="J88" s="14"/>
      <c r="K88" s="14"/>
      <c r="L88" s="518" t="s">
        <v>26</v>
      </c>
      <c r="M88" s="518"/>
      <c r="N88" s="109">
        <f>SUM(N47:N87)</f>
        <v>3994.7540352331416</v>
      </c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</row>
    <row r="89" spans="1:46" s="69" customFormat="1" x14ac:dyDescent="0.3">
      <c r="A89" s="81" t="s">
        <v>51</v>
      </c>
      <c r="B89" s="80">
        <f>'GERAL 2022'!J24</f>
        <v>117.26</v>
      </c>
      <c r="C89" s="82">
        <v>6</v>
      </c>
      <c r="D89" s="80">
        <f t="shared" si="13"/>
        <v>19.543333333333333</v>
      </c>
      <c r="E89" s="82"/>
      <c r="F89" s="80"/>
      <c r="I89" s="142"/>
      <c r="J89" s="142"/>
      <c r="K89" s="142"/>
      <c r="L89" s="543"/>
      <c r="M89" s="543"/>
      <c r="N89" s="135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</row>
    <row r="90" spans="1:46" s="70" customFormat="1" x14ac:dyDescent="0.3">
      <c r="A90" s="90" t="s">
        <v>52</v>
      </c>
      <c r="B90" s="2">
        <f>'GERAL 2022'!H24</f>
        <v>14.184042553191489</v>
      </c>
      <c r="C90" s="88">
        <v>5</v>
      </c>
      <c r="D90" s="2">
        <f t="shared" si="13"/>
        <v>2.8368085106382979</v>
      </c>
      <c r="E90" s="88"/>
      <c r="F90" s="4"/>
      <c r="G90" s="63"/>
      <c r="H90" s="63"/>
      <c r="I90" s="69"/>
      <c r="J90" s="69"/>
      <c r="K90" s="69"/>
      <c r="L90" s="564" t="s">
        <v>11</v>
      </c>
      <c r="M90" s="565"/>
      <c r="N90" s="153">
        <f>I38+I8</f>
        <v>15499.510118325556</v>
      </c>
    </row>
    <row r="91" spans="1:46" s="70" customFormat="1" x14ac:dyDescent="0.3">
      <c r="A91" s="81" t="s">
        <v>53</v>
      </c>
      <c r="B91" s="80">
        <f>'GERAL 2022'!J25</f>
        <v>117.85</v>
      </c>
      <c r="C91" s="82">
        <v>6</v>
      </c>
      <c r="D91" s="80">
        <f t="shared" si="13"/>
        <v>19.641666666666666</v>
      </c>
      <c r="E91" s="82"/>
      <c r="F91" s="82"/>
      <c r="G91" s="11"/>
      <c r="H91" s="63"/>
      <c r="I91" s="142"/>
      <c r="J91" s="142"/>
      <c r="K91" s="142"/>
      <c r="L91" s="518"/>
      <c r="M91" s="518"/>
      <c r="N91" s="519"/>
      <c r="AT91" s="69"/>
    </row>
    <row r="92" spans="1:46" s="70" customFormat="1" x14ac:dyDescent="0.3">
      <c r="A92" s="90" t="s">
        <v>54</v>
      </c>
      <c r="B92" s="2">
        <f>'GERAL 2022'!H25</f>
        <v>14.184042553191489</v>
      </c>
      <c r="C92" s="88">
        <v>5</v>
      </c>
      <c r="D92" s="2">
        <f t="shared" si="13"/>
        <v>2.8368085106382979</v>
      </c>
      <c r="E92" s="88"/>
      <c r="F92" s="4"/>
      <c r="G92" s="142"/>
      <c r="H92" s="142"/>
      <c r="I92" s="142"/>
      <c r="J92" s="142"/>
      <c r="K92" s="142"/>
      <c r="L92" s="513" t="s">
        <v>13</v>
      </c>
      <c r="M92" s="513"/>
      <c r="N92" s="151">
        <f>N90-N88</f>
        <v>11504.756083092414</v>
      </c>
      <c r="AT92" s="69"/>
    </row>
    <row r="93" spans="1:46" s="70" customFormat="1" x14ac:dyDescent="0.3">
      <c r="A93" s="81" t="s">
        <v>78</v>
      </c>
      <c r="B93" s="80">
        <f>'GERAL 2022'!J26</f>
        <v>119.02</v>
      </c>
      <c r="C93" s="82">
        <v>6</v>
      </c>
      <c r="D93" s="80">
        <f t="shared" si="13"/>
        <v>19.836666666666666</v>
      </c>
      <c r="E93" s="82"/>
      <c r="F93" s="82"/>
      <c r="G93" s="11"/>
      <c r="H93" s="63"/>
      <c r="I93" s="142"/>
      <c r="J93" s="142"/>
      <c r="K93" s="142"/>
      <c r="L93" s="123"/>
      <c r="M93" s="123"/>
      <c r="N93" s="133"/>
      <c r="AT93" s="69"/>
    </row>
    <row r="94" spans="1:46" s="70" customFormat="1" x14ac:dyDescent="0.3">
      <c r="A94" s="90" t="s">
        <v>79</v>
      </c>
      <c r="B94" s="2">
        <f>'GERAL 2022'!H26</f>
        <v>19.857659574468084</v>
      </c>
      <c r="C94" s="88">
        <v>5</v>
      </c>
      <c r="D94" s="2">
        <f t="shared" si="13"/>
        <v>3.9715319148936166</v>
      </c>
      <c r="E94" s="88"/>
      <c r="F94" s="4"/>
      <c r="G94" s="142"/>
      <c r="H94" s="142"/>
      <c r="I94" s="142"/>
      <c r="J94" s="142"/>
      <c r="K94" s="142"/>
      <c r="L94" s="124"/>
      <c r="M94" s="124"/>
      <c r="N94" s="134"/>
      <c r="AT94" s="69"/>
    </row>
    <row r="95" spans="1:46" s="70" customFormat="1" x14ac:dyDescent="0.3">
      <c r="A95" s="81" t="s">
        <v>80</v>
      </c>
      <c r="B95" s="80">
        <f>'GERAL 2022'!J27</f>
        <v>119.7</v>
      </c>
      <c r="C95" s="82">
        <v>6</v>
      </c>
      <c r="D95" s="80">
        <f t="shared" si="13"/>
        <v>19.95</v>
      </c>
      <c r="E95" s="82"/>
      <c r="F95" s="82"/>
      <c r="G95" s="11"/>
      <c r="H95" s="63"/>
      <c r="I95" s="142"/>
      <c r="J95" s="142"/>
      <c r="K95" s="142"/>
      <c r="L95" s="124"/>
      <c r="M95" s="124"/>
      <c r="N95" s="57"/>
      <c r="AT95" s="69"/>
    </row>
    <row r="96" spans="1:46" s="70" customFormat="1" x14ac:dyDescent="0.3">
      <c r="A96" s="90" t="s">
        <v>81</v>
      </c>
      <c r="B96" s="2">
        <f>'GERAL 2022'!H27</f>
        <v>14.184042553191489</v>
      </c>
      <c r="C96" s="88">
        <v>5</v>
      </c>
      <c r="D96" s="2">
        <f t="shared" si="13"/>
        <v>2.8368085106382979</v>
      </c>
      <c r="E96" s="88"/>
      <c r="F96" s="4"/>
      <c r="G96" s="142"/>
      <c r="H96" s="142"/>
      <c r="I96" s="142"/>
      <c r="J96" s="142"/>
      <c r="K96" s="142"/>
      <c r="L96" s="124"/>
      <c r="M96" s="124"/>
      <c r="N96" s="57"/>
      <c r="AT96" s="69"/>
    </row>
    <row r="97" spans="1:46" s="70" customFormat="1" x14ac:dyDescent="0.3">
      <c r="A97" s="81" t="s">
        <v>82</v>
      </c>
      <c r="B97" s="80">
        <f>'GERAL 2022'!J28</f>
        <v>117.95</v>
      </c>
      <c r="C97" s="82">
        <v>6</v>
      </c>
      <c r="D97" s="80">
        <f t="shared" si="13"/>
        <v>19.658333333333335</v>
      </c>
      <c r="E97" s="82"/>
      <c r="F97" s="82"/>
      <c r="G97" s="11"/>
      <c r="H97" s="63"/>
      <c r="I97" s="142"/>
      <c r="J97" s="142"/>
      <c r="K97" s="142"/>
      <c r="L97" s="124"/>
      <c r="M97" s="124"/>
      <c r="N97" s="57"/>
      <c r="AT97" s="69"/>
    </row>
    <row r="98" spans="1:46" s="70" customFormat="1" x14ac:dyDescent="0.3">
      <c r="A98" s="90" t="s">
        <v>83</v>
      </c>
      <c r="B98" s="2">
        <f>'GERAL 2022'!H28</f>
        <v>14.184042553191489</v>
      </c>
      <c r="C98" s="88">
        <v>5</v>
      </c>
      <c r="D98" s="2">
        <f t="shared" si="13"/>
        <v>2.8368085106382979</v>
      </c>
      <c r="E98" s="88"/>
      <c r="F98" s="4"/>
      <c r="G98" s="142"/>
      <c r="H98" s="142"/>
      <c r="I98" s="142"/>
      <c r="J98" s="142"/>
      <c r="K98" s="142"/>
      <c r="L98" s="124"/>
      <c r="M98" s="124"/>
      <c r="N98" s="57"/>
      <c r="AT98" s="69"/>
    </row>
    <row r="99" spans="1:46" s="70" customFormat="1" x14ac:dyDescent="0.3">
      <c r="A99" s="81" t="s">
        <v>84</v>
      </c>
      <c r="B99" s="80">
        <f>'GERAL 2022'!J45</f>
        <v>118.18</v>
      </c>
      <c r="C99" s="82">
        <v>6</v>
      </c>
      <c r="D99" s="80">
        <f t="shared" si="13"/>
        <v>19.696666666666669</v>
      </c>
      <c r="E99" s="82"/>
      <c r="F99" s="82"/>
      <c r="G99" s="11"/>
      <c r="H99" s="63"/>
      <c r="I99" s="142"/>
      <c r="J99" s="142"/>
      <c r="K99" s="142"/>
      <c r="L99" s="15"/>
      <c r="M99" s="14"/>
      <c r="N99" s="57"/>
      <c r="AT99" s="69"/>
    </row>
    <row r="100" spans="1:46" s="70" customFormat="1" x14ac:dyDescent="0.3">
      <c r="A100" s="90" t="s">
        <v>85</v>
      </c>
      <c r="B100" s="2">
        <f>'GERAL 2022'!H45</f>
        <v>14.184042553191489</v>
      </c>
      <c r="C100" s="88">
        <v>5</v>
      </c>
      <c r="D100" s="2">
        <f t="shared" si="13"/>
        <v>2.8368085106382979</v>
      </c>
      <c r="E100" s="88"/>
      <c r="F100" s="4"/>
      <c r="G100" s="142"/>
      <c r="H100" s="142"/>
      <c r="I100" s="142"/>
      <c r="J100" s="142"/>
      <c r="K100" s="142"/>
      <c r="L100" s="11"/>
      <c r="M100" s="15"/>
      <c r="N100" s="57"/>
      <c r="AT100" s="69"/>
    </row>
    <row r="101" spans="1:46" s="70" customFormat="1" x14ac:dyDescent="0.3">
      <c r="A101" s="69"/>
      <c r="B101" s="69"/>
      <c r="C101" s="69"/>
      <c r="D101" s="69"/>
      <c r="E101" s="69"/>
      <c r="F101" s="69"/>
      <c r="G101" s="142"/>
      <c r="H101" s="142"/>
      <c r="I101" s="142"/>
      <c r="J101" s="142"/>
      <c r="K101" s="142"/>
      <c r="L101" s="11"/>
      <c r="M101" s="11"/>
      <c r="N101" s="57"/>
      <c r="AT101" s="69"/>
    </row>
    <row r="102" spans="1:46" s="70" customFormat="1" ht="14.4" thickBot="1" x14ac:dyDescent="0.35">
      <c r="A102" s="69"/>
      <c r="B102" s="69"/>
      <c r="C102" s="69"/>
      <c r="D102" s="69"/>
      <c r="E102" s="69"/>
      <c r="F102" s="69"/>
      <c r="G102" s="143"/>
      <c r="H102" s="143"/>
      <c r="I102" s="143"/>
      <c r="J102" s="143"/>
      <c r="K102" s="143"/>
      <c r="L102" s="14"/>
      <c r="M102" s="14"/>
      <c r="N102" s="57"/>
      <c r="AT102" s="69"/>
    </row>
    <row r="103" spans="1:46" s="70" customFormat="1" x14ac:dyDescent="0.3">
      <c r="A103" s="69"/>
      <c r="B103" s="69"/>
      <c r="C103" s="69"/>
      <c r="D103" s="69"/>
      <c r="E103" s="69"/>
      <c r="F103" s="69"/>
      <c r="G103" s="69"/>
      <c r="H103" s="69"/>
      <c r="I103" s="142"/>
      <c r="J103" s="142"/>
      <c r="K103" s="142"/>
      <c r="L103" s="14"/>
      <c r="M103" s="15"/>
      <c r="N103" s="57"/>
      <c r="AT103" s="69"/>
    </row>
    <row r="104" spans="1:46" s="70" customFormat="1" x14ac:dyDescent="0.3">
      <c r="A104" s="69"/>
      <c r="B104" s="69"/>
      <c r="C104" s="69"/>
      <c r="D104" s="69"/>
      <c r="E104" s="69"/>
      <c r="F104" s="69"/>
      <c r="G104" s="69"/>
      <c r="H104" s="69"/>
      <c r="I104" s="142"/>
      <c r="J104" s="142"/>
      <c r="K104" s="142"/>
      <c r="L104" s="14"/>
      <c r="M104" s="11"/>
      <c r="N104" s="57"/>
      <c r="AT104" s="69"/>
    </row>
    <row r="105" spans="1:46" s="70" customFormat="1" x14ac:dyDescent="0.3">
      <c r="A105" s="69"/>
      <c r="B105" s="69"/>
      <c r="C105" s="69"/>
      <c r="D105" s="69"/>
      <c r="E105" s="69"/>
      <c r="F105" s="69"/>
      <c r="G105" s="69"/>
      <c r="H105" s="69"/>
      <c r="I105" s="142"/>
      <c r="J105" s="142"/>
      <c r="K105" s="142"/>
      <c r="L105" s="14"/>
      <c r="M105" s="11"/>
      <c r="N105" s="57"/>
      <c r="AT105" s="69"/>
    </row>
    <row r="106" spans="1:46" s="70" customFormat="1" x14ac:dyDescent="0.3">
      <c r="A106" s="69"/>
      <c r="B106" s="69"/>
      <c r="C106" s="69"/>
      <c r="D106" s="69"/>
      <c r="E106" s="69"/>
      <c r="F106" s="69"/>
      <c r="G106" s="69"/>
      <c r="H106" s="69"/>
      <c r="I106" s="142"/>
      <c r="J106" s="142"/>
      <c r="K106" s="142"/>
      <c r="L106" s="11"/>
      <c r="M106" s="11"/>
      <c r="N106" s="57"/>
      <c r="AT106" s="69"/>
    </row>
    <row r="107" spans="1:46" s="70" customFormat="1" x14ac:dyDescent="0.3">
      <c r="A107" s="69"/>
      <c r="B107" s="69"/>
      <c r="C107" s="69"/>
      <c r="D107" s="69"/>
      <c r="E107" s="69"/>
      <c r="F107" s="69"/>
      <c r="G107" s="69"/>
      <c r="H107" s="69"/>
      <c r="I107" s="142"/>
      <c r="J107" s="142"/>
      <c r="K107" s="142"/>
      <c r="L107" s="11"/>
      <c r="M107" s="14"/>
      <c r="N107" s="57"/>
      <c r="AT107" s="69"/>
    </row>
    <row r="108" spans="1:46" s="70" customFormat="1" x14ac:dyDescent="0.3">
      <c r="A108" s="69"/>
      <c r="B108" s="69"/>
      <c r="C108" s="69"/>
      <c r="D108" s="69"/>
      <c r="E108" s="69"/>
      <c r="F108" s="69"/>
      <c r="G108" s="69"/>
      <c r="H108" s="69"/>
      <c r="I108" s="142"/>
      <c r="J108" s="142"/>
      <c r="K108" s="142"/>
      <c r="L108" s="11"/>
      <c r="M108" s="14"/>
      <c r="N108" s="57"/>
      <c r="AT108" s="69"/>
    </row>
    <row r="109" spans="1:46" s="70" customFormat="1" x14ac:dyDescent="0.3">
      <c r="G109" s="69"/>
      <c r="H109" s="69"/>
      <c r="I109" s="142"/>
      <c r="J109" s="142"/>
      <c r="K109" s="142"/>
      <c r="L109" s="11"/>
      <c r="M109" s="14"/>
      <c r="N109" s="57"/>
      <c r="AT109" s="69"/>
    </row>
    <row r="110" spans="1:46" s="70" customFormat="1" x14ac:dyDescent="0.3">
      <c r="I110" s="142"/>
      <c r="J110" s="142"/>
      <c r="K110" s="142"/>
      <c r="L110" s="11"/>
      <c r="M110" s="14"/>
      <c r="N110" s="57"/>
      <c r="AT110" s="69"/>
    </row>
    <row r="111" spans="1:46" s="70" customFormat="1" x14ac:dyDescent="0.3">
      <c r="I111" s="142"/>
      <c r="J111" s="142"/>
      <c r="K111" s="142"/>
      <c r="L111" s="11"/>
      <c r="M111" s="11"/>
      <c r="N111" s="57"/>
      <c r="AT111" s="69"/>
    </row>
    <row r="112" spans="1:46" s="70" customFormat="1" x14ac:dyDescent="0.3">
      <c r="I112" s="142"/>
      <c r="J112" s="142"/>
      <c r="K112" s="142"/>
      <c r="L112" s="11"/>
      <c r="M112" s="11"/>
      <c r="N112" s="57"/>
      <c r="AT112" s="69"/>
    </row>
    <row r="113" spans="9:46" s="70" customFormat="1" x14ac:dyDescent="0.3">
      <c r="I113" s="142"/>
      <c r="J113" s="142"/>
      <c r="K113" s="142"/>
      <c r="L113" s="69"/>
      <c r="M113" s="69"/>
      <c r="N113" s="69"/>
      <c r="AT113" s="69"/>
    </row>
    <row r="114" spans="9:46" s="70" customFormat="1" x14ac:dyDescent="0.3">
      <c r="I114" s="142"/>
      <c r="J114" s="142"/>
      <c r="K114" s="142"/>
      <c r="L114" s="69"/>
      <c r="M114" s="69"/>
      <c r="N114" s="69"/>
      <c r="AT114" s="69"/>
    </row>
    <row r="115" spans="9:46" s="70" customFormat="1" x14ac:dyDescent="0.3">
      <c r="I115" s="142"/>
      <c r="J115" s="142"/>
      <c r="K115" s="142"/>
      <c r="L115" s="69"/>
      <c r="M115" s="69"/>
      <c r="N115" s="69"/>
      <c r="AT115" s="69"/>
    </row>
    <row r="116" spans="9:46" s="70" customFormat="1" x14ac:dyDescent="0.3">
      <c r="I116" s="142"/>
      <c r="J116" s="142"/>
      <c r="K116" s="142"/>
      <c r="L116" s="69"/>
      <c r="M116" s="69"/>
      <c r="N116" s="69"/>
      <c r="AT116" s="69"/>
    </row>
    <row r="117" spans="9:46" s="70" customFormat="1" x14ac:dyDescent="0.3">
      <c r="I117" s="142"/>
      <c r="J117" s="142"/>
      <c r="K117" s="142"/>
      <c r="L117" s="69"/>
      <c r="M117" s="69"/>
      <c r="N117" s="69"/>
      <c r="AT117" s="69"/>
    </row>
    <row r="118" spans="9:46" s="70" customFormat="1" x14ac:dyDescent="0.3">
      <c r="I118" s="142"/>
      <c r="J118" s="142"/>
      <c r="K118" s="142"/>
      <c r="L118" s="69"/>
      <c r="M118" s="69"/>
      <c r="N118" s="69"/>
      <c r="AT118" s="69"/>
    </row>
    <row r="119" spans="9:46" s="70" customFormat="1" x14ac:dyDescent="0.3">
      <c r="I119" s="142"/>
      <c r="J119" s="142"/>
      <c r="K119" s="142"/>
      <c r="L119" s="69"/>
      <c r="M119" s="69"/>
      <c r="N119" s="69"/>
      <c r="AT119" s="69"/>
    </row>
    <row r="120" spans="9:46" s="70" customFormat="1" x14ac:dyDescent="0.3">
      <c r="I120" s="142"/>
      <c r="J120" s="142"/>
      <c r="K120" s="142"/>
      <c r="L120" s="144"/>
      <c r="M120" s="69"/>
      <c r="N120" s="69"/>
      <c r="AT120" s="69"/>
    </row>
    <row r="121" spans="9:46" s="70" customFormat="1" x14ac:dyDescent="0.3">
      <c r="I121" s="142"/>
      <c r="J121" s="142"/>
      <c r="K121" s="142"/>
      <c r="L121" s="144"/>
      <c r="M121" s="69"/>
      <c r="N121" s="69"/>
      <c r="AT121" s="69"/>
    </row>
    <row r="122" spans="9:46" s="70" customFormat="1" x14ac:dyDescent="0.3">
      <c r="I122" s="142"/>
      <c r="J122" s="142"/>
      <c r="K122" s="142"/>
      <c r="L122" s="144"/>
      <c r="M122" s="69"/>
      <c r="AT122" s="69"/>
    </row>
    <row r="123" spans="9:46" s="70" customFormat="1" x14ac:dyDescent="0.3">
      <c r="I123" s="142"/>
      <c r="J123" s="142"/>
      <c r="K123" s="142"/>
      <c r="L123" s="144"/>
      <c r="M123" s="69"/>
      <c r="AT123" s="69"/>
    </row>
    <row r="124" spans="9:46" s="70" customFormat="1" x14ac:dyDescent="0.3">
      <c r="I124" s="142"/>
      <c r="J124" s="142"/>
      <c r="K124" s="142"/>
      <c r="L124" s="144"/>
      <c r="M124" s="69"/>
      <c r="AT124" s="69"/>
    </row>
    <row r="125" spans="9:46" s="70" customFormat="1" x14ac:dyDescent="0.3">
      <c r="I125" s="142"/>
      <c r="J125" s="142"/>
      <c r="K125" s="142"/>
      <c r="L125" s="144"/>
      <c r="M125" s="144"/>
      <c r="AT125" s="69"/>
    </row>
    <row r="126" spans="9:46" s="70" customFormat="1" x14ac:dyDescent="0.3">
      <c r="I126" s="142"/>
      <c r="J126" s="142"/>
      <c r="K126" s="142"/>
      <c r="L126" s="144"/>
      <c r="M126" s="144"/>
      <c r="AT126" s="69"/>
    </row>
    <row r="127" spans="9:46" s="70" customFormat="1" x14ac:dyDescent="0.3">
      <c r="I127" s="142"/>
      <c r="J127" s="142"/>
      <c r="K127" s="142"/>
      <c r="L127" s="144"/>
      <c r="M127" s="144"/>
      <c r="AT127" s="69"/>
    </row>
    <row r="128" spans="9:46" s="70" customFormat="1" x14ac:dyDescent="0.3">
      <c r="I128" s="142"/>
      <c r="J128" s="142"/>
      <c r="K128" s="142"/>
      <c r="L128" s="144"/>
      <c r="M128" s="144"/>
      <c r="AT128" s="69"/>
    </row>
    <row r="129" spans="9:46" s="70" customFormat="1" x14ac:dyDescent="0.3">
      <c r="I129" s="142"/>
      <c r="J129" s="142"/>
      <c r="K129" s="142"/>
      <c r="L129" s="144"/>
      <c r="M129" s="144"/>
      <c r="AT129" s="69"/>
    </row>
    <row r="130" spans="9:46" s="70" customFormat="1" x14ac:dyDescent="0.3">
      <c r="I130" s="142"/>
      <c r="J130" s="142"/>
      <c r="K130" s="142"/>
      <c r="L130" s="144"/>
      <c r="M130" s="144"/>
      <c r="AT130" s="69"/>
    </row>
    <row r="131" spans="9:46" s="70" customFormat="1" x14ac:dyDescent="0.3">
      <c r="I131" s="142"/>
      <c r="J131" s="142"/>
      <c r="K131" s="142"/>
      <c r="L131" s="144"/>
      <c r="M131" s="144"/>
      <c r="AT131" s="69"/>
    </row>
    <row r="132" spans="9:46" s="70" customFormat="1" x14ac:dyDescent="0.3">
      <c r="I132" s="142"/>
      <c r="J132" s="142"/>
      <c r="K132" s="142"/>
      <c r="L132" s="144"/>
      <c r="M132" s="144"/>
      <c r="AT132" s="69"/>
    </row>
    <row r="133" spans="9:46" s="70" customFormat="1" x14ac:dyDescent="0.3">
      <c r="I133" s="142"/>
      <c r="J133" s="142"/>
      <c r="K133" s="142"/>
      <c r="L133" s="144"/>
      <c r="M133" s="144"/>
      <c r="AT133" s="69"/>
    </row>
    <row r="134" spans="9:46" s="70" customFormat="1" x14ac:dyDescent="0.3">
      <c r="I134" s="142"/>
      <c r="J134" s="142"/>
      <c r="K134" s="142"/>
      <c r="L134" s="144"/>
      <c r="M134" s="144"/>
      <c r="AT134" s="69"/>
    </row>
    <row r="135" spans="9:46" s="70" customFormat="1" x14ac:dyDescent="0.3">
      <c r="I135" s="142"/>
      <c r="J135" s="142"/>
      <c r="K135" s="142"/>
      <c r="L135" s="144"/>
      <c r="M135" s="144"/>
      <c r="AT135" s="69"/>
    </row>
    <row r="136" spans="9:46" s="70" customFormat="1" x14ac:dyDescent="0.3">
      <c r="I136" s="142"/>
      <c r="J136" s="142"/>
      <c r="K136" s="142"/>
      <c r="L136" s="144"/>
      <c r="M136" s="144"/>
      <c r="AT136" s="69"/>
    </row>
    <row r="137" spans="9:46" s="70" customFormat="1" x14ac:dyDescent="0.3">
      <c r="I137" s="142"/>
      <c r="J137" s="142"/>
      <c r="K137" s="142"/>
      <c r="L137" s="144"/>
      <c r="M137" s="144"/>
      <c r="AT137" s="69"/>
    </row>
    <row r="138" spans="9:46" s="70" customFormat="1" x14ac:dyDescent="0.3">
      <c r="I138" s="142"/>
      <c r="J138" s="142"/>
      <c r="K138" s="142"/>
      <c r="L138" s="144"/>
      <c r="M138" s="144"/>
      <c r="AT138" s="69"/>
    </row>
    <row r="139" spans="9:46" s="70" customFormat="1" x14ac:dyDescent="0.3">
      <c r="I139" s="142"/>
      <c r="J139" s="142"/>
      <c r="K139" s="142"/>
      <c r="L139" s="144"/>
      <c r="M139" s="144"/>
      <c r="AT139" s="69"/>
    </row>
    <row r="140" spans="9:46" s="70" customFormat="1" x14ac:dyDescent="0.3">
      <c r="I140" s="142"/>
      <c r="J140" s="142"/>
      <c r="K140" s="142"/>
      <c r="L140" s="144"/>
      <c r="M140" s="144"/>
      <c r="AT140" s="69"/>
    </row>
    <row r="141" spans="9:46" s="70" customFormat="1" x14ac:dyDescent="0.3">
      <c r="I141" s="142"/>
      <c r="J141" s="142"/>
      <c r="K141" s="142"/>
      <c r="L141" s="144"/>
      <c r="M141" s="144"/>
      <c r="AT141" s="69"/>
    </row>
    <row r="142" spans="9:46" s="70" customFormat="1" x14ac:dyDescent="0.3">
      <c r="I142" s="142"/>
      <c r="J142" s="142"/>
      <c r="K142" s="142"/>
      <c r="L142" s="144"/>
      <c r="M142" s="144"/>
      <c r="AT142" s="69"/>
    </row>
    <row r="143" spans="9:46" s="70" customFormat="1" x14ac:dyDescent="0.3">
      <c r="I143" s="142"/>
      <c r="J143" s="142"/>
      <c r="K143" s="142"/>
      <c r="L143" s="144"/>
      <c r="M143" s="144"/>
      <c r="AT143" s="69"/>
    </row>
    <row r="144" spans="9:46" s="70" customFormat="1" x14ac:dyDescent="0.3">
      <c r="I144" s="142"/>
      <c r="J144" s="142"/>
      <c r="K144" s="142"/>
      <c r="L144" s="144"/>
      <c r="M144" s="144"/>
      <c r="AT144" s="69"/>
    </row>
    <row r="145" spans="9:46" s="70" customFormat="1" x14ac:dyDescent="0.3">
      <c r="I145" s="142"/>
      <c r="J145" s="142"/>
      <c r="K145" s="142"/>
      <c r="L145" s="144"/>
      <c r="M145" s="144"/>
      <c r="AT145" s="69"/>
    </row>
    <row r="146" spans="9:46" s="70" customFormat="1" x14ac:dyDescent="0.3">
      <c r="I146" s="142"/>
      <c r="J146" s="142"/>
      <c r="K146" s="142"/>
      <c r="L146" s="144"/>
      <c r="M146" s="144"/>
      <c r="AT146" s="69"/>
    </row>
    <row r="147" spans="9:46" s="70" customFormat="1" x14ac:dyDescent="0.3">
      <c r="I147" s="142"/>
      <c r="J147" s="142"/>
      <c r="K147" s="142"/>
      <c r="L147" s="144"/>
      <c r="M147" s="144"/>
      <c r="AT147" s="69"/>
    </row>
    <row r="148" spans="9:46" s="70" customFormat="1" x14ac:dyDescent="0.3">
      <c r="I148" s="142"/>
      <c r="J148" s="142"/>
      <c r="K148" s="142"/>
      <c r="L148" s="144"/>
      <c r="M148" s="144"/>
      <c r="AT148" s="69"/>
    </row>
    <row r="149" spans="9:46" s="70" customFormat="1" x14ac:dyDescent="0.3">
      <c r="I149" s="142"/>
      <c r="J149" s="142"/>
      <c r="K149" s="142"/>
      <c r="L149" s="144"/>
      <c r="M149" s="144"/>
      <c r="AT149" s="69"/>
    </row>
    <row r="150" spans="9:46" s="70" customFormat="1" x14ac:dyDescent="0.3">
      <c r="I150" s="142"/>
      <c r="J150" s="142"/>
      <c r="K150" s="142"/>
      <c r="L150" s="144"/>
      <c r="M150" s="144"/>
      <c r="AT150" s="69"/>
    </row>
    <row r="151" spans="9:46" s="70" customFormat="1" x14ac:dyDescent="0.3">
      <c r="I151" s="142"/>
      <c r="J151" s="142"/>
      <c r="K151" s="142"/>
      <c r="L151" s="144"/>
      <c r="M151" s="144"/>
      <c r="AT151" s="69"/>
    </row>
    <row r="152" spans="9:46" s="70" customFormat="1" x14ac:dyDescent="0.3">
      <c r="I152" s="142"/>
      <c r="J152" s="142"/>
      <c r="K152" s="142"/>
      <c r="L152" s="144"/>
      <c r="M152" s="144"/>
      <c r="AT152" s="69"/>
    </row>
    <row r="153" spans="9:46" s="70" customFormat="1" x14ac:dyDescent="0.3">
      <c r="I153" s="142"/>
      <c r="J153" s="142"/>
      <c r="K153" s="142"/>
      <c r="L153" s="144"/>
      <c r="M153" s="144"/>
      <c r="AT153" s="69"/>
    </row>
    <row r="154" spans="9:46" s="70" customFormat="1" x14ac:dyDescent="0.3">
      <c r="I154" s="142"/>
      <c r="J154" s="142"/>
      <c r="K154" s="142"/>
      <c r="L154" s="144"/>
      <c r="M154" s="144"/>
      <c r="AT154" s="69"/>
    </row>
    <row r="155" spans="9:46" s="70" customFormat="1" x14ac:dyDescent="0.3">
      <c r="I155" s="142"/>
      <c r="J155" s="142"/>
      <c r="K155" s="142"/>
      <c r="L155" s="144"/>
      <c r="M155" s="144"/>
      <c r="AT155" s="69"/>
    </row>
    <row r="156" spans="9:46" s="70" customFormat="1" x14ac:dyDescent="0.3">
      <c r="I156" s="142"/>
      <c r="J156" s="142"/>
      <c r="K156" s="142"/>
      <c r="L156" s="144"/>
      <c r="M156" s="144"/>
      <c r="AT156" s="69"/>
    </row>
    <row r="157" spans="9:46" s="70" customFormat="1" x14ac:dyDescent="0.3">
      <c r="I157" s="142"/>
      <c r="J157" s="142"/>
      <c r="K157" s="142"/>
      <c r="L157" s="144"/>
      <c r="M157" s="144"/>
      <c r="AT157" s="69"/>
    </row>
    <row r="158" spans="9:46" s="70" customFormat="1" x14ac:dyDescent="0.3">
      <c r="I158" s="142"/>
      <c r="J158" s="142"/>
      <c r="K158" s="142"/>
      <c r="L158" s="144"/>
      <c r="M158" s="144"/>
      <c r="AT158" s="69"/>
    </row>
    <row r="159" spans="9:46" s="70" customFormat="1" x14ac:dyDescent="0.3">
      <c r="I159" s="142"/>
      <c r="J159" s="142"/>
      <c r="K159" s="142"/>
      <c r="L159" s="144"/>
      <c r="M159" s="144"/>
      <c r="AT159" s="69"/>
    </row>
    <row r="160" spans="9:46" s="70" customFormat="1" x14ac:dyDescent="0.3">
      <c r="I160" s="142"/>
      <c r="J160" s="142"/>
      <c r="K160" s="142"/>
      <c r="L160" s="144"/>
      <c r="M160" s="144"/>
      <c r="AT160" s="69"/>
    </row>
    <row r="161" spans="1:47" s="70" customFormat="1" x14ac:dyDescent="0.3">
      <c r="I161" s="142"/>
      <c r="J161" s="142"/>
      <c r="K161" s="142"/>
      <c r="L161" s="144"/>
      <c r="M161" s="144"/>
      <c r="AT161" s="69"/>
    </row>
    <row r="162" spans="1:47" s="70" customFormat="1" x14ac:dyDescent="0.3">
      <c r="I162" s="142"/>
      <c r="J162" s="142"/>
      <c r="K162" s="142"/>
      <c r="L162" s="144"/>
      <c r="M162" s="144"/>
      <c r="AT162" s="69"/>
    </row>
    <row r="163" spans="1:47" s="70" customFormat="1" x14ac:dyDescent="0.3">
      <c r="I163" s="142"/>
      <c r="J163" s="142"/>
      <c r="K163" s="142"/>
      <c r="L163" s="144"/>
      <c r="M163" s="144"/>
      <c r="AT163" s="69"/>
    </row>
    <row r="164" spans="1:47" s="70" customFormat="1" x14ac:dyDescent="0.3">
      <c r="I164" s="142"/>
      <c r="J164" s="142"/>
      <c r="K164" s="142"/>
      <c r="L164" s="144"/>
      <c r="M164" s="144"/>
      <c r="AT164" s="69"/>
    </row>
    <row r="165" spans="1:47" s="145" customFormat="1" x14ac:dyDescent="0.3">
      <c r="A165" s="70"/>
      <c r="B165" s="70"/>
      <c r="C165" s="70"/>
      <c r="D165" s="70"/>
      <c r="E165" s="70"/>
      <c r="F165" s="70"/>
      <c r="G165" s="70"/>
      <c r="H165" s="70"/>
      <c r="I165" s="142"/>
      <c r="J165" s="142"/>
      <c r="K165" s="142"/>
      <c r="L165" s="144"/>
      <c r="M165" s="144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69"/>
      <c r="AU165" s="70"/>
    </row>
    <row r="166" spans="1:47" s="145" customFormat="1" x14ac:dyDescent="0.3">
      <c r="A166" s="70"/>
      <c r="B166" s="70"/>
      <c r="C166" s="70"/>
      <c r="D166" s="70"/>
      <c r="E166" s="70"/>
      <c r="F166" s="70"/>
      <c r="G166" s="70"/>
      <c r="H166" s="70"/>
      <c r="I166" s="142"/>
      <c r="J166" s="142"/>
      <c r="K166" s="142"/>
      <c r="L166" s="144"/>
      <c r="M166" s="144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69"/>
      <c r="AU166" s="70"/>
    </row>
    <row r="167" spans="1:47" s="145" customFormat="1" x14ac:dyDescent="0.3">
      <c r="A167" s="70"/>
      <c r="B167" s="70"/>
      <c r="C167" s="70"/>
      <c r="D167" s="70"/>
      <c r="E167" s="70"/>
      <c r="F167" s="70"/>
      <c r="G167" s="70"/>
      <c r="H167" s="70"/>
      <c r="I167" s="142"/>
      <c r="J167" s="142"/>
      <c r="K167" s="142"/>
      <c r="L167" s="144"/>
      <c r="M167" s="144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69"/>
      <c r="AU167" s="70"/>
    </row>
    <row r="168" spans="1:47" s="145" customFormat="1" x14ac:dyDescent="0.3">
      <c r="A168" s="70"/>
      <c r="B168" s="70"/>
      <c r="C168" s="70"/>
      <c r="D168" s="70"/>
      <c r="E168" s="70"/>
      <c r="F168" s="70"/>
      <c r="G168" s="70"/>
      <c r="H168" s="70"/>
      <c r="I168" s="142"/>
      <c r="J168" s="142"/>
      <c r="K168" s="142"/>
      <c r="L168" s="144"/>
      <c r="M168" s="144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69"/>
      <c r="AU168" s="70"/>
    </row>
    <row r="169" spans="1:47" s="145" customFormat="1" x14ac:dyDescent="0.3">
      <c r="A169" s="70"/>
      <c r="B169" s="70"/>
      <c r="C169" s="70"/>
      <c r="D169" s="70"/>
      <c r="E169" s="70"/>
      <c r="F169" s="70"/>
      <c r="G169" s="70"/>
      <c r="H169" s="70"/>
      <c r="I169" s="142"/>
      <c r="J169" s="142"/>
      <c r="K169" s="142"/>
      <c r="L169" s="144"/>
      <c r="M169" s="144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69"/>
      <c r="AU169" s="70"/>
    </row>
    <row r="170" spans="1:47" s="145" customFormat="1" x14ac:dyDescent="0.3">
      <c r="A170" s="70"/>
      <c r="B170" s="70"/>
      <c r="C170" s="70"/>
      <c r="D170" s="70"/>
      <c r="E170" s="70"/>
      <c r="F170" s="70"/>
      <c r="G170" s="70"/>
      <c r="H170" s="70"/>
      <c r="I170" s="142"/>
      <c r="J170" s="142"/>
      <c r="K170" s="142"/>
      <c r="L170" s="144"/>
      <c r="M170" s="144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69"/>
      <c r="AU170" s="70"/>
    </row>
    <row r="171" spans="1:47" s="145" customFormat="1" x14ac:dyDescent="0.3">
      <c r="A171" s="70"/>
      <c r="B171" s="70"/>
      <c r="C171" s="70"/>
      <c r="D171" s="70"/>
      <c r="E171" s="70"/>
      <c r="F171" s="70"/>
      <c r="G171" s="70"/>
      <c r="H171" s="70"/>
      <c r="I171" s="142"/>
      <c r="J171" s="142"/>
      <c r="K171" s="142"/>
      <c r="L171" s="144"/>
      <c r="M171" s="144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69"/>
      <c r="AU171" s="70"/>
    </row>
    <row r="172" spans="1:47" s="145" customFormat="1" x14ac:dyDescent="0.3">
      <c r="A172" s="70"/>
      <c r="B172" s="70"/>
      <c r="C172" s="70"/>
      <c r="D172" s="70"/>
      <c r="E172" s="70"/>
      <c r="F172" s="70"/>
      <c r="G172" s="70"/>
      <c r="H172" s="70"/>
      <c r="I172" s="142"/>
      <c r="J172" s="142"/>
      <c r="K172" s="142"/>
      <c r="L172" s="144"/>
      <c r="M172" s="144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69"/>
      <c r="AU172" s="70"/>
    </row>
    <row r="173" spans="1:47" s="145" customFormat="1" x14ac:dyDescent="0.3">
      <c r="A173" s="70"/>
      <c r="B173" s="70"/>
      <c r="C173" s="70"/>
      <c r="D173" s="70"/>
      <c r="E173" s="70"/>
      <c r="F173" s="70"/>
      <c r="G173" s="70"/>
      <c r="H173" s="70"/>
      <c r="I173" s="142"/>
      <c r="J173" s="142"/>
      <c r="K173" s="142"/>
      <c r="L173" s="144"/>
      <c r="M173" s="144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69"/>
      <c r="AU173" s="70"/>
    </row>
    <row r="174" spans="1:47" s="145" customFormat="1" x14ac:dyDescent="0.3">
      <c r="A174" s="70"/>
      <c r="B174" s="70"/>
      <c r="C174" s="70"/>
      <c r="D174" s="70"/>
      <c r="E174" s="70"/>
      <c r="F174" s="70"/>
      <c r="G174" s="70"/>
      <c r="H174" s="70"/>
      <c r="I174" s="142"/>
      <c r="J174" s="142"/>
      <c r="K174" s="142"/>
      <c r="L174" s="144"/>
      <c r="M174" s="144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69"/>
      <c r="AU174" s="70"/>
    </row>
    <row r="175" spans="1:47" s="145" customFormat="1" x14ac:dyDescent="0.3">
      <c r="A175" s="70"/>
      <c r="B175" s="70"/>
      <c r="C175" s="70"/>
      <c r="D175" s="70"/>
      <c r="E175" s="70"/>
      <c r="F175" s="70"/>
      <c r="G175" s="70"/>
      <c r="H175" s="70"/>
      <c r="I175" s="142"/>
      <c r="J175" s="142"/>
      <c r="K175" s="142"/>
      <c r="L175" s="144"/>
      <c r="M175" s="144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69"/>
      <c r="AU175" s="70"/>
    </row>
    <row r="176" spans="1:47" s="145" customFormat="1" x14ac:dyDescent="0.3">
      <c r="A176" s="70"/>
      <c r="B176" s="70"/>
      <c r="C176" s="70"/>
      <c r="D176" s="70"/>
      <c r="E176" s="70"/>
      <c r="F176" s="70"/>
      <c r="G176" s="70"/>
      <c r="H176" s="70"/>
      <c r="I176" s="142"/>
      <c r="J176" s="142"/>
      <c r="K176" s="142"/>
      <c r="L176" s="144"/>
      <c r="M176" s="144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69"/>
      <c r="AU176" s="70"/>
    </row>
    <row r="177" spans="1:47" s="145" customFormat="1" x14ac:dyDescent="0.3">
      <c r="A177" s="70"/>
      <c r="B177" s="70"/>
      <c r="C177" s="70"/>
      <c r="D177" s="70"/>
      <c r="E177" s="70"/>
      <c r="F177" s="70"/>
      <c r="G177" s="70"/>
      <c r="H177" s="70"/>
      <c r="I177" s="146"/>
      <c r="J177" s="146"/>
      <c r="K177" s="146"/>
      <c r="L177" s="144"/>
      <c r="M177" s="144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69"/>
      <c r="AU177" s="70"/>
    </row>
    <row r="178" spans="1:47" s="145" customFormat="1" x14ac:dyDescent="0.3">
      <c r="A178" s="70"/>
      <c r="B178" s="70"/>
      <c r="C178" s="70"/>
      <c r="D178" s="70"/>
      <c r="E178" s="70"/>
      <c r="F178" s="70"/>
      <c r="G178" s="70"/>
      <c r="H178" s="70"/>
      <c r="I178" s="146"/>
      <c r="J178" s="146"/>
      <c r="K178" s="146"/>
      <c r="L178" s="144"/>
      <c r="M178" s="144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69"/>
      <c r="AU178" s="70"/>
    </row>
    <row r="179" spans="1:47" s="145" customFormat="1" x14ac:dyDescent="0.3">
      <c r="A179" s="70"/>
      <c r="B179" s="70"/>
      <c r="C179" s="70"/>
      <c r="D179" s="70"/>
      <c r="E179" s="70"/>
      <c r="F179" s="70"/>
      <c r="G179" s="70"/>
      <c r="H179" s="70"/>
      <c r="I179" s="146"/>
      <c r="J179" s="146"/>
      <c r="K179" s="146"/>
      <c r="L179" s="144"/>
      <c r="M179" s="144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69"/>
      <c r="AU179" s="70"/>
    </row>
    <row r="180" spans="1:47" s="145" customFormat="1" x14ac:dyDescent="0.3">
      <c r="A180" s="70"/>
      <c r="B180" s="70"/>
      <c r="C180" s="70"/>
      <c r="D180" s="70"/>
      <c r="E180" s="70"/>
      <c r="F180" s="70"/>
      <c r="G180" s="70"/>
      <c r="H180" s="70"/>
      <c r="I180" s="146"/>
      <c r="J180" s="146"/>
      <c r="K180" s="146"/>
      <c r="L180" s="144"/>
      <c r="M180" s="144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69"/>
      <c r="AU180" s="70"/>
    </row>
    <row r="181" spans="1:47" s="145" customFormat="1" x14ac:dyDescent="0.3">
      <c r="A181" s="70"/>
      <c r="B181" s="70"/>
      <c r="C181" s="70"/>
      <c r="D181" s="70"/>
      <c r="E181" s="70"/>
      <c r="F181" s="70"/>
      <c r="G181" s="70"/>
      <c r="H181" s="70"/>
      <c r="I181" s="146"/>
      <c r="J181" s="146"/>
      <c r="K181" s="146"/>
      <c r="L181" s="144"/>
      <c r="M181" s="144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69"/>
      <c r="AU181" s="70"/>
    </row>
    <row r="182" spans="1:47" x14ac:dyDescent="0.3">
      <c r="A182" s="70"/>
      <c r="B182" s="70"/>
      <c r="C182" s="70"/>
      <c r="D182" s="70"/>
      <c r="E182" s="70"/>
      <c r="F182" s="70"/>
      <c r="G182" s="70"/>
      <c r="H182" s="70"/>
      <c r="I182" s="146"/>
      <c r="J182" s="146"/>
      <c r="K182" s="146"/>
      <c r="L182" s="144"/>
      <c r="M182" s="144"/>
      <c r="N182" s="70"/>
      <c r="AT182" s="148"/>
      <c r="AU182" s="148"/>
    </row>
    <row r="183" spans="1:47" x14ac:dyDescent="0.3">
      <c r="A183" s="70"/>
      <c r="B183" s="70"/>
      <c r="C183" s="70"/>
      <c r="D183" s="70"/>
      <c r="E183" s="70"/>
      <c r="F183" s="70"/>
      <c r="G183" s="70"/>
      <c r="H183" s="70"/>
      <c r="I183" s="146"/>
      <c r="J183" s="146"/>
      <c r="K183" s="146"/>
      <c r="L183" s="144"/>
      <c r="M183" s="144"/>
      <c r="N183" s="70"/>
      <c r="AT183" s="148"/>
      <c r="AU183" s="148"/>
    </row>
    <row r="184" spans="1:47" x14ac:dyDescent="0.3">
      <c r="A184" s="70"/>
      <c r="B184" s="70"/>
      <c r="C184" s="70"/>
      <c r="D184" s="70"/>
      <c r="E184" s="70"/>
      <c r="F184" s="70"/>
      <c r="G184" s="70"/>
      <c r="H184" s="70"/>
      <c r="I184" s="146"/>
      <c r="J184" s="146"/>
      <c r="K184" s="146"/>
      <c r="L184" s="144"/>
      <c r="M184" s="144"/>
      <c r="N184" s="70"/>
      <c r="AT184" s="148"/>
      <c r="AU184" s="148"/>
    </row>
    <row r="185" spans="1:47" x14ac:dyDescent="0.3">
      <c r="A185" s="70"/>
      <c r="B185" s="70"/>
      <c r="C185" s="70"/>
      <c r="D185" s="70"/>
      <c r="E185" s="70"/>
      <c r="F185" s="70"/>
      <c r="G185" s="70"/>
      <c r="H185" s="70"/>
      <c r="I185" s="146"/>
      <c r="J185" s="146"/>
      <c r="K185" s="146"/>
      <c r="L185" s="144"/>
      <c r="M185" s="144"/>
      <c r="N185" s="70"/>
      <c r="AT185" s="148"/>
      <c r="AU185" s="148"/>
    </row>
    <row r="186" spans="1:47" x14ac:dyDescent="0.3">
      <c r="A186" s="149"/>
      <c r="B186" s="149"/>
      <c r="C186" s="149"/>
      <c r="D186" s="149"/>
      <c r="E186" s="149"/>
      <c r="F186" s="149"/>
      <c r="G186" s="70"/>
      <c r="H186" s="70"/>
      <c r="I186" s="146"/>
      <c r="J186" s="146"/>
      <c r="K186" s="146"/>
      <c r="L186" s="144"/>
      <c r="M186" s="144"/>
      <c r="N186" s="70"/>
      <c r="AT186" s="148"/>
      <c r="AU186" s="148"/>
    </row>
    <row r="187" spans="1:47" x14ac:dyDescent="0.3">
      <c r="A187" s="149"/>
      <c r="B187" s="149"/>
      <c r="C187" s="149"/>
      <c r="D187" s="149"/>
      <c r="E187" s="149"/>
      <c r="F187" s="149"/>
      <c r="G187" s="149"/>
      <c r="H187" s="149"/>
      <c r="I187" s="146"/>
      <c r="J187" s="146"/>
      <c r="K187" s="146"/>
      <c r="L187" s="144"/>
      <c r="M187" s="144"/>
      <c r="N187" s="70"/>
      <c r="AT187" s="148"/>
      <c r="AU187" s="148"/>
    </row>
    <row r="188" spans="1:47" x14ac:dyDescent="0.3">
      <c r="A188" s="149"/>
      <c r="B188" s="149"/>
      <c r="C188" s="149"/>
      <c r="D188" s="149"/>
      <c r="E188" s="149"/>
      <c r="F188" s="149"/>
      <c r="G188" s="149"/>
      <c r="H188" s="149"/>
      <c r="I188" s="146"/>
      <c r="J188" s="146"/>
      <c r="K188" s="146"/>
      <c r="L188" s="144"/>
      <c r="M188" s="144"/>
      <c r="N188" s="70"/>
      <c r="AT188" s="148"/>
      <c r="AU188" s="148"/>
    </row>
    <row r="189" spans="1:47" x14ac:dyDescent="0.3">
      <c r="A189" s="149"/>
      <c r="B189" s="149"/>
      <c r="C189" s="149"/>
      <c r="D189" s="149"/>
      <c r="E189" s="149"/>
      <c r="F189" s="149"/>
      <c r="G189" s="149"/>
      <c r="H189" s="149"/>
      <c r="I189" s="146"/>
      <c r="J189" s="146"/>
      <c r="K189" s="146"/>
      <c r="L189" s="144"/>
      <c r="M189" s="144"/>
      <c r="N189" s="70"/>
      <c r="AT189" s="148"/>
      <c r="AU189" s="148"/>
    </row>
    <row r="190" spans="1:47" x14ac:dyDescent="0.3">
      <c r="A190" s="149"/>
      <c r="B190" s="149"/>
      <c r="C190" s="149"/>
      <c r="D190" s="149"/>
      <c r="E190" s="149"/>
      <c r="F190" s="149"/>
      <c r="G190" s="149"/>
      <c r="H190" s="149"/>
      <c r="I190" s="146"/>
      <c r="J190" s="146"/>
      <c r="K190" s="146"/>
      <c r="L190" s="144"/>
      <c r="M190" s="144"/>
      <c r="N190" s="70"/>
      <c r="AT190" s="148"/>
      <c r="AU190" s="148"/>
    </row>
    <row r="191" spans="1:47" x14ac:dyDescent="0.3">
      <c r="A191" s="149"/>
      <c r="B191" s="149"/>
      <c r="C191" s="149"/>
      <c r="D191" s="149"/>
      <c r="E191" s="149"/>
      <c r="F191" s="149"/>
      <c r="G191" s="149"/>
      <c r="H191" s="149"/>
      <c r="I191" s="146"/>
      <c r="J191" s="146"/>
      <c r="K191" s="146"/>
      <c r="L191" s="144"/>
      <c r="M191" s="144"/>
      <c r="N191" s="70"/>
      <c r="AT191" s="148"/>
      <c r="AU191" s="148"/>
    </row>
    <row r="192" spans="1:47" x14ac:dyDescent="0.3">
      <c r="A192" s="149"/>
      <c r="B192" s="149"/>
      <c r="C192" s="149"/>
      <c r="D192" s="149"/>
      <c r="E192" s="149"/>
      <c r="F192" s="149"/>
      <c r="G192" s="149"/>
      <c r="H192" s="149"/>
      <c r="I192" s="146"/>
      <c r="J192" s="146"/>
      <c r="K192" s="146"/>
      <c r="L192" s="144"/>
      <c r="M192" s="144"/>
      <c r="N192" s="70"/>
      <c r="AT192" s="148"/>
      <c r="AU192" s="148"/>
    </row>
    <row r="193" spans="1:47" x14ac:dyDescent="0.3">
      <c r="A193" s="149"/>
      <c r="B193" s="149"/>
      <c r="C193" s="149"/>
      <c r="D193" s="149"/>
      <c r="E193" s="149"/>
      <c r="F193" s="149"/>
      <c r="G193" s="149"/>
      <c r="H193" s="149"/>
      <c r="I193" s="146"/>
      <c r="J193" s="146"/>
      <c r="K193" s="146"/>
      <c r="L193" s="144"/>
      <c r="M193" s="144"/>
      <c r="N193" s="70"/>
      <c r="AT193" s="148"/>
      <c r="AU193" s="148"/>
    </row>
    <row r="194" spans="1:47" x14ac:dyDescent="0.3">
      <c r="A194" s="149"/>
      <c r="B194" s="149"/>
      <c r="C194" s="149"/>
      <c r="D194" s="149"/>
      <c r="E194" s="149"/>
      <c r="F194" s="149"/>
      <c r="G194" s="149"/>
      <c r="H194" s="149"/>
      <c r="L194" s="144"/>
      <c r="M194" s="144"/>
      <c r="N194" s="70"/>
    </row>
    <row r="195" spans="1:47" x14ac:dyDescent="0.3">
      <c r="A195" s="149"/>
      <c r="B195" s="149"/>
      <c r="C195" s="149"/>
      <c r="D195" s="149"/>
      <c r="E195" s="149"/>
      <c r="F195" s="149"/>
      <c r="G195" s="149"/>
      <c r="H195" s="149"/>
      <c r="L195" s="144"/>
      <c r="M195" s="144"/>
      <c r="N195" s="70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/>
      <c r="AO195" s="69"/>
      <c r="AP195" s="69"/>
      <c r="AQ195" s="69"/>
      <c r="AR195" s="69"/>
      <c r="AS195" s="69"/>
      <c r="AT195" s="148"/>
      <c r="AU195" s="148"/>
    </row>
    <row r="196" spans="1:47" x14ac:dyDescent="0.3">
      <c r="A196" s="149"/>
      <c r="B196" s="149"/>
      <c r="C196" s="149"/>
      <c r="D196" s="149"/>
      <c r="E196" s="149"/>
      <c r="F196" s="149"/>
      <c r="G196" s="149"/>
      <c r="H196" s="149"/>
      <c r="L196" s="144"/>
      <c r="M196" s="144"/>
      <c r="N196" s="70"/>
    </row>
    <row r="197" spans="1:47" x14ac:dyDescent="0.3">
      <c r="A197" s="149"/>
      <c r="B197" s="149"/>
      <c r="C197" s="149"/>
      <c r="D197" s="149"/>
      <c r="E197" s="149"/>
      <c r="F197" s="149"/>
      <c r="G197" s="149"/>
      <c r="H197" s="149"/>
      <c r="L197" s="147"/>
      <c r="M197" s="144"/>
      <c r="N197" s="70"/>
    </row>
    <row r="198" spans="1:47" x14ac:dyDescent="0.3">
      <c r="A198" s="149"/>
      <c r="B198" s="149"/>
      <c r="C198" s="149"/>
      <c r="D198" s="149"/>
      <c r="E198" s="149"/>
      <c r="F198" s="149"/>
      <c r="G198" s="149"/>
      <c r="H198" s="149"/>
      <c r="L198" s="147"/>
      <c r="M198" s="144"/>
      <c r="N198" s="70"/>
    </row>
    <row r="199" spans="1:47" x14ac:dyDescent="0.3">
      <c r="A199" s="149"/>
      <c r="B199" s="149"/>
      <c r="C199" s="149"/>
      <c r="D199" s="149"/>
      <c r="E199" s="149"/>
      <c r="F199" s="149"/>
      <c r="G199" s="149"/>
      <c r="H199" s="149"/>
      <c r="L199" s="147"/>
      <c r="M199" s="144"/>
      <c r="N199" s="70"/>
    </row>
    <row r="200" spans="1:47" x14ac:dyDescent="0.3">
      <c r="A200" s="149"/>
      <c r="B200" s="149"/>
      <c r="C200" s="149"/>
      <c r="D200" s="149"/>
      <c r="E200" s="149"/>
      <c r="F200" s="149"/>
      <c r="G200" s="149"/>
      <c r="H200" s="149"/>
      <c r="L200" s="147"/>
      <c r="M200" s="144"/>
      <c r="N200" s="149"/>
    </row>
    <row r="201" spans="1:47" x14ac:dyDescent="0.3">
      <c r="A201" s="149"/>
      <c r="B201" s="149"/>
      <c r="C201" s="149"/>
      <c r="D201" s="149"/>
      <c r="E201" s="149"/>
      <c r="F201" s="149"/>
      <c r="G201" s="149"/>
      <c r="H201" s="149"/>
      <c r="L201" s="147"/>
      <c r="M201" s="144"/>
      <c r="N201" s="149"/>
    </row>
    <row r="202" spans="1:47" x14ac:dyDescent="0.3">
      <c r="A202" s="149"/>
      <c r="B202" s="149"/>
      <c r="C202" s="149"/>
      <c r="D202" s="149"/>
      <c r="E202" s="149"/>
      <c r="F202" s="149"/>
      <c r="G202" s="149"/>
      <c r="H202" s="149"/>
      <c r="L202" s="147"/>
      <c r="M202" s="147"/>
      <c r="N202" s="149"/>
    </row>
    <row r="203" spans="1:47" x14ac:dyDescent="0.3">
      <c r="G203" s="149"/>
      <c r="H203" s="149"/>
      <c r="L203" s="147"/>
      <c r="M203" s="147"/>
      <c r="N203" s="149"/>
    </row>
    <row r="204" spans="1:47" x14ac:dyDescent="0.3">
      <c r="L204" s="147"/>
      <c r="M204" s="147"/>
      <c r="N204" s="149"/>
    </row>
    <row r="205" spans="1:47" x14ac:dyDescent="0.3">
      <c r="L205" s="147"/>
      <c r="M205" s="147"/>
      <c r="N205" s="149"/>
    </row>
    <row r="206" spans="1:47" x14ac:dyDescent="0.3">
      <c r="L206" s="147"/>
      <c r="M206" s="147"/>
      <c r="N206" s="149"/>
    </row>
    <row r="207" spans="1:47" x14ac:dyDescent="0.3">
      <c r="I207" s="148"/>
      <c r="J207" s="148"/>
      <c r="K207" s="148"/>
      <c r="L207" s="147"/>
      <c r="M207" s="147"/>
      <c r="N207" s="149"/>
    </row>
    <row r="208" spans="1:47" x14ac:dyDescent="0.3">
      <c r="L208" s="147"/>
      <c r="M208" s="147"/>
      <c r="N208" s="149"/>
    </row>
    <row r="209" spans="12:14" x14ac:dyDescent="0.3">
      <c r="L209" s="147"/>
      <c r="M209" s="147"/>
      <c r="N209" s="149"/>
    </row>
    <row r="210" spans="12:14" x14ac:dyDescent="0.3">
      <c r="L210" s="147"/>
      <c r="M210" s="147"/>
      <c r="N210" s="149"/>
    </row>
    <row r="211" spans="12:14" x14ac:dyDescent="0.3">
      <c r="L211" s="147"/>
      <c r="M211" s="147"/>
      <c r="N211" s="149"/>
    </row>
    <row r="212" spans="12:14" x14ac:dyDescent="0.3">
      <c r="L212" s="147"/>
      <c r="M212" s="147"/>
    </row>
    <row r="213" spans="12:14" x14ac:dyDescent="0.3">
      <c r="L213" s="147"/>
      <c r="M213" s="147"/>
    </row>
    <row r="214" spans="12:14" x14ac:dyDescent="0.3">
      <c r="M214" s="147"/>
    </row>
    <row r="215" spans="12:14" x14ac:dyDescent="0.3">
      <c r="M215" s="147"/>
    </row>
    <row r="216" spans="12:14" x14ac:dyDescent="0.3">
      <c r="M216" s="147"/>
    </row>
    <row r="217" spans="12:14" x14ac:dyDescent="0.3">
      <c r="M217" s="147"/>
    </row>
    <row r="218" spans="12:14" x14ac:dyDescent="0.3">
      <c r="L218" s="148"/>
      <c r="M218" s="147"/>
    </row>
    <row r="1048539" spans="1:58" s="70" customFormat="1" x14ac:dyDescent="0.3">
      <c r="A1048539" s="148"/>
      <c r="B1048539" s="148"/>
      <c r="C1048539" s="148"/>
      <c r="D1048539" s="148"/>
      <c r="E1048539" s="148"/>
      <c r="F1048539" s="148"/>
      <c r="G1048539" s="148"/>
      <c r="H1048539" s="148"/>
      <c r="I1048539" s="150"/>
      <c r="J1048539" s="150"/>
      <c r="K1048539" s="150"/>
      <c r="L1048539" s="150"/>
      <c r="M1048539" s="150"/>
      <c r="N1048539" s="148"/>
      <c r="AT1048539" s="69"/>
      <c r="AU1048539" s="69"/>
      <c r="AV1048539" s="148"/>
      <c r="AW1048539" s="148"/>
      <c r="AX1048539" s="148"/>
      <c r="AY1048539" s="148"/>
      <c r="AZ1048539" s="148"/>
      <c r="BA1048539" s="148"/>
      <c r="BB1048539" s="148"/>
      <c r="BC1048539" s="148"/>
      <c r="BD1048539" s="148"/>
      <c r="BE1048539" s="148"/>
      <c r="BF1048539" s="148"/>
    </row>
    <row r="1048556" spans="14:14" x14ac:dyDescent="0.3">
      <c r="N1048556" s="57"/>
    </row>
  </sheetData>
  <mergeCells count="58">
    <mergeCell ref="A39:L39"/>
    <mergeCell ref="A1:N1"/>
    <mergeCell ref="A2:N2"/>
    <mergeCell ref="A8:B8"/>
    <mergeCell ref="A10:N10"/>
    <mergeCell ref="A38:B38"/>
    <mergeCell ref="L55:M55"/>
    <mergeCell ref="L53:M53"/>
    <mergeCell ref="L54:M54"/>
    <mergeCell ref="A40:N40"/>
    <mergeCell ref="D41:H41"/>
    <mergeCell ref="D42:H42"/>
    <mergeCell ref="A46:F46"/>
    <mergeCell ref="L46:N46"/>
    <mergeCell ref="L47:M47"/>
    <mergeCell ref="L48:M48"/>
    <mergeCell ref="L49:N50"/>
    <mergeCell ref="L51:N51"/>
    <mergeCell ref="L52:M52"/>
    <mergeCell ref="D43:H43"/>
    <mergeCell ref="L67:M67"/>
    <mergeCell ref="L68:M68"/>
    <mergeCell ref="L57:M57"/>
    <mergeCell ref="L59:M59"/>
    <mergeCell ref="L60:M60"/>
    <mergeCell ref="L61:M61"/>
    <mergeCell ref="L62:M62"/>
    <mergeCell ref="L66:M66"/>
    <mergeCell ref="L90:M90"/>
    <mergeCell ref="L91:N91"/>
    <mergeCell ref="L92:M92"/>
    <mergeCell ref="L84:M84"/>
    <mergeCell ref="L85:M85"/>
    <mergeCell ref="L86:M86"/>
    <mergeCell ref="L87:M87"/>
    <mergeCell ref="L88:M88"/>
    <mergeCell ref="L89:M89"/>
    <mergeCell ref="L75:M75"/>
    <mergeCell ref="L76:M76"/>
    <mergeCell ref="L77:M77"/>
    <mergeCell ref="L78:M78"/>
    <mergeCell ref="L79:M79"/>
    <mergeCell ref="L82:M82"/>
    <mergeCell ref="L81:M81"/>
    <mergeCell ref="L83:M83"/>
    <mergeCell ref="L80:M80"/>
    <mergeCell ref="A44:H44"/>
    <mergeCell ref="L56:M56"/>
    <mergeCell ref="L58:M58"/>
    <mergeCell ref="L69:M69"/>
    <mergeCell ref="L70:M70"/>
    <mergeCell ref="L71:M71"/>
    <mergeCell ref="L72:M72"/>
    <mergeCell ref="L73:M73"/>
    <mergeCell ref="L74:M74"/>
    <mergeCell ref="L63:M63"/>
    <mergeCell ref="L64:M64"/>
    <mergeCell ref="L65:M65"/>
  </mergeCells>
  <pageMargins left="0" right="0" top="0" bottom="0" header="0.31496062992125984" footer="0.31496062992125984"/>
  <pageSetup paperSize="9" scale="1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F3C50-3D21-4895-B541-8A881950E7F4}">
  <sheetPr>
    <pageSetUpPr fitToPage="1"/>
  </sheetPr>
  <dimension ref="A1:BF1048563"/>
  <sheetViews>
    <sheetView topLeftCell="I64" zoomScale="70" zoomScaleNormal="70" workbookViewId="0">
      <selection activeCell="N85" sqref="N85"/>
    </sheetView>
  </sheetViews>
  <sheetFormatPr defaultColWidth="9.109375" defaultRowHeight="13.8" x14ac:dyDescent="0.3"/>
  <cols>
    <col min="1" max="1" width="24.33203125" style="148" customWidth="1"/>
    <col min="2" max="2" width="11.5546875" style="148" bestFit="1" customWidth="1"/>
    <col min="3" max="3" width="18" style="148" bestFit="1" customWidth="1"/>
    <col min="4" max="4" width="17.5546875" style="148" bestFit="1" customWidth="1"/>
    <col min="5" max="5" width="18.44140625" style="148" customWidth="1"/>
    <col min="6" max="6" width="17.6640625" style="148" customWidth="1"/>
    <col min="7" max="7" width="14.109375" style="148" bestFit="1" customWidth="1"/>
    <col min="8" max="8" width="15.109375" style="148" bestFit="1" customWidth="1"/>
    <col min="9" max="9" width="19.109375" style="150" bestFit="1" customWidth="1"/>
    <col min="10" max="10" width="17.109375" style="150" bestFit="1" customWidth="1"/>
    <col min="11" max="11" width="18" style="150" bestFit="1" customWidth="1"/>
    <col min="12" max="12" width="121.44140625" style="150" bestFit="1" customWidth="1"/>
    <col min="13" max="13" width="9.5546875" style="150" customWidth="1"/>
    <col min="14" max="14" width="18.5546875" style="148" customWidth="1"/>
    <col min="15" max="15" width="40.109375" style="70" bestFit="1" customWidth="1"/>
    <col min="16" max="16" width="13.109375" style="70" bestFit="1" customWidth="1"/>
    <col min="17" max="45" width="9.109375" style="70"/>
    <col min="46" max="47" width="9.109375" style="69"/>
    <col min="48" max="16384" width="9.109375" style="148"/>
  </cols>
  <sheetData>
    <row r="1" spans="1:40" s="10" customForma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</row>
    <row r="2" spans="1:40" s="10" customFormat="1" ht="28.5" customHeight="1" x14ac:dyDescent="0.3">
      <c r="A2" s="521" t="s">
        <v>520</v>
      </c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</row>
    <row r="3" spans="1:40" s="10" customFormat="1" ht="28.5" customHeight="1" x14ac:dyDescent="0.3">
      <c r="A3" s="83" t="s">
        <v>3</v>
      </c>
      <c r="B3" s="83" t="s">
        <v>0</v>
      </c>
      <c r="C3" s="84" t="s">
        <v>1</v>
      </c>
      <c r="D3" s="84" t="s">
        <v>68</v>
      </c>
      <c r="E3" s="84" t="s">
        <v>69</v>
      </c>
      <c r="F3" s="85" t="s">
        <v>2</v>
      </c>
      <c r="G3" s="84" t="s">
        <v>6</v>
      </c>
      <c r="H3" s="84" t="s">
        <v>7</v>
      </c>
      <c r="I3" s="84" t="s">
        <v>4</v>
      </c>
      <c r="J3" s="84" t="s">
        <v>5</v>
      </c>
      <c r="K3" s="84" t="s">
        <v>70</v>
      </c>
      <c r="L3" s="83" t="s">
        <v>59</v>
      </c>
      <c r="M3" s="86" t="s">
        <v>8</v>
      </c>
      <c r="N3" s="86" t="s">
        <v>10</v>
      </c>
    </row>
    <row r="4" spans="1:40" s="96" customFormat="1" x14ac:dyDescent="0.3">
      <c r="A4" s="90" t="s">
        <v>434</v>
      </c>
      <c r="B4" s="4">
        <v>2</v>
      </c>
      <c r="C4" s="5">
        <f>'GERAL 2022'!G4</f>
        <v>580</v>
      </c>
      <c r="D4" s="5">
        <v>0</v>
      </c>
      <c r="E4" s="5">
        <f>C4-D4</f>
        <v>580</v>
      </c>
      <c r="F4" s="5">
        <f>50</f>
        <v>50</v>
      </c>
      <c r="G4" s="5">
        <f>D59</f>
        <v>2.8368085106382979</v>
      </c>
      <c r="H4" s="5">
        <f>D58</f>
        <v>19.696666666666669</v>
      </c>
      <c r="I4" s="109">
        <f>SUM(E4:H4)</f>
        <v>652.53347517730504</v>
      </c>
      <c r="J4" s="2">
        <f>60%*(C4+F4)</f>
        <v>378</v>
      </c>
      <c r="K4" s="2">
        <f>I4-J4</f>
        <v>274.53347517730504</v>
      </c>
      <c r="L4" s="90" t="s">
        <v>319</v>
      </c>
      <c r="M4" s="3">
        <v>10</v>
      </c>
      <c r="N4" s="3">
        <v>11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16"/>
      <c r="AK4" s="17"/>
      <c r="AL4" s="17"/>
      <c r="AM4" s="17"/>
      <c r="AN4" s="17"/>
    </row>
    <row r="5" spans="1:40" s="69" customFormat="1" x14ac:dyDescent="0.3">
      <c r="A5" s="90" t="s">
        <v>438</v>
      </c>
      <c r="B5" s="4">
        <v>3</v>
      </c>
      <c r="C5" s="5">
        <f>'GERAL 2022'!G5</f>
        <v>550</v>
      </c>
      <c r="D5" s="5">
        <v>0</v>
      </c>
      <c r="E5" s="5">
        <f>C5-D5</f>
        <v>550</v>
      </c>
      <c r="F5" s="5">
        <v>0</v>
      </c>
      <c r="G5" s="5">
        <f>D61</f>
        <v>2.8368085106382979</v>
      </c>
      <c r="H5" s="5">
        <f>D60</f>
        <v>19.641666666666666</v>
      </c>
      <c r="I5" s="109">
        <f>SUM(E5:H5)</f>
        <v>572.47847517730497</v>
      </c>
      <c r="J5" s="2">
        <f>60%*(C5+F5)</f>
        <v>330</v>
      </c>
      <c r="K5" s="2">
        <f>I5-J5</f>
        <v>242.47847517730497</v>
      </c>
      <c r="L5" s="90" t="s">
        <v>319</v>
      </c>
      <c r="M5" s="3">
        <v>10</v>
      </c>
      <c r="N5" s="3">
        <v>11</v>
      </c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</row>
    <row r="6" spans="1:40" s="15" customFormat="1" x14ac:dyDescent="0.3">
      <c r="A6" s="90" t="s">
        <v>440</v>
      </c>
      <c r="B6" s="90">
        <v>5</v>
      </c>
      <c r="C6" s="2">
        <f>'GERAL 2022'!G7</f>
        <v>580</v>
      </c>
      <c r="D6" s="2">
        <v>0</v>
      </c>
      <c r="E6" s="2">
        <f>C6-D6</f>
        <v>580</v>
      </c>
      <c r="F6" s="2">
        <v>50</v>
      </c>
      <c r="G6" s="2">
        <f>D65</f>
        <v>2.8368085106382979</v>
      </c>
      <c r="H6" s="2">
        <f>D64</f>
        <v>19.696666666666669</v>
      </c>
      <c r="I6" s="109">
        <f>SUM(E6:H6)</f>
        <v>652.53347517730504</v>
      </c>
      <c r="J6" s="2">
        <f>60%*(C6+F6)</f>
        <v>378</v>
      </c>
      <c r="K6" s="2">
        <f>I6-J6</f>
        <v>274.53347517730504</v>
      </c>
      <c r="L6" s="90" t="s">
        <v>319</v>
      </c>
      <c r="M6" s="3">
        <v>10</v>
      </c>
      <c r="N6" s="3">
        <v>11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</row>
    <row r="7" spans="1:40" s="15" customFormat="1" ht="14.25" customHeight="1" x14ac:dyDescent="0.3">
      <c r="A7" s="90" t="s">
        <v>442</v>
      </c>
      <c r="B7" s="90">
        <v>7</v>
      </c>
      <c r="C7" s="2">
        <f>'GERAL 2022'!G9</f>
        <v>580</v>
      </c>
      <c r="D7" s="2">
        <v>0</v>
      </c>
      <c r="E7" s="5">
        <f>C7-D7</f>
        <v>580</v>
      </c>
      <c r="F7" s="2">
        <f>50</f>
        <v>50</v>
      </c>
      <c r="G7" s="2">
        <f>D69</f>
        <v>2.8368085106382979</v>
      </c>
      <c r="H7" s="2">
        <f>D68</f>
        <v>19.696666666666669</v>
      </c>
      <c r="I7" s="109">
        <f>SUM(E7:H7)</f>
        <v>652.53347517730504</v>
      </c>
      <c r="J7" s="2">
        <f>60%*(C7+F7)</f>
        <v>378</v>
      </c>
      <c r="K7" s="2">
        <f>I7-J7</f>
        <v>274.53347517730504</v>
      </c>
      <c r="L7" s="90" t="s">
        <v>319</v>
      </c>
      <c r="M7" s="3">
        <v>10</v>
      </c>
      <c r="N7" s="3">
        <v>11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</row>
    <row r="8" spans="1:40" s="10" customFormat="1" x14ac:dyDescent="0.3">
      <c r="A8" s="518" t="s">
        <v>4</v>
      </c>
      <c r="B8" s="518"/>
      <c r="C8" s="109">
        <f>SUM(C4:C7)</f>
        <v>2290</v>
      </c>
      <c r="D8" s="109">
        <f t="shared" ref="D8:K8" si="0">SUM(D4:D7)</f>
        <v>0</v>
      </c>
      <c r="E8" s="109">
        <f t="shared" si="0"/>
        <v>2290</v>
      </c>
      <c r="F8" s="109">
        <f t="shared" si="0"/>
        <v>150</v>
      </c>
      <c r="G8" s="109">
        <f t="shared" si="0"/>
        <v>11.347234042553191</v>
      </c>
      <c r="H8" s="109">
        <f t="shared" si="0"/>
        <v>78.731666666666683</v>
      </c>
      <c r="I8" s="109">
        <f t="shared" si="0"/>
        <v>2530.0789007092199</v>
      </c>
      <c r="J8" s="109">
        <f t="shared" si="0"/>
        <v>1464</v>
      </c>
      <c r="K8" s="109">
        <f t="shared" si="0"/>
        <v>1066.0789007092201</v>
      </c>
      <c r="L8" s="90"/>
      <c r="M8" s="3"/>
      <c r="N8" s="3"/>
    </row>
    <row r="9" spans="1:40" s="10" customFormat="1" x14ac:dyDescent="0.3">
      <c r="A9" s="126"/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</row>
    <row r="10" spans="1:40" s="11" customFormat="1" x14ac:dyDescent="0.3">
      <c r="A10" s="521" t="s">
        <v>469</v>
      </c>
      <c r="B10" s="521"/>
      <c r="C10" s="521"/>
      <c r="D10" s="521"/>
      <c r="E10" s="521"/>
      <c r="F10" s="521"/>
      <c r="G10" s="521"/>
      <c r="H10" s="521"/>
      <c r="I10" s="521"/>
      <c r="J10" s="521"/>
      <c r="K10" s="521"/>
      <c r="L10" s="521"/>
      <c r="M10" s="521"/>
      <c r="N10" s="521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 spans="1:40" s="11" customFormat="1" ht="27.6" x14ac:dyDescent="0.3">
      <c r="A11" s="83" t="s">
        <v>3</v>
      </c>
      <c r="B11" s="83" t="s">
        <v>0</v>
      </c>
      <c r="C11" s="84" t="s">
        <v>1</v>
      </c>
      <c r="D11" s="84" t="s">
        <v>68</v>
      </c>
      <c r="E11" s="84" t="s">
        <v>69</v>
      </c>
      <c r="F11" s="85" t="s">
        <v>2</v>
      </c>
      <c r="G11" s="84" t="s">
        <v>6</v>
      </c>
      <c r="H11" s="84" t="s">
        <v>7</v>
      </c>
      <c r="I11" s="84" t="s">
        <v>4</v>
      </c>
      <c r="J11" s="84" t="s">
        <v>5</v>
      </c>
      <c r="K11" s="84" t="s">
        <v>70</v>
      </c>
      <c r="L11" s="83" t="s">
        <v>59</v>
      </c>
      <c r="M11" s="86" t="s">
        <v>8</v>
      </c>
      <c r="N11" s="86" t="s">
        <v>10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</row>
    <row r="12" spans="1:40" s="15" customFormat="1" x14ac:dyDescent="0.3">
      <c r="A12" s="88" t="s">
        <v>397</v>
      </c>
      <c r="B12" s="90">
        <v>1</v>
      </c>
      <c r="C12" s="2">
        <f>'GERAL 2022'!G35</f>
        <v>580</v>
      </c>
      <c r="D12" s="2">
        <v>0</v>
      </c>
      <c r="E12" s="2">
        <f t="shared" ref="E12:E30" si="1">C12-D12</f>
        <v>580</v>
      </c>
      <c r="F12" s="5">
        <v>50</v>
      </c>
      <c r="G12" s="2">
        <f>D57</f>
        <v>2.8368085106382979</v>
      </c>
      <c r="H12" s="2">
        <f>D56</f>
        <v>19.696666666666669</v>
      </c>
      <c r="I12" s="109">
        <f>SUM(E12:H12)</f>
        <v>652.53347517730504</v>
      </c>
      <c r="J12" s="2">
        <f t="shared" ref="J12:J31" si="2">7%*I12</f>
        <v>45.677343262411355</v>
      </c>
      <c r="K12" s="2">
        <f>I12-J12</f>
        <v>606.85613191489369</v>
      </c>
      <c r="L12" s="5" t="s">
        <v>504</v>
      </c>
      <c r="M12" s="3">
        <v>10</v>
      </c>
      <c r="N12" s="3">
        <v>11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</row>
    <row r="13" spans="1:40" s="96" customFormat="1" x14ac:dyDescent="0.3">
      <c r="A13" s="90" t="s">
        <v>434</v>
      </c>
      <c r="B13" s="4">
        <v>2</v>
      </c>
      <c r="C13" s="5">
        <v>0</v>
      </c>
      <c r="D13" s="5">
        <v>0</v>
      </c>
      <c r="E13" s="5">
        <f t="shared" si="1"/>
        <v>0</v>
      </c>
      <c r="F13" s="5">
        <v>0</v>
      </c>
      <c r="G13" s="5">
        <v>0</v>
      </c>
      <c r="H13" s="5">
        <v>0</v>
      </c>
      <c r="I13" s="109">
        <f t="shared" ref="I13:I40" si="3">SUM(E13:H13)</f>
        <v>0</v>
      </c>
      <c r="J13" s="2">
        <f t="shared" si="2"/>
        <v>0</v>
      </c>
      <c r="K13" s="2">
        <f>I13-J13</f>
        <v>0</v>
      </c>
      <c r="L13" s="90" t="s">
        <v>108</v>
      </c>
      <c r="M13" s="3">
        <v>10</v>
      </c>
      <c r="N13" s="3">
        <v>11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16"/>
      <c r="AK13" s="17"/>
      <c r="AL13" s="17"/>
      <c r="AM13" s="17"/>
      <c r="AN13" s="17"/>
    </row>
    <row r="14" spans="1:40" s="6" customFormat="1" x14ac:dyDescent="0.3">
      <c r="A14" s="90" t="s">
        <v>438</v>
      </c>
      <c r="B14" s="4">
        <v>3</v>
      </c>
      <c r="C14" s="5">
        <v>0</v>
      </c>
      <c r="D14" s="5">
        <v>0</v>
      </c>
      <c r="E14" s="5">
        <f t="shared" si="1"/>
        <v>0</v>
      </c>
      <c r="F14" s="5">
        <v>0</v>
      </c>
      <c r="G14" s="5">
        <v>0</v>
      </c>
      <c r="H14" s="5">
        <v>0</v>
      </c>
      <c r="I14" s="109">
        <f t="shared" si="3"/>
        <v>0</v>
      </c>
      <c r="J14" s="2">
        <f t="shared" si="2"/>
        <v>0</v>
      </c>
      <c r="K14" s="2">
        <f>I14-J14</f>
        <v>0</v>
      </c>
      <c r="L14" s="90" t="s">
        <v>108</v>
      </c>
      <c r="M14" s="3">
        <v>10</v>
      </c>
      <c r="N14" s="3">
        <v>11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</row>
    <row r="15" spans="1:40" s="15" customFormat="1" x14ac:dyDescent="0.3">
      <c r="A15" s="90" t="s">
        <v>263</v>
      </c>
      <c r="B15" s="90">
        <v>4</v>
      </c>
      <c r="C15" s="2">
        <f>'GERAL 2022'!G16</f>
        <v>550</v>
      </c>
      <c r="D15" s="2">
        <v>0</v>
      </c>
      <c r="E15" s="2">
        <f t="shared" si="1"/>
        <v>550</v>
      </c>
      <c r="F15" s="2">
        <v>50</v>
      </c>
      <c r="G15" s="2">
        <v>0</v>
      </c>
      <c r="H15" s="2">
        <v>0</v>
      </c>
      <c r="I15" s="109">
        <f t="shared" si="3"/>
        <v>600</v>
      </c>
      <c r="J15" s="2">
        <f t="shared" si="2"/>
        <v>42.000000000000007</v>
      </c>
      <c r="K15" s="2">
        <f>I15-J15</f>
        <v>558</v>
      </c>
      <c r="L15" s="90" t="s">
        <v>470</v>
      </c>
      <c r="M15" s="3">
        <v>10</v>
      </c>
      <c r="N15" s="4">
        <v>11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</row>
    <row r="16" spans="1:40" s="15" customFormat="1" x14ac:dyDescent="0.3">
      <c r="A16" s="90" t="s">
        <v>440</v>
      </c>
      <c r="B16" s="90">
        <v>5</v>
      </c>
      <c r="C16" s="2">
        <v>0</v>
      </c>
      <c r="D16" s="2">
        <v>0</v>
      </c>
      <c r="E16" s="2">
        <f t="shared" si="1"/>
        <v>0</v>
      </c>
      <c r="F16" s="2">
        <v>0</v>
      </c>
      <c r="G16" s="2">
        <v>0</v>
      </c>
      <c r="H16" s="2">
        <v>0</v>
      </c>
      <c r="I16" s="109">
        <f t="shared" si="3"/>
        <v>0</v>
      </c>
      <c r="J16" s="2">
        <f t="shared" si="2"/>
        <v>0</v>
      </c>
      <c r="K16" s="2">
        <f>I16-J16</f>
        <v>0</v>
      </c>
      <c r="L16" s="90" t="s">
        <v>108</v>
      </c>
      <c r="M16" s="3">
        <v>10</v>
      </c>
      <c r="N16" s="3">
        <v>11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</row>
    <row r="17" spans="1:45" s="11" customFormat="1" x14ac:dyDescent="0.3">
      <c r="A17" s="90" t="s">
        <v>292</v>
      </c>
      <c r="B17" s="90">
        <v>6</v>
      </c>
      <c r="C17" s="5">
        <f>'GERAL 2022'!G8</f>
        <v>650</v>
      </c>
      <c r="D17" s="5">
        <v>0</v>
      </c>
      <c r="E17" s="5">
        <f t="shared" si="1"/>
        <v>650</v>
      </c>
      <c r="F17" s="2">
        <v>25</v>
      </c>
      <c r="G17" s="2">
        <v>0</v>
      </c>
      <c r="H17" s="2">
        <f>D66</f>
        <v>19.836666666666666</v>
      </c>
      <c r="I17" s="109">
        <f t="shared" si="3"/>
        <v>694.8366666666667</v>
      </c>
      <c r="J17" s="2">
        <f t="shared" si="2"/>
        <v>48.638566666666676</v>
      </c>
      <c r="K17" s="2">
        <f t="shared" ref="K17:K40" si="4">I17-J17</f>
        <v>646.19810000000007</v>
      </c>
      <c r="L17" s="90" t="s">
        <v>390</v>
      </c>
      <c r="M17" s="3">
        <v>10</v>
      </c>
      <c r="N17" s="3">
        <v>11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</row>
    <row r="18" spans="1:45" s="15" customFormat="1" ht="14.25" customHeight="1" x14ac:dyDescent="0.3">
      <c r="A18" s="90" t="s">
        <v>442</v>
      </c>
      <c r="B18" s="90">
        <v>7</v>
      </c>
      <c r="C18" s="2">
        <v>0</v>
      </c>
      <c r="D18" s="2">
        <v>0</v>
      </c>
      <c r="E18" s="5">
        <f t="shared" si="1"/>
        <v>0</v>
      </c>
      <c r="F18" s="2">
        <v>0</v>
      </c>
      <c r="G18" s="2">
        <v>0</v>
      </c>
      <c r="H18" s="2">
        <v>0</v>
      </c>
      <c r="I18" s="109">
        <f t="shared" si="3"/>
        <v>0</v>
      </c>
      <c r="J18" s="2">
        <f t="shared" si="2"/>
        <v>0</v>
      </c>
      <c r="K18" s="2">
        <f t="shared" si="4"/>
        <v>0</v>
      </c>
      <c r="L18" s="90" t="s">
        <v>108</v>
      </c>
      <c r="M18" s="3">
        <v>10</v>
      </c>
      <c r="N18" s="3">
        <v>11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</row>
    <row r="19" spans="1:45" s="15" customFormat="1" x14ac:dyDescent="0.3">
      <c r="A19" s="90" t="s">
        <v>265</v>
      </c>
      <c r="B19" s="90">
        <v>8</v>
      </c>
      <c r="C19" s="2">
        <f>'GERAL 2022'!G10/31*6</f>
        <v>118.06451612903226</v>
      </c>
      <c r="D19" s="2">
        <v>0</v>
      </c>
      <c r="E19" s="5">
        <f t="shared" si="1"/>
        <v>118.06451612903226</v>
      </c>
      <c r="F19" s="2">
        <v>0</v>
      </c>
      <c r="G19" s="2">
        <v>0</v>
      </c>
      <c r="H19" s="2">
        <v>0</v>
      </c>
      <c r="I19" s="109">
        <f t="shared" si="3"/>
        <v>118.06451612903226</v>
      </c>
      <c r="J19" s="2">
        <f t="shared" si="2"/>
        <v>8.2645161290322591</v>
      </c>
      <c r="K19" s="2">
        <f t="shared" si="4"/>
        <v>109.8</v>
      </c>
      <c r="L19" s="90" t="s">
        <v>497</v>
      </c>
      <c r="M19" s="3">
        <v>10</v>
      </c>
      <c r="N19" s="3">
        <v>11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</row>
    <row r="20" spans="1:45" s="15" customFormat="1" x14ac:dyDescent="0.3">
      <c r="A20" s="95" t="s">
        <v>493</v>
      </c>
      <c r="B20" s="90">
        <v>8</v>
      </c>
      <c r="C20" s="2">
        <f>'GERAL 2022'!G37/31*26</f>
        <v>486.45161290322585</v>
      </c>
      <c r="D20" s="2">
        <v>0</v>
      </c>
      <c r="E20" s="5">
        <f t="shared" si="1"/>
        <v>486.45161290322585</v>
      </c>
      <c r="F20" s="2">
        <f>50/31*26</f>
        <v>41.935483870967737</v>
      </c>
      <c r="G20" s="2">
        <f>D73/31*26</f>
        <v>2.3792587508579275</v>
      </c>
      <c r="H20" s="2">
        <f>D72</f>
        <v>19.696666666666669</v>
      </c>
      <c r="I20" s="109">
        <f t="shared" si="3"/>
        <v>550.46302219171821</v>
      </c>
      <c r="J20" s="2">
        <f t="shared" si="2"/>
        <v>38.532411553420282</v>
      </c>
      <c r="K20" s="2">
        <f t="shared" si="4"/>
        <v>511.93061063829794</v>
      </c>
      <c r="L20" s="90" t="s">
        <v>498</v>
      </c>
      <c r="M20" s="125">
        <v>10</v>
      </c>
      <c r="N20" s="3">
        <v>11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</row>
    <row r="21" spans="1:45" s="15" customFormat="1" ht="14.25" customHeight="1" x14ac:dyDescent="0.3">
      <c r="A21" s="90" t="s">
        <v>246</v>
      </c>
      <c r="B21" s="90">
        <v>9</v>
      </c>
      <c r="C21" s="2">
        <f>'GERAL 2022'!G11</f>
        <v>580</v>
      </c>
      <c r="D21" s="2">
        <v>0</v>
      </c>
      <c r="E21" s="5">
        <f t="shared" si="1"/>
        <v>580</v>
      </c>
      <c r="F21" s="2">
        <f>25</f>
        <v>25</v>
      </c>
      <c r="G21" s="2">
        <v>0</v>
      </c>
      <c r="H21" s="2">
        <v>0</v>
      </c>
      <c r="I21" s="109">
        <f t="shared" si="3"/>
        <v>605</v>
      </c>
      <c r="J21" s="2">
        <f t="shared" si="2"/>
        <v>42.35</v>
      </c>
      <c r="K21" s="2">
        <f t="shared" si="4"/>
        <v>562.65</v>
      </c>
      <c r="L21" s="90" t="s">
        <v>470</v>
      </c>
      <c r="M21" s="125">
        <v>10</v>
      </c>
      <c r="N21" s="3">
        <v>11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</row>
    <row r="22" spans="1:45" s="69" customFormat="1" x14ac:dyDescent="0.3">
      <c r="A22" s="4" t="s">
        <v>402</v>
      </c>
      <c r="B22" s="4">
        <v>10</v>
      </c>
      <c r="C22" s="2">
        <f>'GERAL 2022'!G38</f>
        <v>550</v>
      </c>
      <c r="D22" s="2">
        <v>0</v>
      </c>
      <c r="E22" s="5">
        <f t="shared" si="1"/>
        <v>550</v>
      </c>
      <c r="F22" s="2">
        <v>50</v>
      </c>
      <c r="G22" s="2">
        <f>D77</f>
        <v>2.8368085106382979</v>
      </c>
      <c r="H22" s="2">
        <f>D76</f>
        <v>19.641666666666666</v>
      </c>
      <c r="I22" s="109">
        <f t="shared" si="3"/>
        <v>622.47847517730497</v>
      </c>
      <c r="J22" s="2">
        <f t="shared" si="2"/>
        <v>43.573493262411354</v>
      </c>
      <c r="K22" s="2">
        <f t="shared" si="4"/>
        <v>578.9049819148936</v>
      </c>
      <c r="L22" s="90" t="s">
        <v>338</v>
      </c>
      <c r="M22" s="3">
        <v>10</v>
      </c>
      <c r="N22" s="4">
        <v>11</v>
      </c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</row>
    <row r="23" spans="1:45" s="69" customFormat="1" x14ac:dyDescent="0.3">
      <c r="A23" s="4" t="s">
        <v>321</v>
      </c>
      <c r="B23" s="4">
        <v>11</v>
      </c>
      <c r="C23" s="2">
        <f>'GERAL 2022'!G13</f>
        <v>550</v>
      </c>
      <c r="D23" s="2">
        <v>0</v>
      </c>
      <c r="E23" s="5">
        <f t="shared" si="1"/>
        <v>550</v>
      </c>
      <c r="F23" s="2">
        <v>0</v>
      </c>
      <c r="G23" s="2">
        <f>D79</f>
        <v>2.8368085106382979</v>
      </c>
      <c r="H23" s="2">
        <f>D78</f>
        <v>19.641666666666666</v>
      </c>
      <c r="I23" s="109">
        <f t="shared" si="3"/>
        <v>572.47847517730497</v>
      </c>
      <c r="J23" s="2">
        <f t="shared" si="2"/>
        <v>40.073493262411354</v>
      </c>
      <c r="K23" s="2">
        <f>I23-J23</f>
        <v>532.4049819148936</v>
      </c>
      <c r="L23" s="5" t="s">
        <v>430</v>
      </c>
      <c r="M23" s="3">
        <v>10</v>
      </c>
      <c r="N23" s="4">
        <v>11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</row>
    <row r="24" spans="1:45" s="15" customFormat="1" x14ac:dyDescent="0.3">
      <c r="A24" s="90" t="s">
        <v>427</v>
      </c>
      <c r="B24" s="90">
        <v>12</v>
      </c>
      <c r="C24" s="2">
        <f>'GERAL 2022'!G14</f>
        <v>550</v>
      </c>
      <c r="D24" s="2">
        <v>0</v>
      </c>
      <c r="E24" s="5">
        <f t="shared" si="1"/>
        <v>550</v>
      </c>
      <c r="F24" s="5">
        <v>25</v>
      </c>
      <c r="G24" s="5">
        <f>D81</f>
        <v>2.8368085106382979</v>
      </c>
      <c r="H24" s="5">
        <f>D80</f>
        <v>19.641666666666666</v>
      </c>
      <c r="I24" s="109">
        <f t="shared" si="3"/>
        <v>597.47847517730497</v>
      </c>
      <c r="J24" s="2">
        <f t="shared" si="2"/>
        <v>41.823493262411354</v>
      </c>
      <c r="K24" s="2">
        <f t="shared" si="4"/>
        <v>555.6549819148936</v>
      </c>
      <c r="L24" s="90" t="s">
        <v>338</v>
      </c>
      <c r="M24" s="3">
        <v>10</v>
      </c>
      <c r="N24" s="3">
        <v>11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</row>
    <row r="25" spans="1:45" s="11" customFormat="1" x14ac:dyDescent="0.3">
      <c r="A25" s="90" t="s">
        <v>362</v>
      </c>
      <c r="B25" s="90">
        <v>13</v>
      </c>
      <c r="C25" s="5">
        <f>'GERAL 2022'!G15</f>
        <v>550</v>
      </c>
      <c r="D25" s="5">
        <v>0</v>
      </c>
      <c r="E25" s="5">
        <f t="shared" si="1"/>
        <v>550</v>
      </c>
      <c r="F25" s="2">
        <v>0</v>
      </c>
      <c r="G25" s="2">
        <f>D83</f>
        <v>2.8368085106382979</v>
      </c>
      <c r="H25" s="2">
        <f>D82</f>
        <v>19.641666666666666</v>
      </c>
      <c r="I25" s="109">
        <f t="shared" si="3"/>
        <v>572.47847517730497</v>
      </c>
      <c r="J25" s="2">
        <f t="shared" si="2"/>
        <v>40.073493262411354</v>
      </c>
      <c r="K25" s="2">
        <f>I25-J25</f>
        <v>532.4049819148936</v>
      </c>
      <c r="L25" s="90" t="s">
        <v>388</v>
      </c>
      <c r="M25" s="3">
        <v>10</v>
      </c>
      <c r="N25" s="3">
        <v>11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</row>
    <row r="26" spans="1:45" s="69" customFormat="1" x14ac:dyDescent="0.3">
      <c r="A26" s="4" t="s">
        <v>291</v>
      </c>
      <c r="B26" s="4">
        <v>14</v>
      </c>
      <c r="C26" s="2">
        <f>'GERAL 2022'!G16</f>
        <v>550</v>
      </c>
      <c r="D26" s="2">
        <v>0</v>
      </c>
      <c r="E26" s="5">
        <f t="shared" si="1"/>
        <v>550</v>
      </c>
      <c r="F26" s="2">
        <v>0</v>
      </c>
      <c r="G26" s="2">
        <v>0</v>
      </c>
      <c r="H26" s="2">
        <f>D84</f>
        <v>19.641666666666666</v>
      </c>
      <c r="I26" s="109">
        <f t="shared" si="3"/>
        <v>569.64166666666665</v>
      </c>
      <c r="J26" s="2">
        <f t="shared" si="2"/>
        <v>39.874916666666671</v>
      </c>
      <c r="K26" s="2">
        <f t="shared" si="4"/>
        <v>529.76675</v>
      </c>
      <c r="L26" s="90" t="s">
        <v>390</v>
      </c>
      <c r="M26" s="3">
        <v>10</v>
      </c>
      <c r="N26" s="4">
        <v>11</v>
      </c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</row>
    <row r="27" spans="1:45" s="6" customFormat="1" x14ac:dyDescent="0.3">
      <c r="A27" s="90" t="s">
        <v>272</v>
      </c>
      <c r="B27" s="90">
        <v>15</v>
      </c>
      <c r="C27" s="2">
        <f>'GERAL 2022'!G40</f>
        <v>650</v>
      </c>
      <c r="D27" s="2">
        <v>0</v>
      </c>
      <c r="E27" s="5">
        <f t="shared" si="1"/>
        <v>650</v>
      </c>
      <c r="F27" s="2">
        <v>25</v>
      </c>
      <c r="G27" s="2">
        <v>0</v>
      </c>
      <c r="H27" s="2">
        <v>0</v>
      </c>
      <c r="I27" s="109">
        <f t="shared" si="3"/>
        <v>675</v>
      </c>
      <c r="J27" s="2">
        <f t="shared" si="2"/>
        <v>47.250000000000007</v>
      </c>
      <c r="K27" s="2">
        <f t="shared" si="4"/>
        <v>627.75</v>
      </c>
      <c r="L27" s="90" t="s">
        <v>470</v>
      </c>
      <c r="M27" s="3">
        <v>10</v>
      </c>
      <c r="N27" s="3">
        <v>11</v>
      </c>
      <c r="O27" s="9"/>
      <c r="P27" s="9"/>
      <c r="Q27" s="9"/>
      <c r="R27" s="9"/>
      <c r="S27" s="9"/>
      <c r="T27" s="9"/>
      <c r="U27" s="9"/>
      <c r="V27" s="9"/>
      <c r="W27" s="9"/>
    </row>
    <row r="28" spans="1:45" s="11" customFormat="1" x14ac:dyDescent="0.3">
      <c r="A28" s="3" t="s">
        <v>100</v>
      </c>
      <c r="B28" s="3">
        <v>16</v>
      </c>
      <c r="C28" s="2">
        <f>'GERAL 2022'!G18+(10.72339%*640)</f>
        <v>708.62969599999997</v>
      </c>
      <c r="D28" s="2"/>
      <c r="E28" s="5">
        <f t="shared" si="1"/>
        <v>708.62969599999997</v>
      </c>
      <c r="F28" s="2">
        <f>60</f>
        <v>60</v>
      </c>
      <c r="G28" s="2">
        <v>0</v>
      </c>
      <c r="H28" s="2">
        <v>19.82</v>
      </c>
      <c r="I28" s="109">
        <f t="shared" si="3"/>
        <v>788.44969600000002</v>
      </c>
      <c r="J28" s="2">
        <f t="shared" si="2"/>
        <v>55.191478720000006</v>
      </c>
      <c r="K28" s="2">
        <f t="shared" si="4"/>
        <v>733.25821728000005</v>
      </c>
      <c r="L28" s="90" t="s">
        <v>471</v>
      </c>
      <c r="M28" s="3">
        <v>10</v>
      </c>
      <c r="N28" s="3">
        <v>11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</row>
    <row r="29" spans="1:45" s="11" customFormat="1" x14ac:dyDescent="0.3">
      <c r="A29" s="88" t="s">
        <v>392</v>
      </c>
      <c r="B29" s="88">
        <v>17</v>
      </c>
      <c r="C29" s="2">
        <f>'GERAL 2022'!G41</f>
        <v>580</v>
      </c>
      <c r="D29" s="2">
        <v>0</v>
      </c>
      <c r="E29" s="5">
        <f t="shared" si="1"/>
        <v>580</v>
      </c>
      <c r="F29" s="2">
        <v>0</v>
      </c>
      <c r="G29" s="2">
        <f>D91</f>
        <v>2.8368085106382979</v>
      </c>
      <c r="H29" s="2">
        <f>D90</f>
        <v>19.696666666666669</v>
      </c>
      <c r="I29" s="109">
        <f t="shared" si="3"/>
        <v>602.53347517730504</v>
      </c>
      <c r="J29" s="2">
        <f t="shared" si="2"/>
        <v>42.177343262411355</v>
      </c>
      <c r="K29" s="2">
        <f t="shared" si="4"/>
        <v>560.35613191489369</v>
      </c>
      <c r="L29" s="5" t="s">
        <v>338</v>
      </c>
      <c r="M29" s="3">
        <v>10</v>
      </c>
      <c r="N29" s="3">
        <v>11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</row>
    <row r="30" spans="1:45" s="11" customFormat="1" x14ac:dyDescent="0.3">
      <c r="A30" s="88" t="s">
        <v>103</v>
      </c>
      <c r="B30" s="90">
        <v>18</v>
      </c>
      <c r="C30" s="2">
        <f>'GERAL 2022'!G20+(10.72339%*650)</f>
        <v>719.70203500000002</v>
      </c>
      <c r="D30" s="2">
        <v>0</v>
      </c>
      <c r="E30" s="5">
        <f t="shared" si="1"/>
        <v>719.70203500000002</v>
      </c>
      <c r="F30" s="2">
        <f>30</f>
        <v>30</v>
      </c>
      <c r="G30" s="2"/>
      <c r="H30" s="2">
        <f>D92</f>
        <v>19.836666666666666</v>
      </c>
      <c r="I30" s="109">
        <f t="shared" si="3"/>
        <v>769.53870166666673</v>
      </c>
      <c r="J30" s="2">
        <f t="shared" si="2"/>
        <v>53.867709116666674</v>
      </c>
      <c r="K30" s="2">
        <f t="shared" si="4"/>
        <v>715.67099255000005</v>
      </c>
      <c r="L30" s="90" t="s">
        <v>471</v>
      </c>
      <c r="M30" s="3">
        <v>10</v>
      </c>
      <c r="N30" s="3">
        <v>11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</row>
    <row r="31" spans="1:45" s="11" customFormat="1" x14ac:dyDescent="0.3">
      <c r="A31" s="90" t="s">
        <v>142</v>
      </c>
      <c r="B31" s="90">
        <v>19</v>
      </c>
      <c r="C31" s="2">
        <f>('GERAL 2022'!G21+(10.07679%*600))/31*29</f>
        <v>617.85036967741928</v>
      </c>
      <c r="D31" s="2">
        <v>0</v>
      </c>
      <c r="E31" s="5">
        <f>(C31-D31)</f>
        <v>617.85036967741928</v>
      </c>
      <c r="F31" s="2">
        <f>50/31*29</f>
        <v>46.774193548387096</v>
      </c>
      <c r="G31" s="2">
        <v>0</v>
      </c>
      <c r="H31" s="2">
        <v>0</v>
      </c>
      <c r="I31" s="109">
        <f t="shared" si="3"/>
        <v>664.62456322580636</v>
      </c>
      <c r="J31" s="2">
        <f t="shared" si="2"/>
        <v>46.523719425806448</v>
      </c>
      <c r="K31" s="2">
        <f t="shared" si="4"/>
        <v>618.10084379999989</v>
      </c>
      <c r="L31" s="90" t="s">
        <v>490</v>
      </c>
      <c r="M31" s="3">
        <v>10</v>
      </c>
      <c r="N31" s="3">
        <v>11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</row>
    <row r="32" spans="1:45" s="11" customFormat="1" x14ac:dyDescent="0.3">
      <c r="A32" s="95" t="s">
        <v>500</v>
      </c>
      <c r="B32" s="90">
        <v>19</v>
      </c>
      <c r="C32" s="2">
        <f>'GERAL 2022'!G43/31*6</f>
        <v>106.45161290322581</v>
      </c>
      <c r="D32" s="2">
        <v>0</v>
      </c>
      <c r="E32" s="5">
        <f>(C32-D32)</f>
        <v>106.45161290322581</v>
      </c>
      <c r="F32" s="2">
        <f>50/31*6</f>
        <v>9.6774193548387082</v>
      </c>
      <c r="G32" s="2">
        <f>D97/31*6</f>
        <v>0.54905971173644474</v>
      </c>
      <c r="H32" s="2">
        <v>19.649999999999999</v>
      </c>
      <c r="I32" s="109">
        <f t="shared" si="3"/>
        <v>136.32809196980097</v>
      </c>
      <c r="J32" s="2">
        <f t="shared" ref="J32:J40" si="5">7%*I32</f>
        <v>9.5429664378860686</v>
      </c>
      <c r="K32" s="2">
        <f t="shared" si="4"/>
        <v>126.7851255319149</v>
      </c>
      <c r="L32" s="90" t="s">
        <v>503</v>
      </c>
      <c r="M32" s="125">
        <v>10</v>
      </c>
      <c r="N32" s="3">
        <v>11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</row>
    <row r="33" spans="1:40" s="11" customFormat="1" x14ac:dyDescent="0.3">
      <c r="A33" s="88" t="s">
        <v>345</v>
      </c>
      <c r="B33" s="90">
        <v>20</v>
      </c>
      <c r="C33" s="2">
        <f>'GERAL 2022'!G22</f>
        <v>660</v>
      </c>
      <c r="D33" s="2">
        <v>0</v>
      </c>
      <c r="E33" s="5">
        <f>C33-D33</f>
        <v>660</v>
      </c>
      <c r="F33" s="2">
        <v>50</v>
      </c>
      <c r="G33" s="2">
        <f>D95</f>
        <v>2.8368085106382979</v>
      </c>
      <c r="H33" s="2">
        <f>D98</f>
        <v>19.853333333333335</v>
      </c>
      <c r="I33" s="109">
        <f t="shared" si="3"/>
        <v>732.69014184397167</v>
      </c>
      <c r="J33" s="2">
        <f>7%*I33</f>
        <v>51.288309929078025</v>
      </c>
      <c r="K33" s="2">
        <f>I33-J33</f>
        <v>681.40183191489359</v>
      </c>
      <c r="L33" s="90" t="s">
        <v>388</v>
      </c>
      <c r="M33" s="125">
        <v>10</v>
      </c>
      <c r="N33" s="3">
        <v>11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</row>
    <row r="34" spans="1:40" s="11" customFormat="1" x14ac:dyDescent="0.3">
      <c r="A34" s="88" t="s">
        <v>346</v>
      </c>
      <c r="B34" s="90">
        <v>21</v>
      </c>
      <c r="C34" s="2">
        <f>'GERAL 2022'!G23</f>
        <v>500</v>
      </c>
      <c r="D34" s="2">
        <v>0</v>
      </c>
      <c r="E34" s="5">
        <f>C34-D34</f>
        <v>500</v>
      </c>
      <c r="F34" s="2">
        <v>25</v>
      </c>
      <c r="G34" s="2">
        <f>D101</f>
        <v>2.8368085106382979</v>
      </c>
      <c r="H34" s="2">
        <f>D100</f>
        <v>19.543333333333333</v>
      </c>
      <c r="I34" s="109">
        <f t="shared" si="3"/>
        <v>547.38014184397161</v>
      </c>
      <c r="J34" s="2">
        <f>7%*I34</f>
        <v>38.31660992907802</v>
      </c>
      <c r="K34" s="2">
        <f t="shared" si="4"/>
        <v>509.06353191489359</v>
      </c>
      <c r="L34" s="90" t="s">
        <v>388</v>
      </c>
      <c r="M34" s="125">
        <v>10</v>
      </c>
      <c r="N34" s="3">
        <v>11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</row>
    <row r="35" spans="1:40" s="11" customFormat="1" ht="15.75" customHeight="1" x14ac:dyDescent="0.3">
      <c r="A35" s="88" t="s">
        <v>119</v>
      </c>
      <c r="B35" s="90">
        <v>22</v>
      </c>
      <c r="C35" s="2">
        <f>'GERAL 2022'!G24</f>
        <v>500</v>
      </c>
      <c r="D35" s="2">
        <v>0</v>
      </c>
      <c r="E35" s="5">
        <f>C35-D35</f>
        <v>500</v>
      </c>
      <c r="F35" s="2">
        <v>25</v>
      </c>
      <c r="G35" s="2">
        <f>D103</f>
        <v>2.8368085106382979</v>
      </c>
      <c r="H35" s="2">
        <f>D102</f>
        <v>19.543333333333333</v>
      </c>
      <c r="I35" s="109">
        <f t="shared" si="3"/>
        <v>547.38014184397161</v>
      </c>
      <c r="J35" s="2">
        <f t="shared" si="5"/>
        <v>38.31660992907802</v>
      </c>
      <c r="K35" s="2">
        <f t="shared" si="4"/>
        <v>509.06353191489359</v>
      </c>
      <c r="L35" s="90" t="s">
        <v>388</v>
      </c>
      <c r="M35" s="125">
        <v>10</v>
      </c>
      <c r="N35" s="3">
        <v>11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</row>
    <row r="36" spans="1:40" s="11" customFormat="1" x14ac:dyDescent="0.3">
      <c r="A36" s="88" t="s">
        <v>379</v>
      </c>
      <c r="B36" s="90">
        <v>23</v>
      </c>
      <c r="C36" s="2">
        <f>'GERAL 2022'!G25</f>
        <v>550</v>
      </c>
      <c r="D36" s="2">
        <v>0</v>
      </c>
      <c r="E36" s="5">
        <f>C36-D36</f>
        <v>550</v>
      </c>
      <c r="F36" s="2">
        <v>0</v>
      </c>
      <c r="G36" s="2">
        <f>D105</f>
        <v>2.8368085106382979</v>
      </c>
      <c r="H36" s="2">
        <f>D104</f>
        <v>19.641666666666666</v>
      </c>
      <c r="I36" s="109">
        <f t="shared" si="3"/>
        <v>572.47847517730497</v>
      </c>
      <c r="J36" s="2">
        <f t="shared" si="5"/>
        <v>40.073493262411354</v>
      </c>
      <c r="K36" s="2">
        <f>I36-J36</f>
        <v>532.4049819148936</v>
      </c>
      <c r="L36" s="90" t="s">
        <v>388</v>
      </c>
      <c r="M36" s="3">
        <v>10</v>
      </c>
      <c r="N36" s="3">
        <v>11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</row>
    <row r="37" spans="1:40" s="6" customFormat="1" x14ac:dyDescent="0.3">
      <c r="A37" s="90" t="s">
        <v>267</v>
      </c>
      <c r="B37" s="90">
        <v>24</v>
      </c>
      <c r="C37" s="2">
        <f>'GERAL 2022'!G26</f>
        <v>650</v>
      </c>
      <c r="D37" s="2">
        <v>0</v>
      </c>
      <c r="E37" s="5">
        <f>C37-D37</f>
        <v>650</v>
      </c>
      <c r="F37" s="2">
        <v>50</v>
      </c>
      <c r="G37" s="2">
        <v>0</v>
      </c>
      <c r="H37" s="2">
        <v>0</v>
      </c>
      <c r="I37" s="109">
        <f t="shared" si="3"/>
        <v>700</v>
      </c>
      <c r="J37" s="2">
        <f>7%*I37</f>
        <v>49.000000000000007</v>
      </c>
      <c r="K37" s="2">
        <f t="shared" si="4"/>
        <v>651</v>
      </c>
      <c r="L37" s="90" t="s">
        <v>470</v>
      </c>
      <c r="M37" s="125">
        <v>10</v>
      </c>
      <c r="N37" s="3">
        <v>11</v>
      </c>
      <c r="O37" s="9"/>
      <c r="P37" s="9"/>
      <c r="Q37" s="9"/>
      <c r="R37" s="9"/>
      <c r="S37" s="9"/>
      <c r="T37" s="9"/>
      <c r="U37" s="9"/>
      <c r="V37" s="9"/>
      <c r="W37" s="9"/>
    </row>
    <row r="38" spans="1:40" s="6" customFormat="1" x14ac:dyDescent="0.3">
      <c r="A38" s="11" t="s">
        <v>87</v>
      </c>
      <c r="B38" s="90">
        <v>25</v>
      </c>
      <c r="C38" s="2"/>
      <c r="D38" s="2"/>
      <c r="E38" s="5"/>
      <c r="F38" s="2"/>
      <c r="G38" s="2"/>
      <c r="H38" s="2"/>
      <c r="I38" s="109">
        <f>SUM(E38:H38)</f>
        <v>0</v>
      </c>
      <c r="J38" s="2"/>
      <c r="K38" s="2"/>
      <c r="L38" s="71" t="s">
        <v>505</v>
      </c>
      <c r="M38" s="125">
        <v>10</v>
      </c>
      <c r="N38" s="3">
        <v>11</v>
      </c>
      <c r="O38" s="9"/>
      <c r="P38" s="9"/>
      <c r="Q38" s="9"/>
      <c r="R38" s="9"/>
      <c r="S38" s="9"/>
      <c r="T38" s="9"/>
      <c r="U38" s="9"/>
      <c r="V38" s="9"/>
      <c r="W38" s="9"/>
    </row>
    <row r="39" spans="1:40" s="11" customFormat="1" x14ac:dyDescent="0.3">
      <c r="A39" s="88" t="s">
        <v>348</v>
      </c>
      <c r="B39" s="90">
        <v>26</v>
      </c>
      <c r="C39" s="2">
        <f>'GERAL 2022'!G28</f>
        <v>560</v>
      </c>
      <c r="D39" s="2">
        <v>0</v>
      </c>
      <c r="E39" s="5">
        <f>C39-D39</f>
        <v>560</v>
      </c>
      <c r="F39" s="2">
        <v>25</v>
      </c>
      <c r="G39" s="2">
        <f>D111</f>
        <v>2.8368085106382979</v>
      </c>
      <c r="H39" s="2">
        <f>D110</f>
        <v>19.658333333333335</v>
      </c>
      <c r="I39" s="109">
        <f t="shared" si="3"/>
        <v>607.49514184397162</v>
      </c>
      <c r="J39" s="2">
        <f t="shared" si="5"/>
        <v>42.52465992907802</v>
      </c>
      <c r="K39" s="2">
        <f t="shared" si="4"/>
        <v>564.97048191489364</v>
      </c>
      <c r="L39" s="90" t="s">
        <v>388</v>
      </c>
      <c r="M39" s="3">
        <v>10</v>
      </c>
      <c r="N39" s="3">
        <v>11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</row>
    <row r="40" spans="1:40" s="11" customFormat="1" x14ac:dyDescent="0.3">
      <c r="A40" s="88" t="s">
        <v>349</v>
      </c>
      <c r="B40" s="90">
        <v>27</v>
      </c>
      <c r="C40" s="72">
        <f>'GERAL 2022'!G45</f>
        <v>580</v>
      </c>
      <c r="D40" s="72">
        <v>0</v>
      </c>
      <c r="E40" s="5">
        <f>C40-D40</f>
        <v>580</v>
      </c>
      <c r="F40" s="72">
        <v>0</v>
      </c>
      <c r="G40" s="72">
        <f>D113</f>
        <v>2.8368085106382979</v>
      </c>
      <c r="H40" s="72">
        <f>D112</f>
        <v>19.696666666666669</v>
      </c>
      <c r="I40" s="109">
        <f t="shared" si="3"/>
        <v>602.53347517730504</v>
      </c>
      <c r="J40" s="2">
        <f t="shared" si="5"/>
        <v>42.177343262411355</v>
      </c>
      <c r="K40" s="2">
        <f t="shared" si="4"/>
        <v>560.35613191489369</v>
      </c>
      <c r="L40" s="90" t="s">
        <v>388</v>
      </c>
      <c r="M40" s="98">
        <v>10</v>
      </c>
      <c r="N40" s="3">
        <v>11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</row>
    <row r="41" spans="1:40" s="11" customFormat="1" ht="14.4" thickBot="1" x14ac:dyDescent="0.35">
      <c r="A41" s="518" t="s">
        <v>4</v>
      </c>
      <c r="B41" s="518"/>
      <c r="C41" s="109">
        <f>SUM(C12:C40)</f>
        <v>13097.149842612902</v>
      </c>
      <c r="D41" s="109">
        <f t="shared" ref="D41:J41" si="6">SUM(D12:D40)</f>
        <v>0</v>
      </c>
      <c r="E41" s="109">
        <f t="shared" si="6"/>
        <v>13097.149842612902</v>
      </c>
      <c r="F41" s="109">
        <f t="shared" si="6"/>
        <v>613.38709677419354</v>
      </c>
      <c r="G41" s="109">
        <f t="shared" si="6"/>
        <v>36.970020590253952</v>
      </c>
      <c r="H41" s="109">
        <f t="shared" si="6"/>
        <v>354.37833333333339</v>
      </c>
      <c r="I41" s="109">
        <f t="shared" si="6"/>
        <v>14101.885293310685</v>
      </c>
      <c r="J41" s="109">
        <f t="shared" si="6"/>
        <v>987.13197053174792</v>
      </c>
      <c r="K41" s="109">
        <f>SUM(K12:K40)</f>
        <v>13114.753322778935</v>
      </c>
      <c r="L41" s="90"/>
      <c r="M41" s="120"/>
      <c r="N41" s="155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</row>
    <row r="42" spans="1:40" s="11" customFormat="1" x14ac:dyDescent="0.3">
      <c r="A42" s="95"/>
      <c r="B42" s="95"/>
      <c r="C42" s="109"/>
      <c r="D42" s="109"/>
      <c r="E42" s="109"/>
      <c r="F42" s="109"/>
      <c r="G42" s="109"/>
      <c r="H42" s="109"/>
      <c r="I42" s="109"/>
      <c r="J42" s="109"/>
      <c r="K42" s="109"/>
      <c r="L42" s="90"/>
      <c r="M42" s="138"/>
      <c r="N42" s="139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</row>
    <row r="43" spans="1:40" s="11" customFormat="1" ht="28.5" customHeight="1" x14ac:dyDescent="0.3">
      <c r="A43" s="521" t="s">
        <v>472</v>
      </c>
      <c r="B43" s="521"/>
      <c r="C43" s="521"/>
      <c r="D43" s="521"/>
      <c r="E43" s="521"/>
      <c r="F43" s="521"/>
      <c r="G43" s="521"/>
      <c r="H43" s="521"/>
      <c r="I43" s="521"/>
      <c r="J43" s="521"/>
      <c r="K43" s="521"/>
      <c r="L43" s="521"/>
      <c r="M43" s="521"/>
      <c r="N43" s="521"/>
      <c r="O43" s="10"/>
      <c r="P43" s="10"/>
      <c r="Q43" s="10"/>
      <c r="R43" s="10"/>
      <c r="S43" s="10"/>
      <c r="T43" s="10"/>
      <c r="U43" s="10"/>
      <c r="V43" s="10"/>
      <c r="W43" s="10"/>
    </row>
    <row r="44" spans="1:40" s="11" customFormat="1" ht="27.75" customHeight="1" x14ac:dyDescent="0.3">
      <c r="A44" s="127" t="s">
        <v>3</v>
      </c>
      <c r="B44" s="127" t="s">
        <v>0</v>
      </c>
      <c r="C44" s="128" t="s">
        <v>174</v>
      </c>
      <c r="D44" s="555" t="s">
        <v>175</v>
      </c>
      <c r="E44" s="556"/>
      <c r="F44" s="556"/>
      <c r="G44" s="556"/>
      <c r="H44" s="557"/>
      <c r="I44" s="128" t="s">
        <v>4</v>
      </c>
      <c r="J44" s="128" t="s">
        <v>5</v>
      </c>
      <c r="K44" s="128" t="s">
        <v>70</v>
      </c>
      <c r="L44" s="127" t="s">
        <v>59</v>
      </c>
      <c r="M44" s="130" t="s">
        <v>8</v>
      </c>
      <c r="N44" s="130" t="s">
        <v>10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40" s="69" customFormat="1" x14ac:dyDescent="0.3">
      <c r="A45" s="71" t="s">
        <v>265</v>
      </c>
      <c r="B45" s="71">
        <v>8</v>
      </c>
      <c r="C45" s="72">
        <v>1403</v>
      </c>
      <c r="D45" s="546" t="s">
        <v>491</v>
      </c>
      <c r="E45" s="547"/>
      <c r="F45" s="547"/>
      <c r="G45" s="547"/>
      <c r="H45" s="548"/>
      <c r="I45" s="72">
        <v>1403</v>
      </c>
      <c r="J45" s="5">
        <f>7%*I45</f>
        <v>98.210000000000008</v>
      </c>
      <c r="K45" s="5">
        <f>I45-J45</f>
        <v>1304.79</v>
      </c>
      <c r="L45" s="90" t="s">
        <v>492</v>
      </c>
      <c r="M45" s="140">
        <v>10</v>
      </c>
      <c r="N45" s="4">
        <v>11</v>
      </c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</row>
    <row r="46" spans="1:40" s="69" customFormat="1" x14ac:dyDescent="0.3">
      <c r="A46" s="71" t="s">
        <v>142</v>
      </c>
      <c r="B46" s="71">
        <v>19</v>
      </c>
      <c r="C46" s="72">
        <v>1188.83</v>
      </c>
      <c r="D46" s="546" t="s">
        <v>473</v>
      </c>
      <c r="E46" s="547"/>
      <c r="F46" s="547"/>
      <c r="G46" s="547"/>
      <c r="H46" s="548"/>
      <c r="I46" s="5">
        <v>1188.83</v>
      </c>
      <c r="J46" s="5">
        <f>7%*I46</f>
        <v>83.218100000000007</v>
      </c>
      <c r="K46" s="5">
        <f>I46-J46</f>
        <v>1105.6118999999999</v>
      </c>
      <c r="L46" s="90" t="s">
        <v>474</v>
      </c>
      <c r="M46" s="140">
        <v>10</v>
      </c>
      <c r="N46" s="4">
        <v>11</v>
      </c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</row>
    <row r="47" spans="1:40" s="11" customFormat="1" x14ac:dyDescent="0.3">
      <c r="A47" s="518" t="s">
        <v>4</v>
      </c>
      <c r="B47" s="518"/>
      <c r="C47" s="518"/>
      <c r="D47" s="518"/>
      <c r="E47" s="518"/>
      <c r="F47" s="518"/>
      <c r="G47" s="518"/>
      <c r="H47" s="518"/>
      <c r="I47" s="109">
        <f>SUM(I45:I46)</f>
        <v>2591.83</v>
      </c>
      <c r="J47" s="109">
        <f>SUM(J45:J46)</f>
        <v>181.42810000000003</v>
      </c>
      <c r="K47" s="109">
        <f>SUM(K45:K46)</f>
        <v>2410.4018999999998</v>
      </c>
      <c r="L47" s="527"/>
      <c r="M47" s="527"/>
      <c r="N47" s="527"/>
      <c r="O47" s="10"/>
      <c r="P47" s="10"/>
      <c r="Q47" s="10"/>
      <c r="R47" s="10"/>
      <c r="S47" s="10"/>
      <c r="T47" s="10"/>
      <c r="U47" s="10"/>
      <c r="V47" s="10"/>
      <c r="W47" s="10"/>
    </row>
    <row r="48" spans="1:40" s="11" customFormat="1" x14ac:dyDescent="0.3">
      <c r="A48" s="518"/>
      <c r="B48" s="518"/>
      <c r="C48" s="518"/>
      <c r="D48" s="518"/>
      <c r="E48" s="518"/>
      <c r="F48" s="518"/>
      <c r="G48" s="518"/>
      <c r="H48" s="518"/>
      <c r="I48" s="518"/>
      <c r="J48" s="518"/>
      <c r="K48" s="518"/>
      <c r="L48" s="518"/>
      <c r="M48" s="109"/>
      <c r="N48" s="109"/>
      <c r="O48" s="10"/>
      <c r="P48" s="10"/>
      <c r="Q48" s="10"/>
      <c r="R48" s="10"/>
      <c r="S48" s="10"/>
      <c r="T48" s="10"/>
      <c r="U48" s="10"/>
      <c r="V48" s="10"/>
      <c r="W48" s="10"/>
    </row>
    <row r="49" spans="1:58" s="11" customFormat="1" ht="28.5" customHeight="1" x14ac:dyDescent="0.3">
      <c r="A49" s="521" t="s">
        <v>177</v>
      </c>
      <c r="B49" s="521"/>
      <c r="C49" s="521"/>
      <c r="D49" s="521"/>
      <c r="E49" s="521"/>
      <c r="F49" s="521"/>
      <c r="G49" s="521"/>
      <c r="H49" s="521"/>
      <c r="I49" s="521"/>
      <c r="J49" s="521"/>
      <c r="K49" s="521"/>
      <c r="L49" s="521"/>
      <c r="M49" s="521"/>
      <c r="N49" s="521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1:58" s="11" customFormat="1" ht="25.5" customHeight="1" x14ac:dyDescent="0.3">
      <c r="A50" s="126" t="s">
        <v>173</v>
      </c>
      <c r="B50" s="126" t="s">
        <v>0</v>
      </c>
      <c r="C50" s="126" t="s">
        <v>174</v>
      </c>
      <c r="D50" s="521" t="s">
        <v>175</v>
      </c>
      <c r="E50" s="521"/>
      <c r="F50" s="521"/>
      <c r="G50" s="521"/>
      <c r="H50" s="521"/>
      <c r="I50" s="129" t="s">
        <v>4</v>
      </c>
      <c r="J50" s="128"/>
      <c r="K50" s="128"/>
      <c r="L50" s="127" t="s">
        <v>59</v>
      </c>
      <c r="M50" s="130" t="s">
        <v>8</v>
      </c>
      <c r="N50" s="130" t="s">
        <v>10</v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1:58" s="69" customFormat="1" ht="15" customHeight="1" x14ac:dyDescent="0.3">
      <c r="A51" s="4" t="s">
        <v>132</v>
      </c>
      <c r="B51" s="4">
        <v>1</v>
      </c>
      <c r="C51" s="5">
        <f>4977.59-1520</f>
        <v>3457.59</v>
      </c>
      <c r="D51" s="546" t="s">
        <v>284</v>
      </c>
      <c r="E51" s="547"/>
      <c r="F51" s="547"/>
      <c r="G51" s="547"/>
      <c r="H51" s="548"/>
      <c r="I51" s="5">
        <f>4977.59-1520</f>
        <v>3457.59</v>
      </c>
      <c r="J51" s="5"/>
      <c r="K51" s="5"/>
      <c r="L51" s="5" t="s">
        <v>510</v>
      </c>
      <c r="M51" s="140">
        <v>10</v>
      </c>
      <c r="N51" s="4">
        <v>11</v>
      </c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</row>
    <row r="52" spans="1:58" s="11" customFormat="1" x14ac:dyDescent="0.3">
      <c r="A52" s="90" t="s">
        <v>87</v>
      </c>
      <c r="B52" s="90">
        <v>25</v>
      </c>
      <c r="C52" s="5">
        <v>3013.33</v>
      </c>
      <c r="D52" s="546" t="s">
        <v>509</v>
      </c>
      <c r="E52" s="547"/>
      <c r="F52" s="547"/>
      <c r="G52" s="547"/>
      <c r="H52" s="548"/>
      <c r="I52" s="5">
        <v>3013.33</v>
      </c>
      <c r="J52" s="2"/>
      <c r="K52" s="2"/>
      <c r="L52" s="5" t="s">
        <v>511</v>
      </c>
      <c r="M52" s="98">
        <v>10</v>
      </c>
      <c r="N52" s="3">
        <v>11</v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</row>
    <row r="53" spans="1:58" s="40" customFormat="1" ht="15" customHeight="1" thickBot="1" x14ac:dyDescent="0.35">
      <c r="A53" s="534" t="s">
        <v>4</v>
      </c>
      <c r="B53" s="549"/>
      <c r="C53" s="549"/>
      <c r="D53" s="549"/>
      <c r="E53" s="549"/>
      <c r="F53" s="549"/>
      <c r="G53" s="549"/>
      <c r="H53" s="535"/>
      <c r="I53" s="114">
        <f>SUM(I51:I52)</f>
        <v>6470.92</v>
      </c>
      <c r="J53" s="90"/>
      <c r="K53" s="90"/>
      <c r="L53" s="90"/>
      <c r="M53" s="90"/>
      <c r="N53" s="9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1"/>
      <c r="AS53" s="11"/>
      <c r="AT53" s="11"/>
      <c r="AU53" s="11"/>
    </row>
    <row r="54" spans="1:58" s="19" customFormat="1" x14ac:dyDescent="0.3">
      <c r="A54" s="179"/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1"/>
      <c r="N54" s="182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</row>
    <row r="55" spans="1:58" s="40" customFormat="1" x14ac:dyDescent="0.3">
      <c r="A55" s="543" t="s">
        <v>9</v>
      </c>
      <c r="B55" s="543"/>
      <c r="C55" s="543"/>
      <c r="D55" s="543"/>
      <c r="E55" s="543"/>
      <c r="F55" s="543"/>
      <c r="G55" s="46"/>
      <c r="H55" s="46"/>
      <c r="I55" s="46"/>
      <c r="J55" s="46"/>
      <c r="K55" s="46"/>
      <c r="L55" s="544" t="s">
        <v>315</v>
      </c>
      <c r="M55" s="544"/>
      <c r="N55" s="545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1"/>
      <c r="AS55" s="11"/>
      <c r="AT55" s="11"/>
      <c r="AU55" s="11"/>
    </row>
    <row r="56" spans="1:58" s="40" customFormat="1" x14ac:dyDescent="0.3">
      <c r="A56" s="76" t="s">
        <v>40</v>
      </c>
      <c r="B56" s="77">
        <f>'GERAL 2022'!J35</f>
        <v>118.18</v>
      </c>
      <c r="C56" s="78">
        <v>6</v>
      </c>
      <c r="D56" s="77">
        <f t="shared" ref="D56:D81" si="7">B56/C56</f>
        <v>19.696666666666669</v>
      </c>
      <c r="E56" s="78"/>
      <c r="F56" s="77"/>
      <c r="G56" s="11"/>
      <c r="H56" s="11"/>
      <c r="I56" s="87"/>
      <c r="J56" s="87"/>
      <c r="K56" s="87"/>
      <c r="L56" s="527" t="s">
        <v>94</v>
      </c>
      <c r="M56" s="527"/>
      <c r="N56" s="114">
        <f>J41+J47</f>
        <v>1168.5600705317479</v>
      </c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1"/>
      <c r="AS56" s="11"/>
      <c r="AT56" s="11"/>
      <c r="AU56" s="11"/>
    </row>
    <row r="57" spans="1:58" s="40" customFormat="1" x14ac:dyDescent="0.3">
      <c r="A57" s="12" t="s">
        <v>46</v>
      </c>
      <c r="B57" s="2">
        <f>'GERAL 2022'!H35</f>
        <v>14.184042553191489</v>
      </c>
      <c r="C57" s="88">
        <v>5</v>
      </c>
      <c r="D57" s="2">
        <f t="shared" si="7"/>
        <v>2.8368085106382979</v>
      </c>
      <c r="E57" s="88"/>
      <c r="F57" s="88"/>
      <c r="G57" s="11"/>
      <c r="H57" s="11"/>
      <c r="I57" s="14"/>
      <c r="J57" s="14"/>
      <c r="K57" s="14"/>
      <c r="L57" s="518" t="s">
        <v>260</v>
      </c>
      <c r="M57" s="518"/>
      <c r="N57" s="114">
        <f>J8</f>
        <v>1464</v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1"/>
      <c r="AS57" s="11"/>
      <c r="AT57" s="11"/>
      <c r="AU57" s="11"/>
    </row>
    <row r="58" spans="1:58" s="40" customFormat="1" x14ac:dyDescent="0.3">
      <c r="A58" s="79" t="s">
        <v>29</v>
      </c>
      <c r="B58" s="80">
        <f>'GERAL 2022'!J4</f>
        <v>118.18</v>
      </c>
      <c r="C58" s="82">
        <v>6</v>
      </c>
      <c r="D58" s="80">
        <f t="shared" si="7"/>
        <v>19.696666666666669</v>
      </c>
      <c r="E58" s="78"/>
      <c r="F58" s="77"/>
      <c r="G58" s="11"/>
      <c r="H58" s="11"/>
      <c r="I58" s="14"/>
      <c r="J58" s="14"/>
      <c r="K58" s="14"/>
      <c r="L58" s="520"/>
      <c r="M58" s="520"/>
      <c r="N58" s="52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1"/>
      <c r="AS58" s="11"/>
      <c r="AT58" s="11"/>
      <c r="AU58" s="11"/>
    </row>
    <row r="59" spans="1:58" s="40" customFormat="1" x14ac:dyDescent="0.3">
      <c r="A59" s="12" t="s">
        <v>30</v>
      </c>
      <c r="B59" s="2">
        <f>'GERAL 2022'!H4</f>
        <v>14.184042553191489</v>
      </c>
      <c r="C59" s="88">
        <v>5</v>
      </c>
      <c r="D59" s="2">
        <f t="shared" si="7"/>
        <v>2.8368085106382979</v>
      </c>
      <c r="E59" s="53"/>
      <c r="F59" s="53"/>
      <c r="G59" s="11"/>
      <c r="H59" s="11"/>
      <c r="I59" s="62"/>
      <c r="J59" s="62"/>
      <c r="K59" s="62"/>
      <c r="L59" s="520"/>
      <c r="M59" s="520"/>
      <c r="N59" s="52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1"/>
      <c r="AS59" s="11"/>
      <c r="AT59" s="11"/>
      <c r="AU59" s="11"/>
    </row>
    <row r="60" spans="1:58" s="40" customFormat="1" x14ac:dyDescent="0.3">
      <c r="A60" s="79" t="s">
        <v>65</v>
      </c>
      <c r="B60" s="80">
        <f>'GERAL 2022'!J5</f>
        <v>117.85</v>
      </c>
      <c r="C60" s="82">
        <v>6</v>
      </c>
      <c r="D60" s="80">
        <f t="shared" si="7"/>
        <v>19.641666666666666</v>
      </c>
      <c r="E60" s="78"/>
      <c r="F60" s="77"/>
      <c r="G60" s="11"/>
      <c r="H60" s="11"/>
      <c r="I60" s="14"/>
      <c r="J60" s="14"/>
      <c r="K60" s="14"/>
      <c r="L60" s="529" t="s">
        <v>12</v>
      </c>
      <c r="M60" s="529"/>
      <c r="N60" s="529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1"/>
      <c r="AS60" s="11"/>
      <c r="AT60" s="11"/>
      <c r="AU60" s="11"/>
    </row>
    <row r="61" spans="1:58" s="11" customFormat="1" ht="15" customHeight="1" x14ac:dyDescent="0.3">
      <c r="A61" s="12" t="s">
        <v>62</v>
      </c>
      <c r="B61" s="2">
        <f>'GERAL 2022'!H5</f>
        <v>14.184042553191489</v>
      </c>
      <c r="C61" s="88">
        <v>5</v>
      </c>
      <c r="D61" s="2">
        <f t="shared" si="7"/>
        <v>2.8368085106382979</v>
      </c>
      <c r="E61" s="88"/>
      <c r="F61" s="88"/>
      <c r="I61" s="63"/>
      <c r="J61" s="63"/>
      <c r="K61" s="63"/>
      <c r="L61" s="514" t="s">
        <v>181</v>
      </c>
      <c r="M61" s="514"/>
      <c r="N61" s="2">
        <v>19.7</v>
      </c>
      <c r="O61" s="175"/>
      <c r="P61" s="178"/>
    </row>
    <row r="62" spans="1:58" s="11" customFormat="1" ht="14.4" x14ac:dyDescent="0.3">
      <c r="A62" s="79" t="s">
        <v>60</v>
      </c>
      <c r="B62" s="80">
        <f>'GERAL 2022'!J6</f>
        <v>117.85</v>
      </c>
      <c r="C62" s="82">
        <v>6</v>
      </c>
      <c r="D62" s="80">
        <f t="shared" si="7"/>
        <v>19.641666666666666</v>
      </c>
      <c r="E62" s="78"/>
      <c r="F62" s="77"/>
      <c r="I62" s="14"/>
      <c r="J62" s="14"/>
      <c r="K62" s="14"/>
      <c r="L62" s="514" t="s">
        <v>475</v>
      </c>
      <c r="M62" s="514"/>
      <c r="N62" s="2">
        <v>19.7</v>
      </c>
      <c r="O62" s="175"/>
      <c r="P62" s="178"/>
    </row>
    <row r="63" spans="1:58" s="11" customFormat="1" ht="15" customHeight="1" x14ac:dyDescent="0.3">
      <c r="A63" s="12" t="s">
        <v>61</v>
      </c>
      <c r="B63" s="2">
        <f>'GERAL 2022'!H6</f>
        <v>14.184042553191489</v>
      </c>
      <c r="C63" s="88">
        <v>5</v>
      </c>
      <c r="D63" s="2">
        <f t="shared" si="7"/>
        <v>2.8368085106382979</v>
      </c>
      <c r="E63" s="88"/>
      <c r="F63" s="88"/>
      <c r="I63" s="63"/>
      <c r="J63" s="63"/>
      <c r="K63" s="63"/>
      <c r="L63" s="514" t="s">
        <v>476</v>
      </c>
      <c r="M63" s="514"/>
      <c r="N63" s="2">
        <v>19.64</v>
      </c>
      <c r="O63" s="175"/>
      <c r="P63" s="176"/>
    </row>
    <row r="64" spans="1:58" s="11" customFormat="1" ht="14.4" x14ac:dyDescent="0.3">
      <c r="A64" s="79" t="s">
        <v>31</v>
      </c>
      <c r="B64" s="80">
        <f>'GERAL 2022'!J7</f>
        <v>118.18</v>
      </c>
      <c r="C64" s="82">
        <v>6</v>
      </c>
      <c r="D64" s="80">
        <f t="shared" si="7"/>
        <v>19.696666666666669</v>
      </c>
      <c r="E64" s="78"/>
      <c r="F64" s="77"/>
      <c r="I64" s="14"/>
      <c r="J64" s="14"/>
      <c r="K64" s="14"/>
      <c r="L64" s="514" t="s">
        <v>477</v>
      </c>
      <c r="M64" s="514"/>
      <c r="N64" s="2">
        <v>19.7</v>
      </c>
      <c r="O64" s="175"/>
      <c r="P64" s="176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</row>
    <row r="65" spans="1:46" s="11" customFormat="1" ht="14.4" x14ac:dyDescent="0.3">
      <c r="A65" s="12" t="s">
        <v>32</v>
      </c>
      <c r="B65" s="2">
        <f>'GERAL 2022'!H7</f>
        <v>14.184042553191489</v>
      </c>
      <c r="C65" s="88">
        <v>5</v>
      </c>
      <c r="D65" s="2">
        <f t="shared" si="7"/>
        <v>2.8368085106382979</v>
      </c>
      <c r="E65" s="88"/>
      <c r="F65" s="88"/>
      <c r="I65" s="63"/>
      <c r="J65" s="63"/>
      <c r="K65" s="63"/>
      <c r="L65" s="514" t="s">
        <v>478</v>
      </c>
      <c r="M65" s="514"/>
      <c r="N65" s="2">
        <v>19.84</v>
      </c>
      <c r="O65" s="175"/>
      <c r="P65" s="176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</row>
    <row r="66" spans="1:46" s="11" customFormat="1" ht="14.4" x14ac:dyDescent="0.3">
      <c r="A66" s="79" t="s">
        <v>57</v>
      </c>
      <c r="B66" s="80">
        <f>'GERAL 2022'!J8</f>
        <v>119.02</v>
      </c>
      <c r="C66" s="82">
        <v>6</v>
      </c>
      <c r="D66" s="80">
        <f t="shared" si="7"/>
        <v>19.836666666666666</v>
      </c>
      <c r="E66" s="78"/>
      <c r="F66" s="77"/>
      <c r="I66" s="14"/>
      <c r="J66" s="14"/>
      <c r="K66" s="14"/>
      <c r="L66" s="514" t="s">
        <v>479</v>
      </c>
      <c r="M66" s="514"/>
      <c r="N66" s="2">
        <v>19.7</v>
      </c>
      <c r="O66" s="175"/>
      <c r="P66" s="176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</row>
    <row r="67" spans="1:46" s="11" customFormat="1" ht="12.75" customHeight="1" x14ac:dyDescent="0.3">
      <c r="A67" s="12" t="s">
        <v>58</v>
      </c>
      <c r="B67" s="2">
        <f>'GERAL 2022'!H8</f>
        <v>19.857659574468084</v>
      </c>
      <c r="C67" s="88">
        <v>5</v>
      </c>
      <c r="D67" s="2">
        <f t="shared" si="7"/>
        <v>3.9715319148936166</v>
      </c>
      <c r="E67" s="88"/>
      <c r="F67" s="88"/>
      <c r="I67" s="63"/>
      <c r="J67" s="63"/>
      <c r="K67" s="63"/>
      <c r="L67" s="514" t="s">
        <v>270</v>
      </c>
      <c r="M67" s="514"/>
      <c r="N67" s="2">
        <v>19.68</v>
      </c>
      <c r="O67" s="175"/>
      <c r="P67" s="176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</row>
    <row r="68" spans="1:46" s="11" customFormat="1" ht="14.4" x14ac:dyDescent="0.3">
      <c r="A68" s="79" t="s">
        <v>63</v>
      </c>
      <c r="B68" s="80">
        <f>'GERAL 2022'!J9</f>
        <v>118.18</v>
      </c>
      <c r="C68" s="82">
        <v>6</v>
      </c>
      <c r="D68" s="80">
        <f t="shared" si="7"/>
        <v>19.696666666666669</v>
      </c>
      <c r="E68" s="78"/>
      <c r="F68" s="77"/>
      <c r="I68" s="14"/>
      <c r="J68" s="14"/>
      <c r="K68" s="14"/>
      <c r="L68" s="514" t="s">
        <v>146</v>
      </c>
      <c r="M68" s="514"/>
      <c r="N68" s="2">
        <v>19.64</v>
      </c>
      <c r="O68" s="175"/>
      <c r="P68" s="178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</row>
    <row r="69" spans="1:46" s="11" customFormat="1" ht="15" customHeight="1" x14ac:dyDescent="0.3">
      <c r="A69" s="12" t="s">
        <v>64</v>
      </c>
      <c r="B69" s="2">
        <f>'GERAL 2022'!H9</f>
        <v>14.184042553191489</v>
      </c>
      <c r="C69" s="88">
        <v>5</v>
      </c>
      <c r="D69" s="2">
        <f t="shared" si="7"/>
        <v>2.8368085106382979</v>
      </c>
      <c r="E69" s="88"/>
      <c r="F69" s="88"/>
      <c r="I69" s="63"/>
      <c r="J69" s="63"/>
      <c r="K69" s="63"/>
      <c r="L69" s="514" t="s">
        <v>480</v>
      </c>
      <c r="M69" s="514"/>
      <c r="N69" s="2">
        <v>19.64</v>
      </c>
      <c r="O69" s="175"/>
      <c r="P69" s="178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</row>
    <row r="70" spans="1:46" s="11" customFormat="1" ht="14.4" x14ac:dyDescent="0.3">
      <c r="A70" s="79" t="s">
        <v>33</v>
      </c>
      <c r="B70" s="80">
        <f>'GERAL 2022'!J10</f>
        <v>118.53</v>
      </c>
      <c r="C70" s="82">
        <v>6</v>
      </c>
      <c r="D70" s="80">
        <f t="shared" si="7"/>
        <v>19.754999999999999</v>
      </c>
      <c r="E70" s="78"/>
      <c r="F70" s="77"/>
      <c r="I70" s="14"/>
      <c r="J70" s="14"/>
      <c r="K70" s="14"/>
      <c r="L70" s="514" t="s">
        <v>481</v>
      </c>
      <c r="M70" s="514"/>
      <c r="N70" s="2">
        <v>19.64</v>
      </c>
      <c r="O70" s="175"/>
      <c r="P70" s="178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</row>
    <row r="71" spans="1:46" s="11" customFormat="1" ht="13.5" customHeight="1" x14ac:dyDescent="0.3">
      <c r="A71" s="12" t="s">
        <v>34</v>
      </c>
      <c r="B71" s="2">
        <f>'GERAL 2022'!H10</f>
        <v>14.184042553191489</v>
      </c>
      <c r="C71" s="88">
        <v>5</v>
      </c>
      <c r="D71" s="2">
        <f t="shared" si="7"/>
        <v>2.8368085106382979</v>
      </c>
      <c r="E71" s="88"/>
      <c r="F71" s="88"/>
      <c r="I71" s="63"/>
      <c r="J71" s="63"/>
      <c r="K71" s="63"/>
      <c r="L71" s="514" t="s">
        <v>482</v>
      </c>
      <c r="M71" s="514"/>
      <c r="N71" s="2">
        <v>19.64</v>
      </c>
      <c r="O71" s="175"/>
      <c r="P71" s="178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</row>
    <row r="72" spans="1:46" s="11" customFormat="1" ht="14.4" x14ac:dyDescent="0.3">
      <c r="A72" s="79" t="s">
        <v>495</v>
      </c>
      <c r="B72" s="80">
        <f>'GERAL 2022'!J37</f>
        <v>118.18</v>
      </c>
      <c r="C72" s="82">
        <v>6</v>
      </c>
      <c r="D72" s="80">
        <f>B72/C72</f>
        <v>19.696666666666669</v>
      </c>
      <c r="E72" s="78"/>
      <c r="F72" s="77"/>
      <c r="L72" s="514" t="s">
        <v>483</v>
      </c>
      <c r="M72" s="514"/>
      <c r="N72" s="2">
        <v>19.64</v>
      </c>
      <c r="O72" s="175"/>
      <c r="P72" s="178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</row>
    <row r="73" spans="1:46" s="11" customFormat="1" ht="14.4" x14ac:dyDescent="0.3">
      <c r="A73" s="12" t="s">
        <v>496</v>
      </c>
      <c r="B73" s="2">
        <f>'GERAL 2022'!H37</f>
        <v>14.184042553191489</v>
      </c>
      <c r="C73" s="88">
        <v>5</v>
      </c>
      <c r="D73" s="2">
        <f>B73/C73</f>
        <v>2.8368085106382979</v>
      </c>
      <c r="E73" s="88"/>
      <c r="F73" s="88"/>
      <c r="I73" s="63"/>
      <c r="J73" s="63"/>
      <c r="K73" s="63"/>
      <c r="L73" s="514" t="s">
        <v>148</v>
      </c>
      <c r="M73" s="514"/>
      <c r="N73" s="2">
        <v>19.809999999999999</v>
      </c>
      <c r="O73" s="175"/>
      <c r="P73" s="178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</row>
    <row r="74" spans="1:46" s="11" customFormat="1" ht="14.4" x14ac:dyDescent="0.3">
      <c r="A74" s="79" t="s">
        <v>41</v>
      </c>
      <c r="B74" s="80">
        <f>'GERAL 2022'!J11</f>
        <v>118.18</v>
      </c>
      <c r="C74" s="82">
        <v>6</v>
      </c>
      <c r="D74" s="80">
        <f t="shared" si="7"/>
        <v>19.696666666666669</v>
      </c>
      <c r="E74" s="78"/>
      <c r="F74" s="77"/>
      <c r="I74" s="14"/>
      <c r="J74" s="14"/>
      <c r="K74" s="14"/>
      <c r="L74" s="514" t="s">
        <v>167</v>
      </c>
      <c r="M74" s="514"/>
      <c r="N74" s="2">
        <v>19.7</v>
      </c>
      <c r="O74" s="175"/>
      <c r="P74" s="178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</row>
    <row r="75" spans="1:46" s="11" customFormat="1" ht="14.4" x14ac:dyDescent="0.3">
      <c r="A75" s="12" t="s">
        <v>42</v>
      </c>
      <c r="B75" s="2">
        <f>'GERAL 2022'!H11</f>
        <v>14.184042553191489</v>
      </c>
      <c r="C75" s="88">
        <v>5</v>
      </c>
      <c r="D75" s="2">
        <f t="shared" si="7"/>
        <v>2.8368085106382979</v>
      </c>
      <c r="E75" s="88"/>
      <c r="F75" s="88"/>
      <c r="I75" s="63"/>
      <c r="J75" s="63"/>
      <c r="K75" s="63"/>
      <c r="L75" s="514" t="s">
        <v>150</v>
      </c>
      <c r="M75" s="514"/>
      <c r="N75" s="2">
        <v>19.84</v>
      </c>
      <c r="O75" s="175"/>
      <c r="P75" s="178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</row>
    <row r="76" spans="1:46" s="11" customFormat="1" ht="14.4" x14ac:dyDescent="0.3">
      <c r="A76" s="79" t="s">
        <v>66</v>
      </c>
      <c r="B76" s="80">
        <f>'GERAL 2022'!J38</f>
        <v>117.85</v>
      </c>
      <c r="C76" s="81">
        <v>6</v>
      </c>
      <c r="D76" s="80">
        <f t="shared" si="7"/>
        <v>19.641666666666666</v>
      </c>
      <c r="E76" s="82"/>
      <c r="F76" s="80"/>
      <c r="I76" s="14"/>
      <c r="J76" s="14"/>
      <c r="K76" s="14"/>
      <c r="L76" s="514" t="s">
        <v>151</v>
      </c>
      <c r="M76" s="514"/>
      <c r="N76" s="2">
        <v>19.649999999999999</v>
      </c>
      <c r="O76" s="175"/>
      <c r="P76" s="178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</row>
    <row r="77" spans="1:46" s="11" customFormat="1" ht="14.4" x14ac:dyDescent="0.3">
      <c r="A77" s="12" t="s">
        <v>67</v>
      </c>
      <c r="B77" s="2">
        <f>'GERAL 2022'!H38</f>
        <v>14.184042553191489</v>
      </c>
      <c r="C77" s="88">
        <v>5</v>
      </c>
      <c r="D77" s="2">
        <f t="shared" si="7"/>
        <v>2.8368085106382979</v>
      </c>
      <c r="E77" s="88"/>
      <c r="F77" s="88"/>
      <c r="I77" s="87"/>
      <c r="J77" s="87"/>
      <c r="K77" s="87"/>
      <c r="L77" s="514" t="s">
        <v>484</v>
      </c>
      <c r="M77" s="514"/>
      <c r="N77" s="2">
        <v>19.850000000000001</v>
      </c>
      <c r="O77" s="175"/>
      <c r="P77" s="178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</row>
    <row r="78" spans="1:46" s="11" customFormat="1" ht="14.4" x14ac:dyDescent="0.3">
      <c r="A78" s="79" t="s">
        <v>14</v>
      </c>
      <c r="B78" s="80">
        <f>'GERAL 2022'!J13</f>
        <v>117.85</v>
      </c>
      <c r="C78" s="82">
        <v>6</v>
      </c>
      <c r="D78" s="80">
        <f t="shared" si="7"/>
        <v>19.641666666666666</v>
      </c>
      <c r="E78" s="82"/>
      <c r="F78" s="80"/>
      <c r="L78" s="514" t="s">
        <v>485</v>
      </c>
      <c r="M78" s="514"/>
      <c r="N78" s="2">
        <v>19.54</v>
      </c>
      <c r="O78" s="175"/>
      <c r="P78" s="176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</row>
    <row r="79" spans="1:46" s="11" customFormat="1" ht="14.4" x14ac:dyDescent="0.3">
      <c r="A79" s="12" t="s">
        <v>15</v>
      </c>
      <c r="B79" s="2">
        <f>'GERAL 2022'!H13</f>
        <v>14.184042553191489</v>
      </c>
      <c r="C79" s="88">
        <v>5</v>
      </c>
      <c r="D79" s="2">
        <f t="shared" si="7"/>
        <v>2.8368085106382979</v>
      </c>
      <c r="E79" s="88"/>
      <c r="F79" s="88"/>
      <c r="L79" s="514" t="s">
        <v>486</v>
      </c>
      <c r="M79" s="514"/>
      <c r="N79" s="2">
        <v>19.54</v>
      </c>
      <c r="O79" s="175"/>
      <c r="P79" s="176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</row>
    <row r="80" spans="1:46" s="11" customFormat="1" ht="14.4" x14ac:dyDescent="0.3">
      <c r="A80" s="79" t="s">
        <v>55</v>
      </c>
      <c r="B80" s="80">
        <f>'GERAL 2022'!J14</f>
        <v>117.85</v>
      </c>
      <c r="C80" s="82">
        <v>6</v>
      </c>
      <c r="D80" s="80">
        <f t="shared" si="7"/>
        <v>19.641666666666666</v>
      </c>
      <c r="E80" s="82"/>
      <c r="F80" s="80"/>
      <c r="L80" s="514" t="s">
        <v>487</v>
      </c>
      <c r="M80" s="514"/>
      <c r="N80" s="2">
        <v>19.64</v>
      </c>
      <c r="O80" s="175"/>
      <c r="P80" s="178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</row>
    <row r="81" spans="1:45" s="11" customFormat="1" ht="14.4" x14ac:dyDescent="0.3">
      <c r="A81" s="12" t="s">
        <v>56</v>
      </c>
      <c r="B81" s="2">
        <f>'GERAL 2022'!H14</f>
        <v>14.184042553191489</v>
      </c>
      <c r="C81" s="88">
        <v>5</v>
      </c>
      <c r="D81" s="2">
        <f t="shared" si="7"/>
        <v>2.8368085106382979</v>
      </c>
      <c r="E81" s="88"/>
      <c r="F81" s="88"/>
      <c r="I81" s="14"/>
      <c r="J81" s="14"/>
      <c r="K81" s="14"/>
      <c r="L81" s="514" t="s">
        <v>170</v>
      </c>
      <c r="M81" s="514"/>
      <c r="N81" s="2">
        <v>19.93</v>
      </c>
      <c r="O81" s="175"/>
      <c r="P81" s="178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</row>
    <row r="82" spans="1:45" s="11" customFormat="1" ht="14.4" x14ac:dyDescent="0.3">
      <c r="A82" s="79" t="s">
        <v>35</v>
      </c>
      <c r="B82" s="80">
        <f>'GERAL 2022'!J15</f>
        <v>117.85</v>
      </c>
      <c r="C82" s="82">
        <v>6</v>
      </c>
      <c r="D82" s="80">
        <f>B82/C82</f>
        <v>19.641666666666666</v>
      </c>
      <c r="E82" s="82"/>
      <c r="F82" s="80"/>
      <c r="I82" s="15"/>
      <c r="J82" s="15"/>
      <c r="K82" s="15"/>
      <c r="L82" s="514" t="s">
        <v>488</v>
      </c>
      <c r="M82" s="514"/>
      <c r="N82" s="121">
        <v>19.66</v>
      </c>
      <c r="O82" s="175"/>
      <c r="P82" s="178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</row>
    <row r="83" spans="1:45" s="11" customFormat="1" ht="14.4" x14ac:dyDescent="0.3">
      <c r="A83" s="12" t="s">
        <v>36</v>
      </c>
      <c r="B83" s="2">
        <f>'GERAL 2022'!H15</f>
        <v>14.184042553191489</v>
      </c>
      <c r="C83" s="88">
        <v>5</v>
      </c>
      <c r="D83" s="2">
        <f>B83/C83</f>
        <v>2.8368085106382979</v>
      </c>
      <c r="E83" s="88"/>
      <c r="F83" s="88"/>
      <c r="I83" s="14"/>
      <c r="J83" s="14"/>
      <c r="K83" s="14"/>
      <c r="L83" s="514" t="s">
        <v>153</v>
      </c>
      <c r="M83" s="514"/>
      <c r="N83" s="121">
        <v>19.7</v>
      </c>
      <c r="O83" s="175"/>
      <c r="P83" s="178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</row>
    <row r="84" spans="1:45" s="11" customFormat="1" ht="14.4" x14ac:dyDescent="0.3">
      <c r="A84" s="79" t="s">
        <v>47</v>
      </c>
      <c r="B84" s="80">
        <f>'GERAL 2022'!J16</f>
        <v>117.85</v>
      </c>
      <c r="C84" s="82">
        <v>6</v>
      </c>
      <c r="D84" s="80">
        <f>B84/C84</f>
        <v>19.641666666666666</v>
      </c>
      <c r="E84" s="82"/>
      <c r="F84" s="80"/>
      <c r="I84" s="14"/>
      <c r="J84" s="14"/>
      <c r="K84" s="14"/>
      <c r="L84" s="542" t="s">
        <v>489</v>
      </c>
      <c r="M84" s="542"/>
      <c r="N84" s="2">
        <f>120*4</f>
        <v>480</v>
      </c>
      <c r="O84" s="175"/>
      <c r="P84" s="178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</row>
    <row r="85" spans="1:45" s="11" customFormat="1" ht="14.4" x14ac:dyDescent="0.3">
      <c r="A85" s="12" t="s">
        <v>48</v>
      </c>
      <c r="B85" s="2">
        <f>'GERAL 2022'!H16</f>
        <v>14.184042553191489</v>
      </c>
      <c r="C85" s="88">
        <v>5</v>
      </c>
      <c r="D85" s="2">
        <f>B85/C85</f>
        <v>2.8368085106382979</v>
      </c>
      <c r="E85" s="88"/>
      <c r="F85" s="88"/>
      <c r="I85" s="14"/>
      <c r="J85" s="14"/>
      <c r="K85" s="14"/>
      <c r="L85" s="542" t="s">
        <v>506</v>
      </c>
      <c r="M85" s="542"/>
      <c r="N85" s="2">
        <f>8.77*2</f>
        <v>17.54</v>
      </c>
      <c r="O85" s="175"/>
      <c r="P85" s="178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</row>
    <row r="86" spans="1:45" s="11" customFormat="1" x14ac:dyDescent="0.3">
      <c r="A86" s="79" t="s">
        <v>16</v>
      </c>
      <c r="B86" s="80">
        <f>'GERAL 2022'!J40</f>
        <v>119.02</v>
      </c>
      <c r="C86" s="82">
        <v>6</v>
      </c>
      <c r="D86" s="80">
        <f t="shared" ref="D86:D113" si="8">B86/C86</f>
        <v>19.836666666666666</v>
      </c>
      <c r="E86" s="81"/>
      <c r="F86" s="81"/>
      <c r="I86" s="14"/>
      <c r="J86" s="14"/>
      <c r="K86" s="14"/>
      <c r="L86" s="520" t="s">
        <v>126</v>
      </c>
      <c r="M86" s="520"/>
      <c r="N86" s="2">
        <v>129.58000000000001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</row>
    <row r="87" spans="1:45" s="69" customFormat="1" x14ac:dyDescent="0.3">
      <c r="A87" s="12" t="s">
        <v>17</v>
      </c>
      <c r="B87" s="2">
        <f>'GERAL 2022'!H40</f>
        <v>19.857659574468084</v>
      </c>
      <c r="C87" s="88">
        <v>5</v>
      </c>
      <c r="D87" s="2">
        <f t="shared" si="8"/>
        <v>3.9715319148936166</v>
      </c>
      <c r="E87" s="88"/>
      <c r="F87" s="88"/>
      <c r="G87" s="11"/>
      <c r="H87" s="11"/>
      <c r="I87" s="14"/>
      <c r="J87" s="14"/>
      <c r="K87" s="14"/>
      <c r="L87" s="520" t="s">
        <v>378</v>
      </c>
      <c r="M87" s="520"/>
      <c r="N87" s="2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</row>
    <row r="88" spans="1:45" s="69" customFormat="1" ht="14.4" x14ac:dyDescent="0.3">
      <c r="A88" s="79" t="s">
        <v>27</v>
      </c>
      <c r="B88" s="80">
        <f>'GERAL 2022'!J18</f>
        <v>118.87</v>
      </c>
      <c r="C88" s="82">
        <v>6</v>
      </c>
      <c r="D88" s="80">
        <f t="shared" si="8"/>
        <v>19.811666666666667</v>
      </c>
      <c r="E88" s="81"/>
      <c r="F88" s="82"/>
      <c r="G88" s="11"/>
      <c r="H88" s="11"/>
      <c r="I88" s="14"/>
      <c r="J88" s="14"/>
      <c r="K88" s="14"/>
      <c r="L88" s="563" t="s">
        <v>508</v>
      </c>
      <c r="M88" s="563"/>
      <c r="N88" s="141">
        <v>120</v>
      </c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</row>
    <row r="89" spans="1:45" s="69" customFormat="1" ht="14.4" x14ac:dyDescent="0.3">
      <c r="A89" s="12" t="s">
        <v>28</v>
      </c>
      <c r="B89" s="2">
        <f>'GERAL 2022'!H18</f>
        <v>14.184042553191489</v>
      </c>
      <c r="C89" s="88">
        <v>5</v>
      </c>
      <c r="D89" s="2">
        <f t="shared" si="8"/>
        <v>2.8368085106382979</v>
      </c>
      <c r="E89" s="88"/>
      <c r="F89" s="90"/>
      <c r="G89" s="11"/>
      <c r="H89" s="11"/>
      <c r="I89" s="14"/>
      <c r="J89" s="14"/>
      <c r="K89" s="14"/>
      <c r="L89" s="563" t="s">
        <v>499</v>
      </c>
      <c r="M89" s="563"/>
      <c r="N89" s="141">
        <v>100</v>
      </c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</row>
    <row r="90" spans="1:45" s="69" customFormat="1" x14ac:dyDescent="0.3">
      <c r="A90" s="79" t="s">
        <v>18</v>
      </c>
      <c r="B90" s="80">
        <f>'GERAL 2022'!J41</f>
        <v>118.18</v>
      </c>
      <c r="C90" s="82">
        <v>6</v>
      </c>
      <c r="D90" s="80">
        <f t="shared" si="8"/>
        <v>19.696666666666669</v>
      </c>
      <c r="E90" s="82"/>
      <c r="F90" s="80"/>
      <c r="G90" s="11"/>
      <c r="H90" s="11"/>
      <c r="I90" s="14"/>
      <c r="J90" s="14"/>
      <c r="K90" s="14"/>
      <c r="L90" s="570" t="s">
        <v>507</v>
      </c>
      <c r="M90" s="570"/>
      <c r="N90" s="5">
        <v>320</v>
      </c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</row>
    <row r="91" spans="1:45" s="69" customFormat="1" ht="14.4" x14ac:dyDescent="0.3">
      <c r="A91" s="12" t="s">
        <v>19</v>
      </c>
      <c r="B91" s="2">
        <f>'GERAL 2022'!H41</f>
        <v>14.184042553191489</v>
      </c>
      <c r="C91" s="88">
        <v>5</v>
      </c>
      <c r="D91" s="2">
        <f>B91/C91</f>
        <v>2.8368085106382979</v>
      </c>
      <c r="E91" s="88"/>
      <c r="F91" s="88"/>
      <c r="G91" s="11"/>
      <c r="H91" s="11"/>
      <c r="I91" s="14"/>
      <c r="J91" s="14"/>
      <c r="K91" s="14"/>
      <c r="L91" s="563"/>
      <c r="M91" s="563"/>
      <c r="N91" s="141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</row>
    <row r="92" spans="1:45" s="69" customFormat="1" x14ac:dyDescent="0.3">
      <c r="A92" s="79" t="s">
        <v>37</v>
      </c>
      <c r="B92" s="80">
        <f>'GERAL 2022'!J20</f>
        <v>119.02</v>
      </c>
      <c r="C92" s="82">
        <v>6</v>
      </c>
      <c r="D92" s="80">
        <f t="shared" si="8"/>
        <v>19.836666666666666</v>
      </c>
      <c r="E92" s="81"/>
      <c r="F92" s="82"/>
      <c r="G92" s="11"/>
      <c r="H92" s="11"/>
      <c r="I92" s="14"/>
      <c r="J92" s="14"/>
      <c r="K92" s="14"/>
      <c r="L92" s="520"/>
      <c r="M92" s="520"/>
      <c r="N92" s="2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</row>
    <row r="93" spans="1:45" s="69" customFormat="1" x14ac:dyDescent="0.3">
      <c r="A93" s="12" t="s">
        <v>38</v>
      </c>
      <c r="B93" s="2">
        <f>'GERAL 2022'!H20</f>
        <v>14.184042553191489</v>
      </c>
      <c r="C93" s="88">
        <v>5</v>
      </c>
      <c r="D93" s="2">
        <f t="shared" si="8"/>
        <v>2.8368085106382979</v>
      </c>
      <c r="E93" s="88"/>
      <c r="F93" s="88"/>
      <c r="G93" s="11"/>
      <c r="H93" s="11"/>
      <c r="I93" s="14"/>
      <c r="J93" s="14"/>
      <c r="K93" s="14"/>
      <c r="L93" s="520"/>
      <c r="M93" s="520"/>
      <c r="N93" s="9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</row>
    <row r="94" spans="1:45" s="69" customFormat="1" x14ac:dyDescent="0.3">
      <c r="A94" s="79" t="s">
        <v>45</v>
      </c>
      <c r="B94" s="80">
        <f>'GERAL 2022'!J21</f>
        <v>118.43</v>
      </c>
      <c r="C94" s="82">
        <v>6</v>
      </c>
      <c r="D94" s="80">
        <f t="shared" si="8"/>
        <v>19.738333333333333</v>
      </c>
      <c r="E94" s="81"/>
      <c r="F94" s="82"/>
      <c r="G94" s="11"/>
      <c r="H94" s="11"/>
      <c r="I94" s="14"/>
      <c r="J94" s="14"/>
      <c r="K94" s="14"/>
      <c r="L94" s="518"/>
      <c r="M94" s="518"/>
      <c r="N94" s="109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</row>
    <row r="95" spans="1:45" s="69" customFormat="1" x14ac:dyDescent="0.3">
      <c r="A95" s="12" t="s">
        <v>39</v>
      </c>
      <c r="B95" s="2">
        <f>'GERAL 2022'!H21</f>
        <v>14.184042553191489</v>
      </c>
      <c r="C95" s="88">
        <v>5</v>
      </c>
      <c r="D95" s="2">
        <f t="shared" si="8"/>
        <v>2.8368085106382979</v>
      </c>
      <c r="E95" s="88"/>
      <c r="F95" s="88"/>
      <c r="G95" s="11"/>
      <c r="H95" s="11"/>
      <c r="I95" s="14"/>
      <c r="J95" s="14"/>
      <c r="K95" s="14"/>
      <c r="L95" s="518" t="s">
        <v>26</v>
      </c>
      <c r="M95" s="518"/>
      <c r="N95" s="109">
        <f>SUM(N56:N94)</f>
        <v>4252.700070531746</v>
      </c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</row>
    <row r="96" spans="1:45" s="69" customFormat="1" x14ac:dyDescent="0.3">
      <c r="A96" s="79" t="s">
        <v>501</v>
      </c>
      <c r="B96" s="80">
        <f>'GERAL 2022'!J43</f>
        <v>117.85</v>
      </c>
      <c r="C96" s="82">
        <v>6</v>
      </c>
      <c r="D96" s="80">
        <f>B96/C96</f>
        <v>19.641666666666666</v>
      </c>
      <c r="E96" s="81"/>
      <c r="F96" s="82"/>
      <c r="G96" s="11"/>
      <c r="H96" s="11"/>
      <c r="I96" s="14"/>
      <c r="J96" s="14"/>
      <c r="K96" s="14"/>
      <c r="L96" s="543"/>
      <c r="M96" s="543"/>
      <c r="N96" s="135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</row>
    <row r="97" spans="1:46" s="69" customFormat="1" x14ac:dyDescent="0.3">
      <c r="A97" s="12" t="s">
        <v>502</v>
      </c>
      <c r="B97" s="2">
        <f>'GERAL 2022'!H43</f>
        <v>14.184042553191489</v>
      </c>
      <c r="C97" s="88">
        <v>5</v>
      </c>
      <c r="D97" s="2">
        <f>B97/C97</f>
        <v>2.8368085106382979</v>
      </c>
      <c r="E97" s="88"/>
      <c r="F97" s="88"/>
      <c r="G97" s="11"/>
      <c r="H97" s="11"/>
      <c r="I97" s="14"/>
      <c r="J97" s="14"/>
      <c r="K97" s="14"/>
      <c r="L97" s="564" t="s">
        <v>11</v>
      </c>
      <c r="M97" s="565"/>
      <c r="N97" s="153">
        <f>I41+I8+I47</f>
        <v>19223.794194019902</v>
      </c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</row>
    <row r="98" spans="1:46" s="69" customFormat="1" x14ac:dyDescent="0.3">
      <c r="A98" s="81" t="s">
        <v>49</v>
      </c>
      <c r="B98" s="80">
        <f>'GERAL 2022'!J22</f>
        <v>119.12</v>
      </c>
      <c r="C98" s="82">
        <v>6</v>
      </c>
      <c r="D98" s="80">
        <f t="shared" si="8"/>
        <v>19.853333333333335</v>
      </c>
      <c r="E98" s="81"/>
      <c r="F98" s="82"/>
      <c r="I98" s="142"/>
      <c r="J98" s="142"/>
      <c r="K98" s="142"/>
      <c r="L98" s="518"/>
      <c r="M98" s="518"/>
      <c r="N98" s="519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</row>
    <row r="99" spans="1:46" s="70" customFormat="1" x14ac:dyDescent="0.3">
      <c r="A99" s="90" t="s">
        <v>50</v>
      </c>
      <c r="B99" s="2">
        <f>'GERAL 2022'!H22</f>
        <v>14.184042553191489</v>
      </c>
      <c r="C99" s="88">
        <v>5</v>
      </c>
      <c r="D99" s="2">
        <f t="shared" si="8"/>
        <v>2.8368085106382979</v>
      </c>
      <c r="E99" s="88"/>
      <c r="F99" s="88"/>
      <c r="G99" s="63"/>
      <c r="H99" s="63"/>
      <c r="I99" s="69"/>
      <c r="J99" s="69"/>
      <c r="K99" s="69"/>
      <c r="L99" s="513" t="s">
        <v>13</v>
      </c>
      <c r="M99" s="513"/>
      <c r="N99" s="151">
        <f>N97-N95</f>
        <v>14971.094123488156</v>
      </c>
    </row>
    <row r="100" spans="1:46" s="70" customFormat="1" ht="15" customHeight="1" x14ac:dyDescent="0.3">
      <c r="A100" s="81" t="s">
        <v>43</v>
      </c>
      <c r="B100" s="80">
        <f>'GERAL 2022'!J23</f>
        <v>117.26</v>
      </c>
      <c r="C100" s="82">
        <v>6</v>
      </c>
      <c r="D100" s="80">
        <f t="shared" si="8"/>
        <v>19.543333333333333</v>
      </c>
      <c r="E100" s="81"/>
      <c r="F100" s="82"/>
      <c r="G100" s="11"/>
      <c r="H100" s="63"/>
      <c r="I100" s="142"/>
      <c r="J100" s="142"/>
      <c r="K100" s="142"/>
      <c r="L100" s="513" t="s">
        <v>513</v>
      </c>
      <c r="M100" s="513"/>
      <c r="N100" s="183">
        <v>15152.52</v>
      </c>
      <c r="AT100" s="69"/>
    </row>
    <row r="101" spans="1:46" s="70" customFormat="1" x14ac:dyDescent="0.3">
      <c r="A101" s="90" t="s">
        <v>44</v>
      </c>
      <c r="B101" s="2">
        <f>'GERAL 2022'!H23</f>
        <v>14.184042553191489</v>
      </c>
      <c r="C101" s="88">
        <v>5</v>
      </c>
      <c r="D101" s="2">
        <f t="shared" si="8"/>
        <v>2.8368085106382979</v>
      </c>
      <c r="E101" s="88"/>
      <c r="F101" s="88"/>
      <c r="G101" s="142"/>
      <c r="H101" s="142"/>
      <c r="I101" s="142"/>
      <c r="J101" s="142"/>
      <c r="K101" s="142"/>
      <c r="L101" s="513" t="s">
        <v>512</v>
      </c>
      <c r="M101" s="513"/>
      <c r="N101" s="184">
        <f>N100-N99</f>
        <v>181.42587651184476</v>
      </c>
      <c r="AT101" s="69"/>
    </row>
    <row r="102" spans="1:46" s="70" customFormat="1" x14ac:dyDescent="0.3">
      <c r="A102" s="81" t="s">
        <v>51</v>
      </c>
      <c r="B102" s="80">
        <f>'GERAL 2022'!J24</f>
        <v>117.26</v>
      </c>
      <c r="C102" s="82">
        <v>6</v>
      </c>
      <c r="D102" s="80">
        <f t="shared" si="8"/>
        <v>19.543333333333333</v>
      </c>
      <c r="E102" s="82"/>
      <c r="F102" s="80"/>
      <c r="G102" s="11"/>
      <c r="H102" s="63"/>
      <c r="I102" s="142"/>
      <c r="J102" s="142"/>
      <c r="K102" s="142"/>
      <c r="L102" s="124"/>
      <c r="M102" s="124"/>
      <c r="N102" s="57"/>
      <c r="AT102" s="69"/>
    </row>
    <row r="103" spans="1:46" s="70" customFormat="1" x14ac:dyDescent="0.3">
      <c r="A103" s="90" t="s">
        <v>52</v>
      </c>
      <c r="B103" s="2">
        <f>'GERAL 2022'!H24</f>
        <v>14.184042553191489</v>
      </c>
      <c r="C103" s="88">
        <v>5</v>
      </c>
      <c r="D103" s="2">
        <f t="shared" si="8"/>
        <v>2.8368085106382979</v>
      </c>
      <c r="E103" s="88"/>
      <c r="F103" s="4"/>
      <c r="G103" s="142"/>
      <c r="H103" s="142"/>
      <c r="I103" s="142"/>
      <c r="J103" s="142"/>
      <c r="K103" s="142"/>
      <c r="L103" s="124"/>
      <c r="M103" s="124"/>
      <c r="N103" s="57"/>
      <c r="AT103" s="69"/>
    </row>
    <row r="104" spans="1:46" s="70" customFormat="1" x14ac:dyDescent="0.3">
      <c r="A104" s="81" t="s">
        <v>53</v>
      </c>
      <c r="B104" s="80">
        <f>'GERAL 2022'!J25</f>
        <v>117.85</v>
      </c>
      <c r="C104" s="82">
        <v>6</v>
      </c>
      <c r="D104" s="80">
        <f t="shared" si="8"/>
        <v>19.641666666666666</v>
      </c>
      <c r="E104" s="82"/>
      <c r="F104" s="82"/>
      <c r="G104" s="11"/>
      <c r="H104" s="63"/>
      <c r="I104" s="142"/>
      <c r="J104" s="142"/>
      <c r="K104" s="142"/>
      <c r="L104" s="124"/>
      <c r="M104" s="124"/>
      <c r="N104" s="57"/>
      <c r="AT104" s="69"/>
    </row>
    <row r="105" spans="1:46" s="70" customFormat="1" x14ac:dyDescent="0.3">
      <c r="A105" s="90" t="s">
        <v>54</v>
      </c>
      <c r="B105" s="2">
        <f>'GERAL 2022'!H25</f>
        <v>14.184042553191489</v>
      </c>
      <c r="C105" s="88">
        <v>5</v>
      </c>
      <c r="D105" s="2">
        <f t="shared" si="8"/>
        <v>2.8368085106382979</v>
      </c>
      <c r="E105" s="88"/>
      <c r="F105" s="4"/>
      <c r="G105" s="142"/>
      <c r="H105" s="142"/>
      <c r="I105" s="142"/>
      <c r="J105" s="142"/>
      <c r="K105" s="142"/>
      <c r="L105" s="124"/>
      <c r="M105" s="124"/>
      <c r="N105" s="57"/>
      <c r="AT105" s="69"/>
    </row>
    <row r="106" spans="1:46" s="70" customFormat="1" x14ac:dyDescent="0.3">
      <c r="A106" s="81" t="s">
        <v>78</v>
      </c>
      <c r="B106" s="80">
        <f>'GERAL 2022'!J26</f>
        <v>119.02</v>
      </c>
      <c r="C106" s="82">
        <v>6</v>
      </c>
      <c r="D106" s="80">
        <f t="shared" si="8"/>
        <v>19.836666666666666</v>
      </c>
      <c r="E106" s="82"/>
      <c r="F106" s="82"/>
      <c r="G106" s="11"/>
      <c r="H106" s="63"/>
      <c r="I106" s="142"/>
      <c r="J106" s="142"/>
      <c r="K106" s="142"/>
      <c r="L106" s="15"/>
      <c r="M106" s="14"/>
      <c r="N106" s="57"/>
      <c r="AT106" s="69"/>
    </row>
    <row r="107" spans="1:46" s="70" customFormat="1" x14ac:dyDescent="0.3">
      <c r="A107" s="90" t="s">
        <v>79</v>
      </c>
      <c r="B107" s="2">
        <f>'GERAL 2022'!H26</f>
        <v>19.857659574468084</v>
      </c>
      <c r="C107" s="88">
        <v>5</v>
      </c>
      <c r="D107" s="2">
        <f t="shared" si="8"/>
        <v>3.9715319148936166</v>
      </c>
      <c r="E107" s="88"/>
      <c r="F107" s="4"/>
      <c r="G107" s="142"/>
      <c r="H107" s="142"/>
      <c r="I107" s="142"/>
      <c r="J107" s="142"/>
      <c r="K107" s="142"/>
      <c r="L107" s="11"/>
      <c r="M107" s="15"/>
      <c r="N107" s="57"/>
      <c r="AT107" s="69"/>
    </row>
    <row r="108" spans="1:46" s="70" customFormat="1" x14ac:dyDescent="0.3">
      <c r="A108" s="81" t="s">
        <v>80</v>
      </c>
      <c r="B108" s="80">
        <f>'GERAL 2022'!J27</f>
        <v>119.7</v>
      </c>
      <c r="C108" s="82">
        <v>6</v>
      </c>
      <c r="D108" s="80">
        <f t="shared" si="8"/>
        <v>19.95</v>
      </c>
      <c r="E108" s="82"/>
      <c r="F108" s="82"/>
      <c r="G108" s="11"/>
      <c r="H108" s="63"/>
      <c r="I108" s="142"/>
      <c r="J108" s="142"/>
      <c r="K108" s="142"/>
      <c r="L108" s="11"/>
      <c r="M108" s="11"/>
      <c r="N108" s="57"/>
      <c r="AT108" s="69"/>
    </row>
    <row r="109" spans="1:46" s="70" customFormat="1" x14ac:dyDescent="0.3">
      <c r="A109" s="90" t="s">
        <v>81</v>
      </c>
      <c r="B109" s="2">
        <f>'GERAL 2022'!H27</f>
        <v>14.184042553191489</v>
      </c>
      <c r="C109" s="88">
        <v>5</v>
      </c>
      <c r="D109" s="2">
        <f t="shared" si="8"/>
        <v>2.8368085106382979</v>
      </c>
      <c r="E109" s="88"/>
      <c r="F109" s="4"/>
      <c r="G109" s="142"/>
      <c r="H109" s="142"/>
      <c r="I109" s="142"/>
      <c r="J109" s="142"/>
      <c r="K109" s="142"/>
      <c r="L109" s="14"/>
      <c r="M109" s="14"/>
      <c r="N109" s="57"/>
      <c r="AT109" s="69"/>
    </row>
    <row r="110" spans="1:46" s="70" customFormat="1" x14ac:dyDescent="0.3">
      <c r="A110" s="81" t="s">
        <v>82</v>
      </c>
      <c r="B110" s="80">
        <f>'GERAL 2022'!J28</f>
        <v>117.95</v>
      </c>
      <c r="C110" s="82">
        <v>6</v>
      </c>
      <c r="D110" s="80">
        <f t="shared" si="8"/>
        <v>19.658333333333335</v>
      </c>
      <c r="E110" s="82"/>
      <c r="F110" s="82"/>
      <c r="G110" s="142"/>
      <c r="H110" s="142"/>
      <c r="I110" s="142"/>
      <c r="J110" s="142"/>
      <c r="K110" s="142"/>
      <c r="L110" s="14"/>
      <c r="M110" s="15"/>
      <c r="N110" s="57"/>
      <c r="AT110" s="69"/>
    </row>
    <row r="111" spans="1:46" s="70" customFormat="1" x14ac:dyDescent="0.3">
      <c r="A111" s="90" t="s">
        <v>83</v>
      </c>
      <c r="B111" s="2">
        <f>'GERAL 2022'!H28</f>
        <v>14.184042553191489</v>
      </c>
      <c r="C111" s="88">
        <v>5</v>
      </c>
      <c r="D111" s="2">
        <f t="shared" si="8"/>
        <v>2.8368085106382979</v>
      </c>
      <c r="E111" s="88"/>
      <c r="F111" s="4"/>
      <c r="G111" s="69"/>
      <c r="H111" s="69"/>
      <c r="I111" s="142"/>
      <c r="J111" s="142"/>
      <c r="K111" s="142"/>
      <c r="L111" s="14"/>
      <c r="M111" s="11"/>
      <c r="N111" s="57"/>
      <c r="AT111" s="69"/>
    </row>
    <row r="112" spans="1:46" s="70" customFormat="1" x14ac:dyDescent="0.3">
      <c r="A112" s="81" t="s">
        <v>84</v>
      </c>
      <c r="B112" s="80">
        <f>'GERAL 2022'!J45</f>
        <v>118.18</v>
      </c>
      <c r="C112" s="82">
        <v>6</v>
      </c>
      <c r="D112" s="80">
        <f t="shared" si="8"/>
        <v>19.696666666666669</v>
      </c>
      <c r="E112" s="82"/>
      <c r="F112" s="82"/>
      <c r="G112" s="69"/>
      <c r="H112" s="69"/>
      <c r="I112" s="142"/>
      <c r="J112" s="142"/>
      <c r="K112" s="142"/>
      <c r="L112" s="14"/>
      <c r="M112" s="11"/>
      <c r="N112" s="57"/>
      <c r="AT112" s="69"/>
    </row>
    <row r="113" spans="1:46" s="70" customFormat="1" x14ac:dyDescent="0.3">
      <c r="A113" s="90" t="s">
        <v>85</v>
      </c>
      <c r="B113" s="2">
        <f>'GERAL 2022'!H45</f>
        <v>14.184042553191489</v>
      </c>
      <c r="C113" s="88">
        <v>5</v>
      </c>
      <c r="D113" s="2">
        <f t="shared" si="8"/>
        <v>2.8368085106382979</v>
      </c>
      <c r="E113" s="88"/>
      <c r="F113" s="4"/>
      <c r="G113" s="69"/>
      <c r="H113" s="69"/>
      <c r="I113" s="142"/>
      <c r="J113" s="142"/>
      <c r="K113" s="142"/>
      <c r="L113" s="11"/>
      <c r="M113" s="11"/>
      <c r="N113" s="57"/>
      <c r="AT113" s="69"/>
    </row>
    <row r="114" spans="1:46" s="70" customFormat="1" x14ac:dyDescent="0.3">
      <c r="A114" s="69"/>
      <c r="B114" s="69"/>
      <c r="C114" s="69"/>
      <c r="D114" s="69"/>
      <c r="E114" s="69"/>
      <c r="F114" s="69"/>
      <c r="G114" s="69"/>
      <c r="H114" s="69"/>
      <c r="I114" s="142"/>
      <c r="J114" s="142"/>
      <c r="K114" s="142"/>
      <c r="L114" s="11"/>
      <c r="M114" s="14"/>
      <c r="N114" s="57"/>
      <c r="AT114" s="69"/>
    </row>
    <row r="115" spans="1:46" s="70" customFormat="1" x14ac:dyDescent="0.3">
      <c r="A115" s="69"/>
      <c r="B115" s="69"/>
      <c r="C115" s="69"/>
      <c r="D115" s="69"/>
      <c r="E115" s="69"/>
      <c r="F115" s="69"/>
      <c r="G115" s="69"/>
      <c r="H115" s="69"/>
      <c r="I115" s="142"/>
      <c r="J115" s="142"/>
      <c r="K115" s="142"/>
      <c r="L115" s="11"/>
      <c r="M115" s="14"/>
      <c r="N115" s="57"/>
      <c r="AT115" s="69"/>
    </row>
    <row r="116" spans="1:46" s="70" customFormat="1" x14ac:dyDescent="0.3">
      <c r="A116" s="69"/>
      <c r="B116" s="69"/>
      <c r="C116" s="69"/>
      <c r="D116" s="69"/>
      <c r="E116" s="69"/>
      <c r="F116" s="69"/>
      <c r="G116" s="69"/>
      <c r="H116" s="69"/>
      <c r="I116" s="142"/>
      <c r="J116" s="142"/>
      <c r="K116" s="142"/>
      <c r="L116" s="11"/>
      <c r="M116" s="14"/>
      <c r="N116" s="57"/>
      <c r="AT116" s="69"/>
    </row>
    <row r="117" spans="1:46" s="70" customFormat="1" x14ac:dyDescent="0.3">
      <c r="A117" s="69"/>
      <c r="B117" s="69"/>
      <c r="C117" s="69"/>
      <c r="D117" s="69"/>
      <c r="E117" s="69"/>
      <c r="F117" s="69"/>
      <c r="G117" s="69"/>
      <c r="H117" s="69"/>
      <c r="I117" s="142"/>
      <c r="J117" s="142"/>
      <c r="K117" s="142"/>
      <c r="L117" s="11"/>
      <c r="M117" s="14"/>
      <c r="N117" s="57"/>
      <c r="AT117" s="69"/>
    </row>
    <row r="118" spans="1:46" s="70" customFormat="1" x14ac:dyDescent="0.3">
      <c r="A118" s="69"/>
      <c r="B118" s="69"/>
      <c r="C118" s="69"/>
      <c r="D118" s="69"/>
      <c r="E118" s="69"/>
      <c r="F118" s="69"/>
      <c r="G118" s="69"/>
      <c r="H118" s="69"/>
      <c r="I118" s="142"/>
      <c r="J118" s="142"/>
      <c r="K118" s="142"/>
      <c r="L118" s="11"/>
      <c r="M118" s="11"/>
      <c r="N118" s="57"/>
      <c r="AT118" s="69"/>
    </row>
    <row r="119" spans="1:46" s="70" customFormat="1" x14ac:dyDescent="0.3">
      <c r="A119" s="69"/>
      <c r="B119" s="69"/>
      <c r="C119" s="69"/>
      <c r="D119" s="69"/>
      <c r="E119" s="69"/>
      <c r="F119" s="69"/>
      <c r="I119" s="142"/>
      <c r="J119" s="142"/>
      <c r="K119" s="142"/>
      <c r="L119" s="11"/>
      <c r="M119" s="11"/>
      <c r="N119" s="57"/>
      <c r="AT119" s="69"/>
    </row>
    <row r="120" spans="1:46" s="70" customFormat="1" x14ac:dyDescent="0.3">
      <c r="A120" s="69"/>
      <c r="B120" s="69"/>
      <c r="C120" s="69"/>
      <c r="D120" s="69"/>
      <c r="E120" s="69"/>
      <c r="F120" s="69"/>
      <c r="I120" s="142"/>
      <c r="J120" s="142"/>
      <c r="K120" s="142"/>
      <c r="L120" s="69"/>
      <c r="M120" s="69"/>
      <c r="N120" s="69"/>
      <c r="AT120" s="69"/>
    </row>
    <row r="121" spans="1:46" s="70" customFormat="1" x14ac:dyDescent="0.3">
      <c r="A121" s="69"/>
      <c r="B121" s="69"/>
      <c r="C121" s="69"/>
      <c r="D121" s="69"/>
      <c r="E121" s="69"/>
      <c r="F121" s="69"/>
      <c r="I121" s="142"/>
      <c r="J121" s="142"/>
      <c r="K121" s="142"/>
      <c r="L121" s="69"/>
      <c r="M121" s="69"/>
      <c r="N121" s="69"/>
      <c r="AT121" s="69"/>
    </row>
    <row r="122" spans="1:46" s="70" customFormat="1" x14ac:dyDescent="0.3">
      <c r="I122" s="142"/>
      <c r="J122" s="142"/>
      <c r="K122" s="142"/>
      <c r="L122" s="69"/>
      <c r="M122" s="69"/>
      <c r="N122" s="69"/>
      <c r="AT122" s="69"/>
    </row>
    <row r="123" spans="1:46" s="70" customFormat="1" x14ac:dyDescent="0.3">
      <c r="I123" s="142"/>
      <c r="J123" s="142"/>
      <c r="K123" s="142"/>
      <c r="L123" s="69"/>
      <c r="M123" s="69"/>
      <c r="N123" s="69"/>
      <c r="AT123" s="69"/>
    </row>
    <row r="124" spans="1:46" s="70" customFormat="1" x14ac:dyDescent="0.3">
      <c r="I124" s="142"/>
      <c r="J124" s="142"/>
      <c r="K124" s="142"/>
      <c r="L124" s="69"/>
      <c r="M124" s="69"/>
      <c r="N124" s="69"/>
      <c r="AT124" s="69"/>
    </row>
    <row r="125" spans="1:46" s="70" customFormat="1" x14ac:dyDescent="0.3">
      <c r="I125" s="142"/>
      <c r="J125" s="142"/>
      <c r="K125" s="142"/>
      <c r="L125" s="69"/>
      <c r="M125" s="69"/>
      <c r="N125" s="69"/>
      <c r="AT125" s="69"/>
    </row>
    <row r="126" spans="1:46" s="70" customFormat="1" x14ac:dyDescent="0.3">
      <c r="I126" s="142"/>
      <c r="J126" s="142"/>
      <c r="K126" s="142"/>
      <c r="L126" s="69"/>
      <c r="M126" s="69"/>
      <c r="N126" s="69"/>
      <c r="AT126" s="69"/>
    </row>
    <row r="127" spans="1:46" s="70" customFormat="1" x14ac:dyDescent="0.3">
      <c r="I127" s="142"/>
      <c r="J127" s="142"/>
      <c r="K127" s="142"/>
      <c r="L127" s="144"/>
      <c r="M127" s="69"/>
      <c r="N127" s="69"/>
      <c r="AT127" s="69"/>
    </row>
    <row r="128" spans="1:46" s="70" customFormat="1" x14ac:dyDescent="0.3">
      <c r="I128" s="142"/>
      <c r="J128" s="142"/>
      <c r="K128" s="142"/>
      <c r="L128" s="144"/>
      <c r="M128" s="69"/>
      <c r="N128" s="69"/>
      <c r="AT128" s="69"/>
    </row>
    <row r="129" spans="9:46" s="70" customFormat="1" x14ac:dyDescent="0.3">
      <c r="I129" s="142"/>
      <c r="J129" s="142"/>
      <c r="K129" s="142"/>
      <c r="L129" s="144"/>
      <c r="M129" s="69"/>
      <c r="AT129" s="69"/>
    </row>
    <row r="130" spans="9:46" s="70" customFormat="1" x14ac:dyDescent="0.3">
      <c r="I130" s="142"/>
      <c r="J130" s="142"/>
      <c r="K130" s="142"/>
      <c r="L130" s="144"/>
      <c r="M130" s="69"/>
      <c r="AT130" s="69"/>
    </row>
    <row r="131" spans="9:46" s="70" customFormat="1" x14ac:dyDescent="0.3">
      <c r="I131" s="142"/>
      <c r="J131" s="142"/>
      <c r="K131" s="142"/>
      <c r="L131" s="144"/>
      <c r="M131" s="69"/>
      <c r="AT131" s="69"/>
    </row>
    <row r="132" spans="9:46" s="70" customFormat="1" x14ac:dyDescent="0.3">
      <c r="I132" s="142"/>
      <c r="J132" s="142"/>
      <c r="K132" s="142"/>
      <c r="L132" s="144"/>
      <c r="M132" s="144"/>
      <c r="AT132" s="69"/>
    </row>
    <row r="133" spans="9:46" s="70" customFormat="1" x14ac:dyDescent="0.3">
      <c r="I133" s="142"/>
      <c r="J133" s="142"/>
      <c r="K133" s="142"/>
      <c r="L133" s="144"/>
      <c r="M133" s="144"/>
      <c r="AT133" s="69"/>
    </row>
    <row r="134" spans="9:46" s="70" customFormat="1" x14ac:dyDescent="0.3">
      <c r="I134" s="142"/>
      <c r="J134" s="142"/>
      <c r="K134" s="142"/>
      <c r="L134" s="144"/>
      <c r="M134" s="144"/>
      <c r="AT134" s="69"/>
    </row>
    <row r="135" spans="9:46" s="70" customFormat="1" x14ac:dyDescent="0.3">
      <c r="I135" s="142"/>
      <c r="J135" s="142"/>
      <c r="K135" s="142"/>
      <c r="L135" s="144"/>
      <c r="M135" s="144"/>
      <c r="AT135" s="69"/>
    </row>
    <row r="136" spans="9:46" s="70" customFormat="1" x14ac:dyDescent="0.3">
      <c r="I136" s="142"/>
      <c r="J136" s="142"/>
      <c r="K136" s="142"/>
      <c r="L136" s="144"/>
      <c r="M136" s="144"/>
      <c r="AT136" s="69"/>
    </row>
    <row r="137" spans="9:46" s="70" customFormat="1" x14ac:dyDescent="0.3">
      <c r="I137" s="142"/>
      <c r="J137" s="142"/>
      <c r="K137" s="142"/>
      <c r="L137" s="144"/>
      <c r="M137" s="144"/>
      <c r="AT137" s="69"/>
    </row>
    <row r="138" spans="9:46" s="70" customFormat="1" x14ac:dyDescent="0.3">
      <c r="I138" s="142"/>
      <c r="J138" s="142"/>
      <c r="K138" s="142"/>
      <c r="L138" s="144"/>
      <c r="M138" s="144"/>
      <c r="AT138" s="69"/>
    </row>
    <row r="139" spans="9:46" s="70" customFormat="1" x14ac:dyDescent="0.3">
      <c r="I139" s="142"/>
      <c r="J139" s="142"/>
      <c r="K139" s="142"/>
      <c r="L139" s="144"/>
      <c r="M139" s="144"/>
      <c r="AT139" s="69"/>
    </row>
    <row r="140" spans="9:46" s="70" customFormat="1" x14ac:dyDescent="0.3">
      <c r="I140" s="142"/>
      <c r="J140" s="142"/>
      <c r="K140" s="142"/>
      <c r="L140" s="144"/>
      <c r="M140" s="144"/>
      <c r="AT140" s="69"/>
    </row>
    <row r="141" spans="9:46" s="70" customFormat="1" x14ac:dyDescent="0.3">
      <c r="I141" s="142"/>
      <c r="J141" s="142"/>
      <c r="K141" s="142"/>
      <c r="L141" s="144"/>
      <c r="M141" s="144"/>
      <c r="AT141" s="69"/>
    </row>
    <row r="142" spans="9:46" s="70" customFormat="1" x14ac:dyDescent="0.3">
      <c r="I142" s="142"/>
      <c r="J142" s="142"/>
      <c r="K142" s="142"/>
      <c r="L142" s="144"/>
      <c r="M142" s="144"/>
      <c r="AT142" s="69"/>
    </row>
    <row r="143" spans="9:46" s="70" customFormat="1" x14ac:dyDescent="0.3">
      <c r="I143" s="142"/>
      <c r="J143" s="142"/>
      <c r="K143" s="142"/>
      <c r="L143" s="144"/>
      <c r="M143" s="144"/>
      <c r="AT143" s="69"/>
    </row>
    <row r="144" spans="9:46" s="70" customFormat="1" x14ac:dyDescent="0.3">
      <c r="I144" s="142"/>
      <c r="J144" s="142"/>
      <c r="K144" s="142"/>
      <c r="L144" s="144"/>
      <c r="M144" s="144"/>
      <c r="AT144" s="69"/>
    </row>
    <row r="145" spans="9:46" s="70" customFormat="1" x14ac:dyDescent="0.3">
      <c r="I145" s="142"/>
      <c r="J145" s="142"/>
      <c r="K145" s="142"/>
      <c r="L145" s="144"/>
      <c r="M145" s="144"/>
      <c r="AT145" s="69"/>
    </row>
    <row r="146" spans="9:46" s="70" customFormat="1" x14ac:dyDescent="0.3">
      <c r="I146" s="142"/>
      <c r="J146" s="142"/>
      <c r="K146" s="142"/>
      <c r="L146" s="144"/>
      <c r="M146" s="144"/>
      <c r="AT146" s="69"/>
    </row>
    <row r="147" spans="9:46" s="70" customFormat="1" x14ac:dyDescent="0.3">
      <c r="I147" s="142"/>
      <c r="J147" s="142"/>
      <c r="K147" s="142"/>
      <c r="L147" s="144"/>
      <c r="M147" s="144"/>
      <c r="AT147" s="69"/>
    </row>
    <row r="148" spans="9:46" s="70" customFormat="1" x14ac:dyDescent="0.3">
      <c r="I148" s="142"/>
      <c r="J148" s="142"/>
      <c r="K148" s="142"/>
      <c r="L148" s="144"/>
      <c r="M148" s="144"/>
      <c r="AT148" s="69"/>
    </row>
    <row r="149" spans="9:46" s="70" customFormat="1" x14ac:dyDescent="0.3">
      <c r="I149" s="142"/>
      <c r="J149" s="142"/>
      <c r="K149" s="142"/>
      <c r="L149" s="144"/>
      <c r="M149" s="144"/>
      <c r="AT149" s="69"/>
    </row>
    <row r="150" spans="9:46" s="70" customFormat="1" x14ac:dyDescent="0.3">
      <c r="I150" s="142"/>
      <c r="J150" s="142"/>
      <c r="K150" s="142"/>
      <c r="L150" s="144"/>
      <c r="M150" s="144"/>
      <c r="AT150" s="69"/>
    </row>
    <row r="151" spans="9:46" s="70" customFormat="1" x14ac:dyDescent="0.3">
      <c r="I151" s="142"/>
      <c r="J151" s="142"/>
      <c r="K151" s="142"/>
      <c r="L151" s="144"/>
      <c r="M151" s="144"/>
      <c r="AT151" s="69"/>
    </row>
    <row r="152" spans="9:46" s="70" customFormat="1" x14ac:dyDescent="0.3">
      <c r="I152" s="142"/>
      <c r="J152" s="142"/>
      <c r="K152" s="142"/>
      <c r="L152" s="144"/>
      <c r="M152" s="144"/>
      <c r="AT152" s="69"/>
    </row>
    <row r="153" spans="9:46" s="70" customFormat="1" x14ac:dyDescent="0.3">
      <c r="I153" s="142"/>
      <c r="J153" s="142"/>
      <c r="K153" s="142"/>
      <c r="L153" s="144"/>
      <c r="M153" s="144"/>
      <c r="AT153" s="69"/>
    </row>
    <row r="154" spans="9:46" s="70" customFormat="1" x14ac:dyDescent="0.3">
      <c r="I154" s="142"/>
      <c r="J154" s="142"/>
      <c r="K154" s="142"/>
      <c r="L154" s="144"/>
      <c r="M154" s="144"/>
      <c r="AT154" s="69"/>
    </row>
    <row r="155" spans="9:46" s="70" customFormat="1" x14ac:dyDescent="0.3">
      <c r="I155" s="142"/>
      <c r="J155" s="142"/>
      <c r="K155" s="142"/>
      <c r="L155" s="144"/>
      <c r="M155" s="144"/>
      <c r="AT155" s="69"/>
    </row>
    <row r="156" spans="9:46" s="70" customFormat="1" x14ac:dyDescent="0.3">
      <c r="I156" s="142"/>
      <c r="J156" s="142"/>
      <c r="K156" s="142"/>
      <c r="L156" s="144"/>
      <c r="M156" s="144"/>
      <c r="AT156" s="69"/>
    </row>
    <row r="157" spans="9:46" s="70" customFormat="1" x14ac:dyDescent="0.3">
      <c r="I157" s="142"/>
      <c r="J157" s="142"/>
      <c r="K157" s="142"/>
      <c r="L157" s="144"/>
      <c r="M157" s="144"/>
      <c r="AT157" s="69"/>
    </row>
    <row r="158" spans="9:46" s="70" customFormat="1" x14ac:dyDescent="0.3">
      <c r="I158" s="142"/>
      <c r="J158" s="142"/>
      <c r="K158" s="142"/>
      <c r="L158" s="144"/>
      <c r="M158" s="144"/>
      <c r="AT158" s="69"/>
    </row>
    <row r="159" spans="9:46" s="70" customFormat="1" x14ac:dyDescent="0.3">
      <c r="I159" s="142"/>
      <c r="J159" s="142"/>
      <c r="K159" s="142"/>
      <c r="L159" s="144"/>
      <c r="M159" s="144"/>
      <c r="AT159" s="69"/>
    </row>
    <row r="160" spans="9:46" s="70" customFormat="1" x14ac:dyDescent="0.3">
      <c r="I160" s="142"/>
      <c r="J160" s="142"/>
      <c r="K160" s="142"/>
      <c r="L160" s="144"/>
      <c r="M160" s="144"/>
      <c r="AT160" s="69"/>
    </row>
    <row r="161" spans="1:47" s="70" customFormat="1" x14ac:dyDescent="0.3">
      <c r="I161" s="142"/>
      <c r="J161" s="142"/>
      <c r="K161" s="142"/>
      <c r="L161" s="144"/>
      <c r="M161" s="144"/>
      <c r="AT161" s="69"/>
    </row>
    <row r="162" spans="1:47" s="70" customFormat="1" x14ac:dyDescent="0.3">
      <c r="I162" s="142"/>
      <c r="J162" s="142"/>
      <c r="K162" s="142"/>
      <c r="L162" s="144"/>
      <c r="M162" s="144"/>
      <c r="AT162" s="69"/>
    </row>
    <row r="163" spans="1:47" s="70" customFormat="1" x14ac:dyDescent="0.3">
      <c r="I163" s="142"/>
      <c r="J163" s="142"/>
      <c r="K163" s="142"/>
      <c r="L163" s="144"/>
      <c r="M163" s="144"/>
      <c r="AT163" s="69"/>
    </row>
    <row r="164" spans="1:47" s="70" customFormat="1" x14ac:dyDescent="0.3">
      <c r="I164" s="142"/>
      <c r="J164" s="142"/>
      <c r="K164" s="142"/>
      <c r="L164" s="144"/>
      <c r="M164" s="144"/>
      <c r="AT164" s="69"/>
    </row>
    <row r="165" spans="1:47" s="70" customFormat="1" x14ac:dyDescent="0.3">
      <c r="I165" s="142"/>
      <c r="J165" s="142"/>
      <c r="K165" s="142"/>
      <c r="L165" s="144"/>
      <c r="M165" s="144"/>
      <c r="AT165" s="69"/>
    </row>
    <row r="166" spans="1:47" s="70" customFormat="1" x14ac:dyDescent="0.3">
      <c r="I166" s="142"/>
      <c r="J166" s="142"/>
      <c r="K166" s="142"/>
      <c r="L166" s="144"/>
      <c r="M166" s="144"/>
      <c r="AT166" s="69"/>
    </row>
    <row r="167" spans="1:47" s="70" customFormat="1" x14ac:dyDescent="0.3">
      <c r="I167" s="142"/>
      <c r="J167" s="142"/>
      <c r="K167" s="142"/>
      <c r="L167" s="144"/>
      <c r="M167" s="144"/>
      <c r="AT167" s="69"/>
    </row>
    <row r="168" spans="1:47" s="70" customFormat="1" x14ac:dyDescent="0.3">
      <c r="I168" s="142"/>
      <c r="J168" s="142"/>
      <c r="K168" s="142"/>
      <c r="L168" s="144"/>
      <c r="M168" s="144"/>
      <c r="AT168" s="69"/>
    </row>
    <row r="169" spans="1:47" s="70" customFormat="1" x14ac:dyDescent="0.3">
      <c r="I169" s="142"/>
      <c r="J169" s="142"/>
      <c r="K169" s="142"/>
      <c r="L169" s="144"/>
      <c r="M169" s="144"/>
      <c r="AT169" s="69"/>
    </row>
    <row r="170" spans="1:47" s="70" customFormat="1" x14ac:dyDescent="0.3">
      <c r="I170" s="142"/>
      <c r="J170" s="142"/>
      <c r="K170" s="142"/>
      <c r="L170" s="144"/>
      <c r="M170" s="144"/>
      <c r="AT170" s="69"/>
    </row>
    <row r="171" spans="1:47" s="70" customFormat="1" x14ac:dyDescent="0.3">
      <c r="I171" s="142"/>
      <c r="J171" s="142"/>
      <c r="K171" s="142"/>
      <c r="L171" s="144"/>
      <c r="M171" s="144"/>
      <c r="AT171" s="69"/>
    </row>
    <row r="172" spans="1:47" s="70" customFormat="1" x14ac:dyDescent="0.3">
      <c r="I172" s="142"/>
      <c r="J172" s="142"/>
      <c r="K172" s="142"/>
      <c r="L172" s="144"/>
      <c r="M172" s="144"/>
      <c r="AT172" s="69"/>
    </row>
    <row r="173" spans="1:47" s="70" customFormat="1" x14ac:dyDescent="0.3">
      <c r="I173" s="142"/>
      <c r="J173" s="142"/>
      <c r="K173" s="142"/>
      <c r="L173" s="144"/>
      <c r="M173" s="144"/>
      <c r="AT173" s="69"/>
    </row>
    <row r="174" spans="1:47" s="145" customFormat="1" x14ac:dyDescent="0.3">
      <c r="A174" s="70"/>
      <c r="B174" s="70"/>
      <c r="C174" s="70"/>
      <c r="D174" s="70"/>
      <c r="E174" s="70"/>
      <c r="F174" s="70"/>
      <c r="G174" s="70"/>
      <c r="H174" s="70"/>
      <c r="I174" s="142"/>
      <c r="J174" s="142"/>
      <c r="K174" s="142"/>
      <c r="L174" s="144"/>
      <c r="M174" s="144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69"/>
      <c r="AU174" s="70"/>
    </row>
    <row r="175" spans="1:47" s="145" customFormat="1" x14ac:dyDescent="0.3">
      <c r="A175" s="70"/>
      <c r="B175" s="70"/>
      <c r="C175" s="70"/>
      <c r="D175" s="70"/>
      <c r="E175" s="70"/>
      <c r="F175" s="70"/>
      <c r="G175" s="70"/>
      <c r="H175" s="70"/>
      <c r="I175" s="142"/>
      <c r="J175" s="142"/>
      <c r="K175" s="142"/>
      <c r="L175" s="144"/>
      <c r="M175" s="144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69"/>
      <c r="AU175" s="70"/>
    </row>
    <row r="176" spans="1:47" s="145" customFormat="1" x14ac:dyDescent="0.3">
      <c r="A176" s="70"/>
      <c r="B176" s="70"/>
      <c r="C176" s="70"/>
      <c r="D176" s="70"/>
      <c r="E176" s="70"/>
      <c r="F176" s="70"/>
      <c r="G176" s="70"/>
      <c r="H176" s="70"/>
      <c r="I176" s="142"/>
      <c r="J176" s="142"/>
      <c r="K176" s="142"/>
      <c r="L176" s="144"/>
      <c r="M176" s="144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69"/>
      <c r="AU176" s="70"/>
    </row>
    <row r="177" spans="1:47" s="145" customFormat="1" x14ac:dyDescent="0.3">
      <c r="A177" s="70"/>
      <c r="B177" s="70"/>
      <c r="C177" s="70"/>
      <c r="D177" s="70"/>
      <c r="E177" s="70"/>
      <c r="F177" s="70"/>
      <c r="G177" s="70"/>
      <c r="H177" s="70"/>
      <c r="I177" s="142"/>
      <c r="J177" s="142"/>
      <c r="K177" s="142"/>
      <c r="L177" s="144"/>
      <c r="M177" s="144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69"/>
      <c r="AU177" s="70"/>
    </row>
    <row r="178" spans="1:47" s="145" customFormat="1" x14ac:dyDescent="0.3">
      <c r="A178" s="70"/>
      <c r="B178" s="70"/>
      <c r="C178" s="70"/>
      <c r="D178" s="70"/>
      <c r="E178" s="70"/>
      <c r="F178" s="70"/>
      <c r="G178" s="70"/>
      <c r="H178" s="70"/>
      <c r="I178" s="142"/>
      <c r="J178" s="142"/>
      <c r="K178" s="142"/>
      <c r="L178" s="144"/>
      <c r="M178" s="144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69"/>
      <c r="AU178" s="70"/>
    </row>
    <row r="179" spans="1:47" s="145" customFormat="1" x14ac:dyDescent="0.3">
      <c r="A179" s="70"/>
      <c r="B179" s="70"/>
      <c r="C179" s="70"/>
      <c r="D179" s="70"/>
      <c r="E179" s="70"/>
      <c r="F179" s="70"/>
      <c r="G179" s="70"/>
      <c r="H179" s="70"/>
      <c r="I179" s="142"/>
      <c r="J179" s="142"/>
      <c r="K179" s="142"/>
      <c r="L179" s="144"/>
      <c r="M179" s="144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69"/>
      <c r="AU179" s="70"/>
    </row>
    <row r="180" spans="1:47" s="145" customFormat="1" x14ac:dyDescent="0.3">
      <c r="A180" s="70"/>
      <c r="B180" s="70"/>
      <c r="C180" s="70"/>
      <c r="D180" s="70"/>
      <c r="E180" s="70"/>
      <c r="F180" s="70"/>
      <c r="G180" s="70"/>
      <c r="H180" s="70"/>
      <c r="I180" s="142"/>
      <c r="J180" s="142"/>
      <c r="K180" s="142"/>
      <c r="L180" s="144"/>
      <c r="M180" s="144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69"/>
      <c r="AU180" s="70"/>
    </row>
    <row r="181" spans="1:47" s="145" customFormat="1" x14ac:dyDescent="0.3">
      <c r="A181" s="70"/>
      <c r="B181" s="70"/>
      <c r="C181" s="70"/>
      <c r="D181" s="70"/>
      <c r="E181" s="70"/>
      <c r="F181" s="70"/>
      <c r="G181" s="70"/>
      <c r="H181" s="70"/>
      <c r="I181" s="142"/>
      <c r="J181" s="142"/>
      <c r="K181" s="142"/>
      <c r="L181" s="144"/>
      <c r="M181" s="144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69"/>
      <c r="AU181" s="70"/>
    </row>
    <row r="182" spans="1:47" s="145" customFormat="1" x14ac:dyDescent="0.3">
      <c r="A182" s="70"/>
      <c r="B182" s="70"/>
      <c r="C182" s="70"/>
      <c r="D182" s="70"/>
      <c r="E182" s="70"/>
      <c r="F182" s="70"/>
      <c r="G182" s="70"/>
      <c r="H182" s="70"/>
      <c r="I182" s="142"/>
      <c r="J182" s="142"/>
      <c r="K182" s="142"/>
      <c r="L182" s="144"/>
      <c r="M182" s="144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69"/>
      <c r="AU182" s="70"/>
    </row>
    <row r="183" spans="1:47" s="145" customFormat="1" x14ac:dyDescent="0.3">
      <c r="A183" s="70"/>
      <c r="B183" s="70"/>
      <c r="C183" s="70"/>
      <c r="D183" s="70"/>
      <c r="E183" s="70"/>
      <c r="F183" s="70"/>
      <c r="G183" s="70"/>
      <c r="H183" s="70"/>
      <c r="I183" s="142"/>
      <c r="J183" s="142"/>
      <c r="K183" s="142"/>
      <c r="L183" s="144"/>
      <c r="M183" s="144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69"/>
      <c r="AU183" s="70"/>
    </row>
    <row r="184" spans="1:47" s="145" customFormat="1" x14ac:dyDescent="0.3">
      <c r="A184" s="70"/>
      <c r="B184" s="70"/>
      <c r="C184" s="70"/>
      <c r="D184" s="70"/>
      <c r="E184" s="70"/>
      <c r="F184" s="70"/>
      <c r="G184" s="70"/>
      <c r="H184" s="70"/>
      <c r="I184" s="142"/>
      <c r="J184" s="142"/>
      <c r="K184" s="142"/>
      <c r="L184" s="144"/>
      <c r="M184" s="144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69"/>
      <c r="AU184" s="70"/>
    </row>
    <row r="185" spans="1:47" s="145" customFormat="1" x14ac:dyDescent="0.3">
      <c r="A185" s="70"/>
      <c r="B185" s="70"/>
      <c r="C185" s="70"/>
      <c r="D185" s="70"/>
      <c r="E185" s="70"/>
      <c r="F185" s="70"/>
      <c r="G185" s="70"/>
      <c r="H185" s="70"/>
      <c r="I185" s="142"/>
      <c r="J185" s="142"/>
      <c r="K185" s="142"/>
      <c r="L185" s="144"/>
      <c r="M185" s="144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69"/>
      <c r="AU185" s="70"/>
    </row>
    <row r="186" spans="1:47" s="145" customFormat="1" x14ac:dyDescent="0.3">
      <c r="A186" s="70"/>
      <c r="B186" s="70"/>
      <c r="C186" s="70"/>
      <c r="D186" s="70"/>
      <c r="E186" s="70"/>
      <c r="F186" s="70"/>
      <c r="G186" s="70"/>
      <c r="H186" s="70"/>
      <c r="I186" s="146"/>
      <c r="J186" s="146"/>
      <c r="K186" s="146"/>
      <c r="L186" s="144"/>
      <c r="M186" s="144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69"/>
      <c r="AU186" s="70"/>
    </row>
    <row r="187" spans="1:47" s="145" customFormat="1" x14ac:dyDescent="0.3">
      <c r="A187" s="70"/>
      <c r="B187" s="70"/>
      <c r="C187" s="70"/>
      <c r="D187" s="70"/>
      <c r="E187" s="70"/>
      <c r="F187" s="70"/>
      <c r="G187" s="70"/>
      <c r="H187" s="70"/>
      <c r="I187" s="146"/>
      <c r="J187" s="146"/>
      <c r="K187" s="146"/>
      <c r="L187" s="144"/>
      <c r="M187" s="144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69"/>
      <c r="AU187" s="70"/>
    </row>
    <row r="188" spans="1:47" s="145" customFormat="1" x14ac:dyDescent="0.3">
      <c r="A188" s="70"/>
      <c r="B188" s="70"/>
      <c r="C188" s="70"/>
      <c r="D188" s="70"/>
      <c r="E188" s="70"/>
      <c r="F188" s="70"/>
      <c r="G188" s="70"/>
      <c r="H188" s="70"/>
      <c r="I188" s="146"/>
      <c r="J188" s="146"/>
      <c r="K188" s="146"/>
      <c r="L188" s="144"/>
      <c r="M188" s="144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69"/>
      <c r="AU188" s="70"/>
    </row>
    <row r="189" spans="1:47" s="145" customFormat="1" x14ac:dyDescent="0.3">
      <c r="A189" s="70"/>
      <c r="B189" s="70"/>
      <c r="C189" s="70"/>
      <c r="D189" s="70"/>
      <c r="E189" s="70"/>
      <c r="F189" s="70"/>
      <c r="G189" s="70"/>
      <c r="H189" s="70"/>
      <c r="I189" s="146"/>
      <c r="J189" s="146"/>
      <c r="K189" s="146"/>
      <c r="L189" s="144"/>
      <c r="M189" s="144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69"/>
      <c r="AU189" s="70"/>
    </row>
    <row r="190" spans="1:47" s="145" customFormat="1" x14ac:dyDescent="0.3">
      <c r="A190" s="70"/>
      <c r="B190" s="70"/>
      <c r="C190" s="70"/>
      <c r="D190" s="70"/>
      <c r="E190" s="70"/>
      <c r="F190" s="70"/>
      <c r="G190" s="70"/>
      <c r="H190" s="70"/>
      <c r="I190" s="146"/>
      <c r="J190" s="146"/>
      <c r="K190" s="146"/>
      <c r="L190" s="144"/>
      <c r="M190" s="144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69"/>
      <c r="AU190" s="70"/>
    </row>
    <row r="191" spans="1:47" x14ac:dyDescent="0.3">
      <c r="A191" s="70"/>
      <c r="B191" s="70"/>
      <c r="C191" s="70"/>
      <c r="D191" s="70"/>
      <c r="E191" s="70"/>
      <c r="F191" s="70"/>
      <c r="G191" s="70"/>
      <c r="H191" s="70"/>
      <c r="I191" s="146"/>
      <c r="J191" s="146"/>
      <c r="K191" s="146"/>
      <c r="L191" s="144"/>
      <c r="M191" s="144"/>
      <c r="N191" s="70"/>
      <c r="AT191" s="148"/>
      <c r="AU191" s="148"/>
    </row>
    <row r="192" spans="1:47" x14ac:dyDescent="0.3">
      <c r="A192" s="70"/>
      <c r="B192" s="70"/>
      <c r="C192" s="70"/>
      <c r="D192" s="70"/>
      <c r="E192" s="70"/>
      <c r="F192" s="70"/>
      <c r="G192" s="70"/>
      <c r="H192" s="70"/>
      <c r="I192" s="146"/>
      <c r="J192" s="146"/>
      <c r="K192" s="146"/>
      <c r="L192" s="144"/>
      <c r="M192" s="144"/>
      <c r="N192" s="70"/>
      <c r="AT192" s="148"/>
      <c r="AU192" s="148"/>
    </row>
    <row r="193" spans="1:47" x14ac:dyDescent="0.3">
      <c r="A193" s="70"/>
      <c r="B193" s="70"/>
      <c r="C193" s="70"/>
      <c r="D193" s="70"/>
      <c r="E193" s="70"/>
      <c r="F193" s="70"/>
      <c r="G193" s="70"/>
      <c r="H193" s="70"/>
      <c r="I193" s="146"/>
      <c r="J193" s="146"/>
      <c r="K193" s="146"/>
      <c r="L193" s="144"/>
      <c r="M193" s="144"/>
      <c r="N193" s="70"/>
      <c r="AT193" s="148"/>
      <c r="AU193" s="148"/>
    </row>
    <row r="194" spans="1:47" x14ac:dyDescent="0.3">
      <c r="A194" s="70"/>
      <c r="B194" s="70"/>
      <c r="C194" s="70"/>
      <c r="D194" s="70"/>
      <c r="E194" s="70"/>
      <c r="F194" s="70"/>
      <c r="G194" s="70"/>
      <c r="H194" s="70"/>
      <c r="I194" s="146"/>
      <c r="J194" s="146"/>
      <c r="K194" s="146"/>
      <c r="L194" s="144"/>
      <c r="M194" s="144"/>
      <c r="N194" s="70"/>
      <c r="AT194" s="148"/>
      <c r="AU194" s="148"/>
    </row>
    <row r="195" spans="1:47" x14ac:dyDescent="0.3">
      <c r="A195" s="70"/>
      <c r="B195" s="70"/>
      <c r="C195" s="70"/>
      <c r="D195" s="70"/>
      <c r="E195" s="70"/>
      <c r="F195" s="70"/>
      <c r="G195" s="70"/>
      <c r="H195" s="70"/>
      <c r="I195" s="146"/>
      <c r="J195" s="146"/>
      <c r="K195" s="146"/>
      <c r="L195" s="144"/>
      <c r="M195" s="144"/>
      <c r="N195" s="70"/>
      <c r="AT195" s="148"/>
      <c r="AU195" s="148"/>
    </row>
    <row r="196" spans="1:47" x14ac:dyDescent="0.3">
      <c r="A196" s="70"/>
      <c r="B196" s="70"/>
      <c r="C196" s="70"/>
      <c r="D196" s="70"/>
      <c r="E196" s="70"/>
      <c r="F196" s="70"/>
      <c r="G196" s="149"/>
      <c r="H196" s="149"/>
      <c r="I196" s="146"/>
      <c r="J196" s="146"/>
      <c r="K196" s="146"/>
      <c r="L196" s="144"/>
      <c r="M196" s="144"/>
      <c r="N196" s="70"/>
      <c r="AT196" s="148"/>
      <c r="AU196" s="148"/>
    </row>
    <row r="197" spans="1:47" x14ac:dyDescent="0.3">
      <c r="A197" s="70"/>
      <c r="B197" s="70"/>
      <c r="C197" s="70"/>
      <c r="D197" s="70"/>
      <c r="E197" s="70"/>
      <c r="F197" s="70"/>
      <c r="G197" s="149"/>
      <c r="H197" s="149"/>
      <c r="I197" s="146"/>
      <c r="J197" s="146"/>
      <c r="K197" s="146"/>
      <c r="L197" s="144"/>
      <c r="M197" s="144"/>
      <c r="N197" s="70"/>
      <c r="AT197" s="148"/>
      <c r="AU197" s="148"/>
    </row>
    <row r="198" spans="1:47" x14ac:dyDescent="0.3">
      <c r="A198" s="70"/>
      <c r="B198" s="70"/>
      <c r="C198" s="70"/>
      <c r="D198" s="70"/>
      <c r="E198" s="70"/>
      <c r="F198" s="70"/>
      <c r="G198" s="149"/>
      <c r="H198" s="149"/>
      <c r="I198" s="146"/>
      <c r="J198" s="146"/>
      <c r="K198" s="146"/>
      <c r="L198" s="144"/>
      <c r="M198" s="144"/>
      <c r="N198" s="70"/>
      <c r="AT198" s="148"/>
      <c r="AU198" s="148"/>
    </row>
    <row r="199" spans="1:47" x14ac:dyDescent="0.3">
      <c r="A199" s="149"/>
      <c r="B199" s="149"/>
      <c r="C199" s="149"/>
      <c r="D199" s="149"/>
      <c r="E199" s="149"/>
      <c r="F199" s="149"/>
      <c r="G199" s="149"/>
      <c r="H199" s="149"/>
      <c r="I199" s="146"/>
      <c r="J199" s="146"/>
      <c r="K199" s="146"/>
      <c r="L199" s="144"/>
      <c r="M199" s="144"/>
      <c r="N199" s="70"/>
      <c r="AT199" s="148"/>
      <c r="AU199" s="148"/>
    </row>
    <row r="200" spans="1:47" x14ac:dyDescent="0.3">
      <c r="A200" s="149"/>
      <c r="B200" s="149"/>
      <c r="C200" s="149"/>
      <c r="D200" s="149"/>
      <c r="E200" s="149"/>
      <c r="F200" s="149"/>
      <c r="G200" s="149"/>
      <c r="H200" s="149"/>
      <c r="I200" s="146"/>
      <c r="J200" s="146"/>
      <c r="K200" s="146"/>
      <c r="L200" s="144"/>
      <c r="M200" s="144"/>
      <c r="N200" s="70"/>
      <c r="AT200" s="148"/>
      <c r="AU200" s="148"/>
    </row>
    <row r="201" spans="1:47" x14ac:dyDescent="0.3">
      <c r="A201" s="149"/>
      <c r="B201" s="149"/>
      <c r="C201" s="149"/>
      <c r="D201" s="149"/>
      <c r="E201" s="149"/>
      <c r="F201" s="149"/>
      <c r="G201" s="149"/>
      <c r="H201" s="149"/>
      <c r="I201" s="146"/>
      <c r="J201" s="146"/>
      <c r="K201" s="146"/>
      <c r="L201" s="144"/>
      <c r="M201" s="144"/>
      <c r="N201" s="70"/>
      <c r="AT201" s="148"/>
      <c r="AU201" s="148"/>
    </row>
    <row r="202" spans="1:47" x14ac:dyDescent="0.3">
      <c r="A202" s="149"/>
      <c r="B202" s="149"/>
      <c r="C202" s="149"/>
      <c r="D202" s="149"/>
      <c r="E202" s="149"/>
      <c r="F202" s="149"/>
      <c r="G202" s="149"/>
      <c r="H202" s="149"/>
      <c r="I202" s="146"/>
      <c r="J202" s="146"/>
      <c r="K202" s="146"/>
      <c r="L202" s="144"/>
      <c r="M202" s="144"/>
      <c r="N202" s="70"/>
      <c r="AT202" s="148"/>
      <c r="AU202" s="148"/>
    </row>
    <row r="203" spans="1:47" x14ac:dyDescent="0.3">
      <c r="A203" s="149"/>
      <c r="B203" s="149"/>
      <c r="C203" s="149"/>
      <c r="D203" s="149"/>
      <c r="E203" s="149"/>
      <c r="F203" s="149"/>
      <c r="G203" s="149"/>
      <c r="H203" s="149"/>
      <c r="L203" s="144"/>
      <c r="M203" s="144"/>
      <c r="N203" s="70"/>
    </row>
    <row r="204" spans="1:47" x14ac:dyDescent="0.3">
      <c r="A204" s="149"/>
      <c r="B204" s="149"/>
      <c r="C204" s="149"/>
      <c r="D204" s="149"/>
      <c r="E204" s="149"/>
      <c r="F204" s="149"/>
      <c r="G204" s="149"/>
      <c r="H204" s="149"/>
      <c r="L204" s="147"/>
      <c r="M204" s="144"/>
      <c r="N204" s="70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69"/>
      <c r="AJ204" s="69"/>
      <c r="AK204" s="69"/>
      <c r="AL204" s="69"/>
      <c r="AM204" s="69"/>
      <c r="AN204" s="69"/>
      <c r="AO204" s="69"/>
      <c r="AP204" s="69"/>
      <c r="AQ204" s="69"/>
      <c r="AR204" s="69"/>
      <c r="AS204" s="69"/>
      <c r="AT204" s="148"/>
      <c r="AU204" s="148"/>
    </row>
    <row r="205" spans="1:47" x14ac:dyDescent="0.3">
      <c r="A205" s="149"/>
      <c r="B205" s="149"/>
      <c r="C205" s="149"/>
      <c r="D205" s="149"/>
      <c r="E205" s="149"/>
      <c r="F205" s="149"/>
      <c r="G205" s="149"/>
      <c r="H205" s="149"/>
      <c r="L205" s="147"/>
      <c r="M205" s="144"/>
      <c r="N205" s="70"/>
    </row>
    <row r="206" spans="1:47" x14ac:dyDescent="0.3">
      <c r="A206" s="149"/>
      <c r="B206" s="149"/>
      <c r="C206" s="149"/>
      <c r="D206" s="149"/>
      <c r="E206" s="149"/>
      <c r="F206" s="149"/>
      <c r="G206" s="149"/>
      <c r="H206" s="149"/>
      <c r="L206" s="147"/>
      <c r="M206" s="144"/>
      <c r="N206" s="70"/>
    </row>
    <row r="207" spans="1:47" x14ac:dyDescent="0.3">
      <c r="A207" s="149"/>
      <c r="B207" s="149"/>
      <c r="C207" s="149"/>
      <c r="D207" s="149"/>
      <c r="E207" s="149"/>
      <c r="F207" s="149"/>
      <c r="G207" s="149"/>
      <c r="H207" s="149"/>
      <c r="L207" s="147"/>
      <c r="M207" s="144"/>
      <c r="N207" s="149"/>
    </row>
    <row r="208" spans="1:47" x14ac:dyDescent="0.3">
      <c r="A208" s="149"/>
      <c r="B208" s="149"/>
      <c r="C208" s="149"/>
      <c r="D208" s="149"/>
      <c r="E208" s="149"/>
      <c r="F208" s="149"/>
      <c r="G208" s="149"/>
      <c r="H208" s="149"/>
      <c r="L208" s="147"/>
      <c r="M208" s="144"/>
      <c r="N208" s="149"/>
    </row>
    <row r="209" spans="1:14" x14ac:dyDescent="0.3">
      <c r="A209" s="149"/>
      <c r="B209" s="149"/>
      <c r="C209" s="149"/>
      <c r="D209" s="149"/>
      <c r="E209" s="149"/>
      <c r="F209" s="149"/>
      <c r="G209" s="149"/>
      <c r="H209" s="149"/>
      <c r="L209" s="147"/>
      <c r="M209" s="147"/>
      <c r="N209" s="149"/>
    </row>
    <row r="210" spans="1:14" x14ac:dyDescent="0.3">
      <c r="A210" s="149"/>
      <c r="B210" s="149"/>
      <c r="C210" s="149"/>
      <c r="D210" s="149"/>
      <c r="E210" s="149"/>
      <c r="F210" s="149"/>
      <c r="G210" s="149"/>
      <c r="H210" s="149"/>
      <c r="L210" s="147"/>
      <c r="M210" s="147"/>
      <c r="N210" s="149"/>
    </row>
    <row r="211" spans="1:14" x14ac:dyDescent="0.3">
      <c r="A211" s="149"/>
      <c r="B211" s="149"/>
      <c r="C211" s="149"/>
      <c r="D211" s="149"/>
      <c r="E211" s="149"/>
      <c r="F211" s="149"/>
      <c r="G211" s="149"/>
      <c r="H211" s="149"/>
      <c r="L211" s="147"/>
      <c r="M211" s="147"/>
      <c r="N211" s="149"/>
    </row>
    <row r="212" spans="1:14" x14ac:dyDescent="0.3">
      <c r="A212" s="149"/>
      <c r="B212" s="149"/>
      <c r="C212" s="149"/>
      <c r="D212" s="149"/>
      <c r="E212" s="149"/>
      <c r="F212" s="149"/>
      <c r="G212" s="149"/>
      <c r="H212" s="149"/>
      <c r="L212" s="147"/>
      <c r="M212" s="147"/>
      <c r="N212" s="149"/>
    </row>
    <row r="213" spans="1:14" x14ac:dyDescent="0.3">
      <c r="A213" s="149"/>
      <c r="B213" s="149"/>
      <c r="C213" s="149"/>
      <c r="D213" s="149"/>
      <c r="E213" s="149"/>
      <c r="F213" s="149"/>
      <c r="L213" s="147"/>
      <c r="M213" s="147"/>
      <c r="N213" s="149"/>
    </row>
    <row r="214" spans="1:14" x14ac:dyDescent="0.3">
      <c r="A214" s="149"/>
      <c r="B214" s="149"/>
      <c r="C214" s="149"/>
      <c r="D214" s="149"/>
      <c r="E214" s="149"/>
      <c r="F214" s="149"/>
      <c r="L214" s="147"/>
      <c r="M214" s="147"/>
      <c r="N214" s="149"/>
    </row>
    <row r="215" spans="1:14" x14ac:dyDescent="0.3">
      <c r="A215" s="149"/>
      <c r="B215" s="149"/>
      <c r="C215" s="149"/>
      <c r="D215" s="149"/>
      <c r="E215" s="149"/>
      <c r="F215" s="149"/>
      <c r="L215" s="147"/>
      <c r="M215" s="147"/>
      <c r="N215" s="149"/>
    </row>
    <row r="216" spans="1:14" x14ac:dyDescent="0.3">
      <c r="I216" s="148"/>
      <c r="J216" s="148"/>
      <c r="K216" s="148"/>
      <c r="L216" s="147"/>
      <c r="M216" s="147"/>
      <c r="N216" s="149"/>
    </row>
    <row r="217" spans="1:14" x14ac:dyDescent="0.3">
      <c r="L217" s="147"/>
      <c r="M217" s="147"/>
      <c r="N217" s="149"/>
    </row>
    <row r="218" spans="1:14" x14ac:dyDescent="0.3">
      <c r="L218" s="147"/>
      <c r="M218" s="147"/>
      <c r="N218" s="149"/>
    </row>
    <row r="219" spans="1:14" x14ac:dyDescent="0.3">
      <c r="L219" s="147"/>
      <c r="M219" s="147"/>
    </row>
    <row r="220" spans="1:14" x14ac:dyDescent="0.3">
      <c r="L220" s="147"/>
      <c r="M220" s="147"/>
    </row>
    <row r="221" spans="1:14" x14ac:dyDescent="0.3">
      <c r="M221" s="147"/>
    </row>
    <row r="222" spans="1:14" x14ac:dyDescent="0.3">
      <c r="M222" s="147"/>
    </row>
    <row r="223" spans="1:14" x14ac:dyDescent="0.3">
      <c r="M223" s="147"/>
    </row>
    <row r="224" spans="1:14" x14ac:dyDescent="0.3">
      <c r="M224" s="147"/>
    </row>
    <row r="225" spans="12:13" x14ac:dyDescent="0.3">
      <c r="L225" s="148"/>
      <c r="M225" s="147"/>
    </row>
    <row r="1048548" spans="1:58" s="70" customFormat="1" x14ac:dyDescent="0.3">
      <c r="A1048548" s="148"/>
      <c r="B1048548" s="148"/>
      <c r="C1048548" s="148"/>
      <c r="D1048548" s="148"/>
      <c r="E1048548" s="148"/>
      <c r="F1048548" s="148"/>
      <c r="G1048548" s="148"/>
      <c r="H1048548" s="148"/>
      <c r="I1048548" s="150"/>
      <c r="J1048548" s="150"/>
      <c r="K1048548" s="150"/>
      <c r="L1048548" s="150"/>
      <c r="M1048548" s="150"/>
      <c r="N1048548" s="148"/>
      <c r="AT1048548" s="69"/>
      <c r="AU1048548" s="69"/>
      <c r="AV1048548" s="148"/>
      <c r="AW1048548" s="148"/>
      <c r="AX1048548" s="148"/>
      <c r="AY1048548" s="148"/>
      <c r="AZ1048548" s="148"/>
      <c r="BA1048548" s="148"/>
      <c r="BB1048548" s="148"/>
      <c r="BC1048548" s="148"/>
      <c r="BD1048548" s="148"/>
      <c r="BE1048548" s="148"/>
      <c r="BF1048548" s="148"/>
    </row>
    <row r="1048563" spans="14:14" x14ac:dyDescent="0.3">
      <c r="N1048563" s="57"/>
    </row>
  </sheetData>
  <mergeCells count="64">
    <mergeCell ref="L100:M100"/>
    <mergeCell ref="L101:M101"/>
    <mergeCell ref="L99:M99"/>
    <mergeCell ref="A48:L48"/>
    <mergeCell ref="L67:M67"/>
    <mergeCell ref="L91:M91"/>
    <mergeCell ref="L92:M92"/>
    <mergeCell ref="L93:M93"/>
    <mergeCell ref="L94:M94"/>
    <mergeCell ref="L95:M95"/>
    <mergeCell ref="L96:M96"/>
    <mergeCell ref="L85:M85"/>
    <mergeCell ref="L86:M86"/>
    <mergeCell ref="L88:M88"/>
    <mergeCell ref="L71:M71"/>
    <mergeCell ref="L72:M72"/>
    <mergeCell ref="L76:M76"/>
    <mergeCell ref="L73:M73"/>
    <mergeCell ref="D45:H45"/>
    <mergeCell ref="L89:M89"/>
    <mergeCell ref="L97:M97"/>
    <mergeCell ref="L79:M79"/>
    <mergeCell ref="L68:M68"/>
    <mergeCell ref="L69:M69"/>
    <mergeCell ref="L70:M70"/>
    <mergeCell ref="L61:M61"/>
    <mergeCell ref="A47:H47"/>
    <mergeCell ref="L74:M74"/>
    <mergeCell ref="L75:M75"/>
    <mergeCell ref="L77:M77"/>
    <mergeCell ref="L78:M78"/>
    <mergeCell ref="L63:M63"/>
    <mergeCell ref="L98:N98"/>
    <mergeCell ref="L87:M87"/>
    <mergeCell ref="L90:M90"/>
    <mergeCell ref="L80:M80"/>
    <mergeCell ref="L81:M81"/>
    <mergeCell ref="L82:M82"/>
    <mergeCell ref="L83:M83"/>
    <mergeCell ref="L84:M84"/>
    <mergeCell ref="L66:M66"/>
    <mergeCell ref="L56:M56"/>
    <mergeCell ref="L57:M57"/>
    <mergeCell ref="L58:N59"/>
    <mergeCell ref="L60:N60"/>
    <mergeCell ref="A43:N43"/>
    <mergeCell ref="D44:H44"/>
    <mergeCell ref="D52:H52"/>
    <mergeCell ref="L64:M64"/>
    <mergeCell ref="L65:M65"/>
    <mergeCell ref="D46:H46"/>
    <mergeCell ref="L47:N47"/>
    <mergeCell ref="L62:M62"/>
    <mergeCell ref="A55:F55"/>
    <mergeCell ref="L55:N55"/>
    <mergeCell ref="A49:N49"/>
    <mergeCell ref="D50:H50"/>
    <mergeCell ref="D51:H51"/>
    <mergeCell ref="A53:H53"/>
    <mergeCell ref="A1:N1"/>
    <mergeCell ref="A2:N2"/>
    <mergeCell ref="A8:B8"/>
    <mergeCell ref="A10:N10"/>
    <mergeCell ref="A41:B41"/>
  </mergeCells>
  <pageMargins left="0" right="0" top="0" bottom="0" header="0.31496062992125984" footer="0.31496062992125984"/>
  <pageSetup paperSize="9" scale="1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7732C-F2FF-4016-9C43-602CE8CE3DE8}">
  <sheetPr>
    <pageSetUpPr fitToPage="1"/>
  </sheetPr>
  <dimension ref="A1:BF1048552"/>
  <sheetViews>
    <sheetView topLeftCell="G49" zoomScale="70" zoomScaleNormal="70" workbookViewId="0">
      <selection activeCell="J4" sqref="J4"/>
    </sheetView>
  </sheetViews>
  <sheetFormatPr defaultColWidth="9.109375" defaultRowHeight="13.8" x14ac:dyDescent="0.3"/>
  <cols>
    <col min="1" max="1" width="24.33203125" style="148" customWidth="1"/>
    <col min="2" max="2" width="11.5546875" style="148" bestFit="1" customWidth="1"/>
    <col min="3" max="3" width="19.88671875" style="148" customWidth="1"/>
    <col min="4" max="4" width="19.44140625" style="148" customWidth="1"/>
    <col min="5" max="5" width="21.33203125" style="148" customWidth="1"/>
    <col min="6" max="6" width="19.109375" style="148" customWidth="1"/>
    <col min="7" max="7" width="17.5546875" style="148" customWidth="1"/>
    <col min="8" max="8" width="16.5546875" style="148" customWidth="1"/>
    <col min="9" max="9" width="21.44140625" style="150" customWidth="1"/>
    <col min="10" max="10" width="17.109375" style="150" bestFit="1" customWidth="1"/>
    <col min="11" max="11" width="18" style="150" bestFit="1" customWidth="1"/>
    <col min="12" max="12" width="121.44140625" style="150" bestFit="1" customWidth="1"/>
    <col min="13" max="13" width="9.5546875" style="150" customWidth="1"/>
    <col min="14" max="14" width="18.5546875" style="148" customWidth="1"/>
    <col min="15" max="15" width="40.109375" style="70" bestFit="1" customWidth="1"/>
    <col min="16" max="16" width="13.109375" style="70" bestFit="1" customWidth="1"/>
    <col min="17" max="45" width="9.109375" style="70"/>
    <col min="46" max="47" width="9.109375" style="69"/>
    <col min="48" max="16384" width="9.109375" style="148"/>
  </cols>
  <sheetData>
    <row r="1" spans="1:40" s="10" customForma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</row>
    <row r="2" spans="1:40" s="10" customFormat="1" ht="28.5" customHeight="1" x14ac:dyDescent="0.3">
      <c r="A2" s="521" t="s">
        <v>514</v>
      </c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</row>
    <row r="3" spans="1:40" s="10" customFormat="1" ht="28.5" customHeight="1" x14ac:dyDescent="0.3">
      <c r="A3" s="83" t="s">
        <v>3</v>
      </c>
      <c r="B3" s="83" t="s">
        <v>0</v>
      </c>
      <c r="C3" s="84" t="s">
        <v>1</v>
      </c>
      <c r="D3" s="84" t="s">
        <v>68</v>
      </c>
      <c r="E3" s="84" t="s">
        <v>69</v>
      </c>
      <c r="F3" s="85" t="s">
        <v>2</v>
      </c>
      <c r="G3" s="84" t="s">
        <v>6</v>
      </c>
      <c r="H3" s="84" t="s">
        <v>7</v>
      </c>
      <c r="I3" s="84" t="s">
        <v>4</v>
      </c>
      <c r="J3" s="84" t="s">
        <v>5</v>
      </c>
      <c r="K3" s="84" t="s">
        <v>70</v>
      </c>
      <c r="L3" s="83" t="s">
        <v>59</v>
      </c>
      <c r="M3" s="86" t="s">
        <v>8</v>
      </c>
      <c r="N3" s="86" t="s">
        <v>10</v>
      </c>
    </row>
    <row r="4" spans="1:40" s="15" customFormat="1" x14ac:dyDescent="0.3">
      <c r="A4" s="90" t="s">
        <v>493</v>
      </c>
      <c r="B4" s="90">
        <v>8</v>
      </c>
      <c r="C4" s="2">
        <f>'GERAL 2022'!G37</f>
        <v>580</v>
      </c>
      <c r="D4" s="2">
        <v>0</v>
      </c>
      <c r="E4" s="2">
        <f>C4-D4</f>
        <v>580</v>
      </c>
      <c r="F4" s="2">
        <v>50</v>
      </c>
      <c r="G4" s="2">
        <f>D67</f>
        <v>2.8368085106382979</v>
      </c>
      <c r="H4" s="2">
        <f>D66</f>
        <v>19.696666666666669</v>
      </c>
      <c r="I4" s="109">
        <f>SUM(E4:H4)</f>
        <v>652.53347517730504</v>
      </c>
      <c r="J4" s="2">
        <f>60%*(C4+F4)</f>
        <v>378</v>
      </c>
      <c r="K4" s="2">
        <f>I4-J4</f>
        <v>274.53347517730504</v>
      </c>
      <c r="L4" s="90" t="s">
        <v>319</v>
      </c>
      <c r="M4" s="3">
        <v>10</v>
      </c>
      <c r="N4" s="3">
        <v>11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</row>
    <row r="5" spans="1:40" s="15" customFormat="1" ht="14.25" customHeight="1" x14ac:dyDescent="0.3">
      <c r="A5" s="90" t="s">
        <v>500</v>
      </c>
      <c r="B5" s="90">
        <v>19</v>
      </c>
      <c r="C5" s="2">
        <f>'GERAL 2022'!G43</f>
        <v>550</v>
      </c>
      <c r="D5" s="2">
        <v>0</v>
      </c>
      <c r="E5" s="2">
        <f>C5-D5</f>
        <v>550</v>
      </c>
      <c r="F5" s="2">
        <v>50</v>
      </c>
      <c r="G5" s="2">
        <f>D89</f>
        <v>2.8368085106382979</v>
      </c>
      <c r="H5" s="2">
        <f>D88</f>
        <v>19.641666666666666</v>
      </c>
      <c r="I5" s="109">
        <f>SUM(E5:H5)</f>
        <v>622.47847517730497</v>
      </c>
      <c r="J5" s="2">
        <f>60%*(C5+F5)</f>
        <v>360</v>
      </c>
      <c r="K5" s="2">
        <f>I5-J5</f>
        <v>262.47847517730497</v>
      </c>
      <c r="L5" s="90" t="s">
        <v>319</v>
      </c>
      <c r="M5" s="3">
        <v>10</v>
      </c>
      <c r="N5" s="3">
        <v>11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</row>
    <row r="6" spans="1:40" s="10" customFormat="1" x14ac:dyDescent="0.3">
      <c r="A6" s="518" t="s">
        <v>4</v>
      </c>
      <c r="B6" s="518"/>
      <c r="C6" s="109">
        <f t="shared" ref="C6:K6" si="0">SUM(C4:C5)</f>
        <v>1130</v>
      </c>
      <c r="D6" s="109">
        <f t="shared" si="0"/>
        <v>0</v>
      </c>
      <c r="E6" s="109">
        <f t="shared" si="0"/>
        <v>1130</v>
      </c>
      <c r="F6" s="109">
        <f t="shared" si="0"/>
        <v>100</v>
      </c>
      <c r="G6" s="109">
        <f t="shared" si="0"/>
        <v>5.6736170212765957</v>
      </c>
      <c r="H6" s="109">
        <f t="shared" si="0"/>
        <v>39.338333333333338</v>
      </c>
      <c r="I6" s="109">
        <f t="shared" si="0"/>
        <v>1275.01195035461</v>
      </c>
      <c r="J6" s="109">
        <f t="shared" si="0"/>
        <v>738</v>
      </c>
      <c r="K6" s="109">
        <f t="shared" si="0"/>
        <v>537.01195035461001</v>
      </c>
      <c r="L6" s="90"/>
      <c r="M6" s="3"/>
      <c r="N6" s="3"/>
    </row>
    <row r="7" spans="1:40" s="10" customFormat="1" x14ac:dyDescent="0.3">
      <c r="A7" s="571"/>
      <c r="B7" s="572"/>
      <c r="C7" s="572"/>
      <c r="D7" s="572"/>
      <c r="E7" s="572"/>
      <c r="F7" s="572"/>
      <c r="G7" s="572"/>
      <c r="H7" s="572"/>
      <c r="I7" s="572"/>
      <c r="J7" s="572"/>
      <c r="K7" s="572"/>
      <c r="L7" s="573"/>
      <c r="M7" s="126"/>
      <c r="N7" s="126"/>
    </row>
    <row r="8" spans="1:40" s="11" customFormat="1" x14ac:dyDescent="0.3">
      <c r="A8" s="521" t="s">
        <v>522</v>
      </c>
      <c r="B8" s="521"/>
      <c r="C8" s="521"/>
      <c r="D8" s="521"/>
      <c r="E8" s="521"/>
      <c r="F8" s="521"/>
      <c r="G8" s="521"/>
      <c r="H8" s="521"/>
      <c r="I8" s="521"/>
      <c r="J8" s="521"/>
      <c r="K8" s="521"/>
      <c r="L8" s="521"/>
      <c r="M8" s="521"/>
      <c r="N8" s="521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 spans="1:40" s="11" customFormat="1" ht="27.6" x14ac:dyDescent="0.3">
      <c r="A9" s="83" t="s">
        <v>3</v>
      </c>
      <c r="B9" s="83" t="s">
        <v>0</v>
      </c>
      <c r="C9" s="84" t="s">
        <v>1</v>
      </c>
      <c r="D9" s="84" t="s">
        <v>68</v>
      </c>
      <c r="E9" s="84" t="s">
        <v>69</v>
      </c>
      <c r="F9" s="85" t="s">
        <v>2</v>
      </c>
      <c r="G9" s="84" t="s">
        <v>6</v>
      </c>
      <c r="H9" s="84" t="s">
        <v>7</v>
      </c>
      <c r="I9" s="84" t="s">
        <v>4</v>
      </c>
      <c r="J9" s="84" t="s">
        <v>5</v>
      </c>
      <c r="K9" s="84" t="s">
        <v>70</v>
      </c>
      <c r="L9" s="83" t="s">
        <v>59</v>
      </c>
      <c r="M9" s="86" t="s">
        <v>8</v>
      </c>
      <c r="N9" s="86" t="s">
        <v>10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</row>
    <row r="10" spans="1:40" s="15" customFormat="1" x14ac:dyDescent="0.3">
      <c r="A10" s="88" t="s">
        <v>397</v>
      </c>
      <c r="B10" s="90">
        <v>1</v>
      </c>
      <c r="C10" s="2">
        <f>'GERAL 2022'!G35</f>
        <v>580</v>
      </c>
      <c r="D10" s="2">
        <v>0</v>
      </c>
      <c r="E10" s="2">
        <f t="shared" ref="E10:E27" si="1">C10-D10</f>
        <v>580</v>
      </c>
      <c r="F10" s="5">
        <v>50</v>
      </c>
      <c r="G10" s="2">
        <f>D53</f>
        <v>2.8368085106382979</v>
      </c>
      <c r="H10" s="2">
        <f>D52</f>
        <v>19.696666666666669</v>
      </c>
      <c r="I10" s="109">
        <f>SUM(E10:H10)</f>
        <v>652.53347517730504</v>
      </c>
      <c r="J10" s="2">
        <f t="shared" ref="J10:J36" si="2">7%*I10</f>
        <v>45.677343262411355</v>
      </c>
      <c r="K10" s="2">
        <f>I10-J10</f>
        <v>606.85613191489369</v>
      </c>
      <c r="L10" s="5" t="s">
        <v>521</v>
      </c>
      <c r="M10" s="3">
        <v>10</v>
      </c>
      <c r="N10" s="3">
        <v>11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</row>
    <row r="11" spans="1:40" s="96" customFormat="1" x14ac:dyDescent="0.3">
      <c r="A11" s="90" t="s">
        <v>434</v>
      </c>
      <c r="B11" s="4">
        <v>2</v>
      </c>
      <c r="C11" s="5">
        <f>'GERAL 2022'!G4</f>
        <v>580</v>
      </c>
      <c r="D11" s="5">
        <v>0</v>
      </c>
      <c r="E11" s="5">
        <f t="shared" si="1"/>
        <v>580</v>
      </c>
      <c r="F11" s="5">
        <v>50</v>
      </c>
      <c r="G11" s="2">
        <f>D55</f>
        <v>2.8368085106382979</v>
      </c>
      <c r="H11" s="5">
        <f>D54</f>
        <v>19.696666666666669</v>
      </c>
      <c r="I11" s="109">
        <f t="shared" ref="I11:I36" si="3">SUM(E11:H11)</f>
        <v>652.53347517730504</v>
      </c>
      <c r="J11" s="2">
        <f t="shared" si="2"/>
        <v>45.677343262411355</v>
      </c>
      <c r="K11" s="2">
        <f>I11-J11</f>
        <v>606.85613191489369</v>
      </c>
      <c r="L11" s="90" t="s">
        <v>338</v>
      </c>
      <c r="M11" s="3">
        <v>10</v>
      </c>
      <c r="N11" s="3">
        <v>11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16"/>
      <c r="AK11" s="17"/>
      <c r="AL11" s="17"/>
      <c r="AM11" s="17"/>
      <c r="AN11" s="17"/>
    </row>
    <row r="12" spans="1:40" s="6" customFormat="1" x14ac:dyDescent="0.3">
      <c r="A12" s="90" t="s">
        <v>438</v>
      </c>
      <c r="B12" s="4">
        <v>3</v>
      </c>
      <c r="C12" s="5">
        <f>'GERAL 2022'!G5</f>
        <v>550</v>
      </c>
      <c r="D12" s="5">
        <v>0</v>
      </c>
      <c r="E12" s="5">
        <f t="shared" si="1"/>
        <v>550</v>
      </c>
      <c r="F12" s="5">
        <v>0</v>
      </c>
      <c r="G12" s="2">
        <f>D57</f>
        <v>2.8368085106382979</v>
      </c>
      <c r="H12" s="5">
        <f>D56</f>
        <v>19.641666666666666</v>
      </c>
      <c r="I12" s="109">
        <f t="shared" si="3"/>
        <v>572.47847517730497</v>
      </c>
      <c r="J12" s="2">
        <f t="shared" si="2"/>
        <v>40.073493262411354</v>
      </c>
      <c r="K12" s="2">
        <f>I12-J12</f>
        <v>532.4049819148936</v>
      </c>
      <c r="L12" s="90" t="s">
        <v>338</v>
      </c>
      <c r="M12" s="3">
        <v>10</v>
      </c>
      <c r="N12" s="3">
        <v>11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s="15" customFormat="1" x14ac:dyDescent="0.3">
      <c r="A13" s="90" t="s">
        <v>263</v>
      </c>
      <c r="B13" s="90">
        <v>4</v>
      </c>
      <c r="C13" s="2">
        <f>'GERAL 2022'!G16</f>
        <v>550</v>
      </c>
      <c r="D13" s="2">
        <v>0</v>
      </c>
      <c r="E13" s="2">
        <f t="shared" si="1"/>
        <v>550</v>
      </c>
      <c r="F13" s="2">
        <v>50</v>
      </c>
      <c r="G13" s="2">
        <v>0</v>
      </c>
      <c r="H13" s="2">
        <v>0</v>
      </c>
      <c r="I13" s="109">
        <f t="shared" si="3"/>
        <v>600</v>
      </c>
      <c r="J13" s="2">
        <f t="shared" si="2"/>
        <v>42.000000000000007</v>
      </c>
      <c r="K13" s="2">
        <f>I13-J13</f>
        <v>558</v>
      </c>
      <c r="L13" s="90" t="s">
        <v>470</v>
      </c>
      <c r="M13" s="3">
        <v>10</v>
      </c>
      <c r="N13" s="4">
        <v>11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</row>
    <row r="14" spans="1:40" s="15" customFormat="1" x14ac:dyDescent="0.3">
      <c r="A14" s="90" t="s">
        <v>440</v>
      </c>
      <c r="B14" s="90">
        <v>5</v>
      </c>
      <c r="C14" s="2">
        <v>0</v>
      </c>
      <c r="D14" s="2">
        <v>0</v>
      </c>
      <c r="E14" s="2">
        <f t="shared" si="1"/>
        <v>0</v>
      </c>
      <c r="F14" s="2">
        <v>0</v>
      </c>
      <c r="G14" s="2">
        <v>0</v>
      </c>
      <c r="H14" s="2">
        <v>0</v>
      </c>
      <c r="I14" s="109">
        <f t="shared" si="3"/>
        <v>0</v>
      </c>
      <c r="J14" s="2">
        <f t="shared" si="2"/>
        <v>0</v>
      </c>
      <c r="K14" s="2">
        <f>I14-J14</f>
        <v>0</v>
      </c>
      <c r="L14" s="11" t="s">
        <v>179</v>
      </c>
      <c r="M14" s="3">
        <v>10</v>
      </c>
      <c r="N14" s="3">
        <v>11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</row>
    <row r="15" spans="1:40" s="11" customFormat="1" x14ac:dyDescent="0.3">
      <c r="A15" s="90" t="s">
        <v>292</v>
      </c>
      <c r="B15" s="90">
        <v>6</v>
      </c>
      <c r="C15" s="5">
        <f>'GERAL 2022'!G8</f>
        <v>650</v>
      </c>
      <c r="D15" s="5">
        <v>0</v>
      </c>
      <c r="E15" s="5">
        <f t="shared" si="1"/>
        <v>650</v>
      </c>
      <c r="F15" s="2">
        <v>25</v>
      </c>
      <c r="G15" s="2">
        <v>0</v>
      </c>
      <c r="H15" s="2">
        <v>0</v>
      </c>
      <c r="I15" s="109">
        <f t="shared" si="3"/>
        <v>675</v>
      </c>
      <c r="J15" s="2">
        <f t="shared" si="2"/>
        <v>47.250000000000007</v>
      </c>
      <c r="K15" s="2">
        <f t="shared" ref="K15:K36" si="4">I15-J15</f>
        <v>627.75</v>
      </c>
      <c r="L15" s="90" t="s">
        <v>523</v>
      </c>
      <c r="M15" s="3">
        <v>10</v>
      </c>
      <c r="N15" s="3">
        <v>11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</row>
    <row r="16" spans="1:40" s="15" customFormat="1" ht="14.25" customHeight="1" x14ac:dyDescent="0.3">
      <c r="A16" s="90" t="s">
        <v>442</v>
      </c>
      <c r="B16" s="90">
        <v>7</v>
      </c>
      <c r="C16" s="2">
        <f>'GERAL 2022'!G9</f>
        <v>580</v>
      </c>
      <c r="D16" s="2">
        <v>0</v>
      </c>
      <c r="E16" s="5">
        <f t="shared" si="1"/>
        <v>580</v>
      </c>
      <c r="F16" s="2">
        <v>50</v>
      </c>
      <c r="G16" s="2">
        <f>D65</f>
        <v>2.8368085106382979</v>
      </c>
      <c r="H16" s="2">
        <f>D64</f>
        <v>19.696666666666669</v>
      </c>
      <c r="I16" s="109">
        <f t="shared" si="3"/>
        <v>652.53347517730504</v>
      </c>
      <c r="J16" s="2">
        <f t="shared" si="2"/>
        <v>45.677343262411355</v>
      </c>
      <c r="K16" s="2">
        <f t="shared" si="4"/>
        <v>606.85613191489369</v>
      </c>
      <c r="L16" s="90" t="s">
        <v>338</v>
      </c>
      <c r="M16" s="3">
        <v>10</v>
      </c>
      <c r="N16" s="3">
        <v>11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</row>
    <row r="17" spans="1:45" s="15" customFormat="1" x14ac:dyDescent="0.3">
      <c r="A17" s="90" t="s">
        <v>493</v>
      </c>
      <c r="B17" s="90">
        <v>8</v>
      </c>
      <c r="C17" s="2">
        <v>0</v>
      </c>
      <c r="D17" s="2">
        <v>0</v>
      </c>
      <c r="E17" s="5">
        <f t="shared" si="1"/>
        <v>0</v>
      </c>
      <c r="F17" s="2">
        <v>0</v>
      </c>
      <c r="G17" s="2">
        <v>0</v>
      </c>
      <c r="H17" s="2">
        <v>0</v>
      </c>
      <c r="I17" s="109">
        <f t="shared" si="3"/>
        <v>0</v>
      </c>
      <c r="J17" s="2">
        <f t="shared" si="2"/>
        <v>0</v>
      </c>
      <c r="K17" s="2">
        <f t="shared" si="4"/>
        <v>0</v>
      </c>
      <c r="L17" s="90" t="s">
        <v>108</v>
      </c>
      <c r="M17" s="125">
        <v>10</v>
      </c>
      <c r="N17" s="3">
        <v>11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</row>
    <row r="18" spans="1:45" s="15" customFormat="1" ht="14.25" customHeight="1" x14ac:dyDescent="0.3">
      <c r="A18" s="90" t="s">
        <v>246</v>
      </c>
      <c r="B18" s="90">
        <v>9</v>
      </c>
      <c r="C18" s="2">
        <f>'GERAL 2022'!G11</f>
        <v>580</v>
      </c>
      <c r="D18" s="2">
        <v>0</v>
      </c>
      <c r="E18" s="5">
        <f t="shared" si="1"/>
        <v>580</v>
      </c>
      <c r="F18" s="2">
        <f>25</f>
        <v>25</v>
      </c>
      <c r="G18" s="2">
        <v>0</v>
      </c>
      <c r="H18" s="2">
        <v>0</v>
      </c>
      <c r="I18" s="109">
        <f t="shared" si="3"/>
        <v>605</v>
      </c>
      <c r="J18" s="2">
        <f t="shared" si="2"/>
        <v>42.35</v>
      </c>
      <c r="K18" s="2">
        <f t="shared" si="4"/>
        <v>562.65</v>
      </c>
      <c r="L18" s="90" t="s">
        <v>470</v>
      </c>
      <c r="M18" s="125">
        <v>10</v>
      </c>
      <c r="N18" s="3">
        <v>11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</row>
    <row r="19" spans="1:45" s="69" customFormat="1" x14ac:dyDescent="0.3">
      <c r="A19" s="4" t="s">
        <v>402</v>
      </c>
      <c r="B19" s="4">
        <v>10</v>
      </c>
      <c r="C19" s="2">
        <f>'GERAL 2022'!G38</f>
        <v>550</v>
      </c>
      <c r="D19" s="2">
        <v>0</v>
      </c>
      <c r="E19" s="5">
        <f t="shared" si="1"/>
        <v>550</v>
      </c>
      <c r="F19" s="2">
        <v>50</v>
      </c>
      <c r="G19" s="2">
        <f>D71</f>
        <v>2.8368085106382979</v>
      </c>
      <c r="H19" s="2">
        <f>D70</f>
        <v>19.641666666666666</v>
      </c>
      <c r="I19" s="109">
        <f t="shared" si="3"/>
        <v>622.47847517730497</v>
      </c>
      <c r="J19" s="2">
        <f t="shared" si="2"/>
        <v>43.573493262411354</v>
      </c>
      <c r="K19" s="2">
        <f t="shared" si="4"/>
        <v>578.9049819148936</v>
      </c>
      <c r="L19" s="90" t="s">
        <v>388</v>
      </c>
      <c r="M19" s="3">
        <v>10</v>
      </c>
      <c r="N19" s="4">
        <v>11</v>
      </c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</row>
    <row r="20" spans="1:45" s="69" customFormat="1" x14ac:dyDescent="0.3">
      <c r="A20" s="4" t="s">
        <v>321</v>
      </c>
      <c r="B20" s="4">
        <v>11</v>
      </c>
      <c r="C20" s="2">
        <f>'GERAL 2022'!G13</f>
        <v>550</v>
      </c>
      <c r="D20" s="2">
        <v>0</v>
      </c>
      <c r="E20" s="5">
        <f t="shared" si="1"/>
        <v>550</v>
      </c>
      <c r="F20" s="2">
        <v>0</v>
      </c>
      <c r="G20" s="2">
        <v>0</v>
      </c>
      <c r="H20" s="2">
        <f>D72</f>
        <v>19.641666666666666</v>
      </c>
      <c r="I20" s="109">
        <f t="shared" si="3"/>
        <v>569.64166666666665</v>
      </c>
      <c r="J20" s="2">
        <f t="shared" si="2"/>
        <v>39.874916666666671</v>
      </c>
      <c r="K20" s="2">
        <f>I20-J20</f>
        <v>529.76675</v>
      </c>
      <c r="L20" s="5" t="s">
        <v>390</v>
      </c>
      <c r="M20" s="3">
        <v>10</v>
      </c>
      <c r="N20" s="4">
        <v>11</v>
      </c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</row>
    <row r="21" spans="1:45" s="15" customFormat="1" x14ac:dyDescent="0.3">
      <c r="A21" s="90" t="s">
        <v>427</v>
      </c>
      <c r="B21" s="90">
        <v>12</v>
      </c>
      <c r="C21" s="2">
        <f>'GERAL 2022'!G14</f>
        <v>550</v>
      </c>
      <c r="D21" s="2">
        <v>0</v>
      </c>
      <c r="E21" s="5">
        <f t="shared" si="1"/>
        <v>550</v>
      </c>
      <c r="F21" s="5">
        <v>25</v>
      </c>
      <c r="G21" s="2">
        <f>D75</f>
        <v>2.8368085106382979</v>
      </c>
      <c r="H21" s="5">
        <f>D78</f>
        <v>19.641666666666666</v>
      </c>
      <c r="I21" s="109">
        <f>SUM(E21:H21)</f>
        <v>597.47847517730497</v>
      </c>
      <c r="J21" s="2">
        <f t="shared" si="2"/>
        <v>41.823493262411354</v>
      </c>
      <c r="K21" s="2">
        <f t="shared" si="4"/>
        <v>555.6549819148936</v>
      </c>
      <c r="L21" s="90" t="s">
        <v>388</v>
      </c>
      <c r="M21" s="3">
        <v>10</v>
      </c>
      <c r="N21" s="3">
        <v>11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</row>
    <row r="22" spans="1:45" s="11" customFormat="1" x14ac:dyDescent="0.3">
      <c r="A22" s="90" t="s">
        <v>362</v>
      </c>
      <c r="B22" s="90">
        <v>13</v>
      </c>
      <c r="C22" s="5">
        <f>'GERAL 2022'!G15</f>
        <v>550</v>
      </c>
      <c r="D22" s="5">
        <v>0</v>
      </c>
      <c r="E22" s="5">
        <f t="shared" si="1"/>
        <v>550</v>
      </c>
      <c r="F22" s="2">
        <v>0</v>
      </c>
      <c r="G22" s="2">
        <f>D77</f>
        <v>2.8368085106382979</v>
      </c>
      <c r="H22" s="2">
        <f>D76</f>
        <v>19.641666666666666</v>
      </c>
      <c r="I22" s="109">
        <f t="shared" si="3"/>
        <v>572.47847517730497</v>
      </c>
      <c r="J22" s="2">
        <f t="shared" si="2"/>
        <v>40.073493262411354</v>
      </c>
      <c r="K22" s="2">
        <f>I22-J22</f>
        <v>532.4049819148936</v>
      </c>
      <c r="L22" s="90" t="s">
        <v>430</v>
      </c>
      <c r="M22" s="3">
        <v>10</v>
      </c>
      <c r="N22" s="3">
        <v>11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</row>
    <row r="23" spans="1:45" s="69" customFormat="1" x14ac:dyDescent="0.3">
      <c r="A23" s="4" t="s">
        <v>291</v>
      </c>
      <c r="B23" s="4">
        <v>14</v>
      </c>
      <c r="C23" s="2">
        <f>'GERAL 2022'!G16</f>
        <v>550</v>
      </c>
      <c r="D23" s="2">
        <v>0</v>
      </c>
      <c r="E23" s="5">
        <f t="shared" si="1"/>
        <v>550</v>
      </c>
      <c r="F23" s="2">
        <v>0</v>
      </c>
      <c r="G23" s="2">
        <v>0</v>
      </c>
      <c r="H23" s="2">
        <v>0</v>
      </c>
      <c r="I23" s="109">
        <f t="shared" si="3"/>
        <v>550</v>
      </c>
      <c r="J23" s="2">
        <f t="shared" si="2"/>
        <v>38.500000000000007</v>
      </c>
      <c r="K23" s="2">
        <f t="shared" si="4"/>
        <v>511.5</v>
      </c>
      <c r="L23" s="90" t="s">
        <v>470</v>
      </c>
      <c r="M23" s="3">
        <v>10</v>
      </c>
      <c r="N23" s="4">
        <v>11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</row>
    <row r="24" spans="1:45" s="6" customFormat="1" x14ac:dyDescent="0.3">
      <c r="A24" s="90" t="s">
        <v>272</v>
      </c>
      <c r="B24" s="90">
        <v>15</v>
      </c>
      <c r="C24" s="2">
        <f>'GERAL 2022'!G40</f>
        <v>650</v>
      </c>
      <c r="D24" s="2">
        <v>0</v>
      </c>
      <c r="E24" s="5">
        <f t="shared" si="1"/>
        <v>650</v>
      </c>
      <c r="F24" s="2">
        <v>25</v>
      </c>
      <c r="G24" s="2">
        <v>0</v>
      </c>
      <c r="H24" s="2">
        <v>0</v>
      </c>
      <c r="I24" s="109">
        <f t="shared" si="3"/>
        <v>675</v>
      </c>
      <c r="J24" s="2">
        <f t="shared" si="2"/>
        <v>47.250000000000007</v>
      </c>
      <c r="K24" s="2">
        <f t="shared" si="4"/>
        <v>627.75</v>
      </c>
      <c r="L24" s="90" t="s">
        <v>470</v>
      </c>
      <c r="M24" s="3">
        <v>10</v>
      </c>
      <c r="N24" s="3">
        <v>11</v>
      </c>
      <c r="O24" s="9"/>
      <c r="P24" s="9"/>
      <c r="Q24" s="9"/>
      <c r="R24" s="9"/>
      <c r="S24" s="9"/>
      <c r="T24" s="9"/>
      <c r="U24" s="9"/>
      <c r="V24" s="9"/>
      <c r="W24" s="9"/>
    </row>
    <row r="25" spans="1:45" s="11" customFormat="1" x14ac:dyDescent="0.3">
      <c r="A25" s="3" t="s">
        <v>100</v>
      </c>
      <c r="B25" s="3">
        <v>16</v>
      </c>
      <c r="C25" s="2">
        <f>'GERAL 2022'!G18+(10.72339%*640)</f>
        <v>708.62969599999997</v>
      </c>
      <c r="D25" s="2"/>
      <c r="E25" s="5">
        <f t="shared" si="1"/>
        <v>708.62969599999997</v>
      </c>
      <c r="F25" s="2">
        <f>60</f>
        <v>60</v>
      </c>
      <c r="G25" s="2">
        <v>0</v>
      </c>
      <c r="H25" s="2">
        <v>19.82</v>
      </c>
      <c r="I25" s="109">
        <f t="shared" si="3"/>
        <v>788.44969600000002</v>
      </c>
      <c r="J25" s="2">
        <f t="shared" si="2"/>
        <v>55.191478720000006</v>
      </c>
      <c r="K25" s="2">
        <f t="shared" si="4"/>
        <v>733.25821728000005</v>
      </c>
      <c r="L25" s="90" t="s">
        <v>524</v>
      </c>
      <c r="M25" s="3">
        <v>10</v>
      </c>
      <c r="N25" s="3">
        <v>11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</row>
    <row r="26" spans="1:45" s="11" customFormat="1" x14ac:dyDescent="0.3">
      <c r="A26" s="88" t="s">
        <v>392</v>
      </c>
      <c r="B26" s="88">
        <v>17</v>
      </c>
      <c r="C26" s="2">
        <f>'GERAL 2022'!G41</f>
        <v>580</v>
      </c>
      <c r="D26" s="2">
        <v>0</v>
      </c>
      <c r="E26" s="5">
        <f t="shared" si="1"/>
        <v>580</v>
      </c>
      <c r="F26" s="2">
        <v>0</v>
      </c>
      <c r="G26" s="2">
        <f>D85</f>
        <v>2.8368085106382979</v>
      </c>
      <c r="H26" s="2">
        <f>D84</f>
        <v>19.696666666666669</v>
      </c>
      <c r="I26" s="109">
        <f t="shared" si="3"/>
        <v>602.53347517730504</v>
      </c>
      <c r="J26" s="2">
        <f t="shared" si="2"/>
        <v>42.177343262411355</v>
      </c>
      <c r="K26" s="2">
        <f t="shared" si="4"/>
        <v>560.35613191489369</v>
      </c>
      <c r="L26" s="5" t="s">
        <v>388</v>
      </c>
      <c r="M26" s="3">
        <v>10</v>
      </c>
      <c r="N26" s="3">
        <v>11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</row>
    <row r="27" spans="1:45" s="11" customFormat="1" x14ac:dyDescent="0.3">
      <c r="A27" s="88" t="s">
        <v>103</v>
      </c>
      <c r="B27" s="90">
        <v>18</v>
      </c>
      <c r="C27" s="2">
        <f>'GERAL 2022'!G20+(10.72339%*650)</f>
        <v>719.70203500000002</v>
      </c>
      <c r="D27" s="2">
        <v>0</v>
      </c>
      <c r="E27" s="5">
        <f t="shared" si="1"/>
        <v>719.70203500000002</v>
      </c>
      <c r="F27" s="2">
        <f>30</f>
        <v>30</v>
      </c>
      <c r="G27" s="2"/>
      <c r="H27" s="2">
        <f>D86</f>
        <v>19.836666666666666</v>
      </c>
      <c r="I27" s="109">
        <f t="shared" si="3"/>
        <v>769.53870166666673</v>
      </c>
      <c r="J27" s="2">
        <f t="shared" si="2"/>
        <v>53.867709116666674</v>
      </c>
      <c r="K27" s="2">
        <f t="shared" si="4"/>
        <v>715.67099255000005</v>
      </c>
      <c r="L27" s="90" t="s">
        <v>524</v>
      </c>
      <c r="M27" s="3">
        <v>10</v>
      </c>
      <c r="N27" s="3">
        <v>11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</row>
    <row r="28" spans="1:45" s="11" customFormat="1" x14ac:dyDescent="0.3">
      <c r="A28" s="90" t="s">
        <v>500</v>
      </c>
      <c r="B28" s="90">
        <v>19</v>
      </c>
      <c r="C28" s="2">
        <v>0</v>
      </c>
      <c r="D28" s="2">
        <v>0</v>
      </c>
      <c r="E28" s="5">
        <f>(C28-D28)</f>
        <v>0</v>
      </c>
      <c r="F28" s="2">
        <v>0</v>
      </c>
      <c r="G28" s="2">
        <v>0</v>
      </c>
      <c r="H28" s="2">
        <v>0</v>
      </c>
      <c r="I28" s="109">
        <f t="shared" si="3"/>
        <v>0</v>
      </c>
      <c r="J28" s="2">
        <f t="shared" si="2"/>
        <v>0</v>
      </c>
      <c r="K28" s="2">
        <f t="shared" si="4"/>
        <v>0</v>
      </c>
      <c r="L28" s="11" t="s">
        <v>108</v>
      </c>
      <c r="M28" s="3">
        <v>10</v>
      </c>
      <c r="N28" s="3">
        <v>11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</row>
    <row r="29" spans="1:45" s="11" customFormat="1" x14ac:dyDescent="0.3">
      <c r="A29" s="88" t="s">
        <v>345</v>
      </c>
      <c r="B29" s="90">
        <v>20</v>
      </c>
      <c r="C29" s="2">
        <f>'GERAL 2022'!G22</f>
        <v>660</v>
      </c>
      <c r="D29" s="2">
        <v>0</v>
      </c>
      <c r="E29" s="5">
        <f>C29-D29</f>
        <v>660</v>
      </c>
      <c r="F29" s="2">
        <v>50</v>
      </c>
      <c r="G29" s="2">
        <f>D91</f>
        <v>2.8368085106382979</v>
      </c>
      <c r="H29" s="2">
        <f>D90</f>
        <v>19.853333333333335</v>
      </c>
      <c r="I29" s="109">
        <f t="shared" si="3"/>
        <v>732.69014184397167</v>
      </c>
      <c r="J29" s="2">
        <f>7%*I29</f>
        <v>51.288309929078025</v>
      </c>
      <c r="K29" s="2">
        <f>I29-J29</f>
        <v>681.40183191489359</v>
      </c>
      <c r="L29" s="90" t="s">
        <v>430</v>
      </c>
      <c r="M29" s="125">
        <v>10</v>
      </c>
      <c r="N29" s="3">
        <v>11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</row>
    <row r="30" spans="1:45" s="11" customFormat="1" x14ac:dyDescent="0.3">
      <c r="A30" s="88" t="s">
        <v>346</v>
      </c>
      <c r="B30" s="90">
        <v>21</v>
      </c>
      <c r="C30" s="2">
        <f>'GERAL 2022'!G23</f>
        <v>500</v>
      </c>
      <c r="D30" s="2">
        <v>0</v>
      </c>
      <c r="E30" s="5">
        <f>C30-D30</f>
        <v>500</v>
      </c>
      <c r="F30" s="2">
        <v>25</v>
      </c>
      <c r="G30" s="2">
        <f>D93</f>
        <v>2.8368085106382979</v>
      </c>
      <c r="H30" s="2">
        <f>D92</f>
        <v>19.543333333333333</v>
      </c>
      <c r="I30" s="109">
        <f t="shared" si="3"/>
        <v>547.38014184397161</v>
      </c>
      <c r="J30" s="2">
        <f>7%*I30</f>
        <v>38.31660992907802</v>
      </c>
      <c r="K30" s="2">
        <f t="shared" si="4"/>
        <v>509.06353191489359</v>
      </c>
      <c r="L30" s="90" t="s">
        <v>430</v>
      </c>
      <c r="M30" s="125">
        <v>10</v>
      </c>
      <c r="N30" s="3">
        <v>11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</row>
    <row r="31" spans="1:45" s="11" customFormat="1" ht="15.75" customHeight="1" x14ac:dyDescent="0.3">
      <c r="A31" s="88" t="s">
        <v>119</v>
      </c>
      <c r="B31" s="90">
        <v>22</v>
      </c>
      <c r="C31" s="2">
        <f>'GERAL 2022'!G24</f>
        <v>500</v>
      </c>
      <c r="D31" s="2">
        <v>0</v>
      </c>
      <c r="E31" s="5">
        <f>C31-D31</f>
        <v>500</v>
      </c>
      <c r="F31" s="2">
        <v>25</v>
      </c>
      <c r="G31" s="2">
        <f>D95</f>
        <v>2.8368085106382979</v>
      </c>
      <c r="H31" s="2">
        <f>D94</f>
        <v>19.543333333333333</v>
      </c>
      <c r="I31" s="109">
        <f t="shared" si="3"/>
        <v>547.38014184397161</v>
      </c>
      <c r="J31" s="2">
        <f t="shared" si="2"/>
        <v>38.31660992907802</v>
      </c>
      <c r="K31" s="2">
        <f t="shared" si="4"/>
        <v>509.06353191489359</v>
      </c>
      <c r="L31" s="90" t="s">
        <v>430</v>
      </c>
      <c r="M31" s="125">
        <v>10</v>
      </c>
      <c r="N31" s="3">
        <v>11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</row>
    <row r="32" spans="1:45" s="11" customFormat="1" x14ac:dyDescent="0.3">
      <c r="A32" s="88" t="s">
        <v>379</v>
      </c>
      <c r="B32" s="90">
        <v>23</v>
      </c>
      <c r="C32" s="2">
        <f>'GERAL 2022'!G25</f>
        <v>550</v>
      </c>
      <c r="D32" s="2">
        <v>0</v>
      </c>
      <c r="E32" s="5">
        <f>C32-D32</f>
        <v>550</v>
      </c>
      <c r="F32" s="2">
        <v>0</v>
      </c>
      <c r="G32" s="2">
        <f>D97</f>
        <v>2.8368085106382979</v>
      </c>
      <c r="H32" s="2">
        <f>D96</f>
        <v>19.641666666666666</v>
      </c>
      <c r="I32" s="109">
        <f t="shared" si="3"/>
        <v>572.47847517730497</v>
      </c>
      <c r="J32" s="2">
        <f t="shared" si="2"/>
        <v>40.073493262411354</v>
      </c>
      <c r="K32" s="2">
        <f>I32-J32</f>
        <v>532.4049819148936</v>
      </c>
      <c r="L32" s="90" t="s">
        <v>430</v>
      </c>
      <c r="M32" s="3">
        <v>10</v>
      </c>
      <c r="N32" s="3">
        <v>11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</row>
    <row r="33" spans="1:40" s="6" customFormat="1" x14ac:dyDescent="0.3">
      <c r="A33" s="90" t="s">
        <v>267</v>
      </c>
      <c r="B33" s="90">
        <v>24</v>
      </c>
      <c r="C33" s="2">
        <f>'GERAL 2022'!G26</f>
        <v>650</v>
      </c>
      <c r="D33" s="2">
        <v>0</v>
      </c>
      <c r="E33" s="5">
        <f>C33-D33</f>
        <v>650</v>
      </c>
      <c r="F33" s="2">
        <v>50</v>
      </c>
      <c r="G33" s="2">
        <v>0</v>
      </c>
      <c r="H33" s="2">
        <v>0</v>
      </c>
      <c r="I33" s="109">
        <f t="shared" si="3"/>
        <v>700</v>
      </c>
      <c r="J33" s="2">
        <f>7%*I33</f>
        <v>49.000000000000007</v>
      </c>
      <c r="K33" s="2">
        <f t="shared" si="4"/>
        <v>651</v>
      </c>
      <c r="L33" s="90" t="s">
        <v>470</v>
      </c>
      <c r="M33" s="125">
        <v>10</v>
      </c>
      <c r="N33" s="3">
        <v>11</v>
      </c>
      <c r="O33" s="9"/>
      <c r="P33" s="9"/>
      <c r="Q33" s="9"/>
      <c r="R33" s="9"/>
      <c r="S33" s="9"/>
      <c r="T33" s="9"/>
      <c r="U33" s="9"/>
      <c r="V33" s="9"/>
      <c r="W33" s="9"/>
    </row>
    <row r="34" spans="1:40" s="6" customFormat="1" x14ac:dyDescent="0.3">
      <c r="A34" s="11"/>
      <c r="B34" s="90">
        <v>25</v>
      </c>
      <c r="C34" s="2"/>
      <c r="D34" s="2"/>
      <c r="E34" s="5"/>
      <c r="F34" s="2"/>
      <c r="G34" s="2"/>
      <c r="H34" s="2"/>
      <c r="I34" s="109">
        <f>SUM(E34:H34)</f>
        <v>0</v>
      </c>
      <c r="J34" s="2"/>
      <c r="K34" s="2"/>
      <c r="L34" s="71" t="s">
        <v>525</v>
      </c>
      <c r="M34" s="125">
        <v>10</v>
      </c>
      <c r="N34" s="3">
        <v>11</v>
      </c>
      <c r="O34" s="9"/>
      <c r="P34" s="9"/>
      <c r="Q34" s="9"/>
      <c r="R34" s="9"/>
      <c r="S34" s="9"/>
      <c r="T34" s="9"/>
      <c r="U34" s="9"/>
      <c r="V34" s="9"/>
      <c r="W34" s="9"/>
    </row>
    <row r="35" spans="1:40" s="11" customFormat="1" x14ac:dyDescent="0.3">
      <c r="A35" s="88" t="s">
        <v>348</v>
      </c>
      <c r="B35" s="90">
        <v>26</v>
      </c>
      <c r="C35" s="2">
        <f>'GERAL 2022'!G28</f>
        <v>560</v>
      </c>
      <c r="D35" s="2">
        <v>0</v>
      </c>
      <c r="E35" s="5">
        <f>C35-D35</f>
        <v>560</v>
      </c>
      <c r="F35" s="2">
        <v>25</v>
      </c>
      <c r="G35" s="2">
        <f>D103</f>
        <v>2.8368085106382979</v>
      </c>
      <c r="H35" s="2">
        <f>D102</f>
        <v>19.658333333333335</v>
      </c>
      <c r="I35" s="109">
        <f t="shared" si="3"/>
        <v>607.49514184397162</v>
      </c>
      <c r="J35" s="2">
        <f t="shared" si="2"/>
        <v>42.52465992907802</v>
      </c>
      <c r="K35" s="2">
        <f t="shared" si="4"/>
        <v>564.97048191489364</v>
      </c>
      <c r="L35" s="90" t="s">
        <v>430</v>
      </c>
      <c r="M35" s="3">
        <v>10</v>
      </c>
      <c r="N35" s="3">
        <v>11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</row>
    <row r="36" spans="1:40" s="11" customFormat="1" x14ac:dyDescent="0.3">
      <c r="A36" s="88" t="s">
        <v>349</v>
      </c>
      <c r="B36" s="90">
        <v>27</v>
      </c>
      <c r="C36" s="72">
        <f>'GERAL 2022'!G45</f>
        <v>580</v>
      </c>
      <c r="D36" s="72">
        <v>0</v>
      </c>
      <c r="E36" s="5">
        <f>C36-D36</f>
        <v>580</v>
      </c>
      <c r="F36" s="72">
        <v>0</v>
      </c>
      <c r="G36" s="72">
        <f>D105</f>
        <v>2.8368085106382979</v>
      </c>
      <c r="H36" s="72">
        <f>D104</f>
        <v>19.696666666666669</v>
      </c>
      <c r="I36" s="109">
        <f t="shared" si="3"/>
        <v>602.53347517730504</v>
      </c>
      <c r="J36" s="2">
        <f t="shared" si="2"/>
        <v>42.177343262411355</v>
      </c>
      <c r="K36" s="2">
        <f t="shared" si="4"/>
        <v>560.35613191489369</v>
      </c>
      <c r="L36" s="90" t="s">
        <v>430</v>
      </c>
      <c r="M36" s="3">
        <v>10</v>
      </c>
      <c r="N36" s="3">
        <v>11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</row>
    <row r="37" spans="1:40" s="11" customFormat="1" x14ac:dyDescent="0.3">
      <c r="A37" s="518" t="s">
        <v>4</v>
      </c>
      <c r="B37" s="518"/>
      <c r="C37" s="109">
        <f t="shared" ref="C37:K37" si="5">SUM(C10:C36)</f>
        <v>13478.331731</v>
      </c>
      <c r="D37" s="109">
        <f t="shared" si="5"/>
        <v>0</v>
      </c>
      <c r="E37" s="109">
        <f t="shared" si="5"/>
        <v>13478.331731</v>
      </c>
      <c r="F37" s="109">
        <f t="shared" si="5"/>
        <v>615</v>
      </c>
      <c r="G37" s="109">
        <f t="shared" si="5"/>
        <v>39.715319148936182</v>
      </c>
      <c r="H37" s="109">
        <f t="shared" si="5"/>
        <v>334.58833333333337</v>
      </c>
      <c r="I37" s="109">
        <f>SUM(I10:I36)</f>
        <v>14467.635383482268</v>
      </c>
      <c r="J37" s="109">
        <f t="shared" si="5"/>
        <v>1012.7344768437589</v>
      </c>
      <c r="K37" s="109">
        <f t="shared" si="5"/>
        <v>13454.900906638508</v>
      </c>
      <c r="L37" s="90"/>
      <c r="M37" s="3"/>
      <c r="N37" s="3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</row>
    <row r="38" spans="1:40" s="11" customFormat="1" x14ac:dyDescent="0.3">
      <c r="A38" s="95"/>
      <c r="B38" s="95"/>
      <c r="C38" s="109"/>
      <c r="D38" s="109"/>
      <c r="E38" s="109"/>
      <c r="F38" s="109"/>
      <c r="G38" s="109"/>
      <c r="H38" s="109"/>
      <c r="I38" s="109"/>
      <c r="J38" s="109"/>
      <c r="K38" s="109"/>
      <c r="L38" s="90"/>
      <c r="M38" s="3"/>
      <c r="N38" s="3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</row>
    <row r="39" spans="1:40" s="11" customFormat="1" ht="28.5" customHeight="1" x14ac:dyDescent="0.3">
      <c r="A39" s="521" t="s">
        <v>526</v>
      </c>
      <c r="B39" s="521"/>
      <c r="C39" s="521"/>
      <c r="D39" s="521"/>
      <c r="E39" s="521"/>
      <c r="F39" s="521"/>
      <c r="G39" s="521"/>
      <c r="H39" s="521"/>
      <c r="I39" s="521"/>
      <c r="J39" s="521"/>
      <c r="K39" s="521"/>
      <c r="L39" s="521"/>
      <c r="M39" s="521"/>
      <c r="N39" s="521"/>
      <c r="O39" s="10"/>
      <c r="P39" s="10"/>
      <c r="Q39" s="10"/>
      <c r="R39" s="10"/>
      <c r="S39" s="10"/>
      <c r="T39" s="10"/>
      <c r="U39" s="10"/>
      <c r="V39" s="10"/>
      <c r="W39" s="10"/>
    </row>
    <row r="40" spans="1:40" s="11" customFormat="1" ht="27.75" customHeight="1" x14ac:dyDescent="0.3">
      <c r="A40" s="127" t="s">
        <v>3</v>
      </c>
      <c r="B40" s="127" t="s">
        <v>0</v>
      </c>
      <c r="C40" s="128" t="s">
        <v>174</v>
      </c>
      <c r="D40" s="555" t="s">
        <v>175</v>
      </c>
      <c r="E40" s="556"/>
      <c r="F40" s="556"/>
      <c r="G40" s="556"/>
      <c r="H40" s="557"/>
      <c r="I40" s="128" t="s">
        <v>4</v>
      </c>
      <c r="J40" s="128" t="s">
        <v>5</v>
      </c>
      <c r="K40" s="128" t="s">
        <v>70</v>
      </c>
      <c r="L40" s="127" t="s">
        <v>59</v>
      </c>
      <c r="M40" s="130" t="s">
        <v>8</v>
      </c>
      <c r="N40" s="130" t="s">
        <v>10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40" s="69" customFormat="1" x14ac:dyDescent="0.3">
      <c r="A41" s="71" t="s">
        <v>292</v>
      </c>
      <c r="B41" s="71">
        <v>6</v>
      </c>
      <c r="C41" s="72">
        <v>1560</v>
      </c>
      <c r="D41" s="546" t="s">
        <v>527</v>
      </c>
      <c r="E41" s="547"/>
      <c r="F41" s="547"/>
      <c r="G41" s="547"/>
      <c r="H41" s="548"/>
      <c r="I41" s="72">
        <v>1560</v>
      </c>
      <c r="J41" s="5">
        <f>7%*I41</f>
        <v>109.20000000000002</v>
      </c>
      <c r="K41" s="5">
        <f>I41-J41</f>
        <v>1450.8</v>
      </c>
      <c r="L41" s="90" t="s">
        <v>528</v>
      </c>
      <c r="M41" s="140">
        <v>10</v>
      </c>
      <c r="N41" s="4">
        <v>11</v>
      </c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</row>
    <row r="42" spans="1:40" s="11" customFormat="1" x14ac:dyDescent="0.3">
      <c r="A42" s="518" t="s">
        <v>4</v>
      </c>
      <c r="B42" s="518"/>
      <c r="C42" s="518"/>
      <c r="D42" s="518"/>
      <c r="E42" s="518"/>
      <c r="F42" s="518"/>
      <c r="G42" s="518"/>
      <c r="H42" s="518"/>
      <c r="I42" s="109">
        <f>SUM(I41:I41)</f>
        <v>1560</v>
      </c>
      <c r="J42" s="109">
        <f>SUM(J41:J41)</f>
        <v>109.20000000000002</v>
      </c>
      <c r="K42" s="109">
        <f>SUM(K41:K41)</f>
        <v>1450.8</v>
      </c>
      <c r="L42" s="527"/>
      <c r="M42" s="527"/>
      <c r="N42" s="527"/>
      <c r="O42" s="10"/>
      <c r="P42" s="10"/>
      <c r="Q42" s="10"/>
      <c r="R42" s="10"/>
      <c r="S42" s="10"/>
      <c r="T42" s="10"/>
      <c r="U42" s="10"/>
      <c r="V42" s="10"/>
      <c r="W42" s="10"/>
    </row>
    <row r="43" spans="1:40" s="11" customFormat="1" x14ac:dyDescent="0.3">
      <c r="A43" s="518"/>
      <c r="B43" s="518"/>
      <c r="C43" s="518"/>
      <c r="D43" s="518"/>
      <c r="E43" s="518"/>
      <c r="F43" s="518"/>
      <c r="G43" s="518"/>
      <c r="H43" s="518"/>
      <c r="I43" s="518"/>
      <c r="J43" s="518"/>
      <c r="K43" s="518"/>
      <c r="L43" s="518"/>
      <c r="M43" s="109"/>
      <c r="N43" s="109"/>
      <c r="O43" s="10"/>
      <c r="P43" s="10"/>
      <c r="Q43" s="10"/>
      <c r="R43" s="10"/>
      <c r="S43" s="10"/>
      <c r="T43" s="10"/>
      <c r="U43" s="10"/>
      <c r="V43" s="10"/>
      <c r="W43" s="10"/>
    </row>
    <row r="44" spans="1:40" s="11" customFormat="1" ht="28.5" customHeight="1" x14ac:dyDescent="0.3">
      <c r="A44" s="521" t="s">
        <v>177</v>
      </c>
      <c r="B44" s="521"/>
      <c r="C44" s="521"/>
      <c r="D44" s="521"/>
      <c r="E44" s="521"/>
      <c r="F44" s="521"/>
      <c r="G44" s="521"/>
      <c r="H44" s="521"/>
      <c r="I44" s="521"/>
      <c r="J44" s="521"/>
      <c r="K44" s="521"/>
      <c r="L44" s="521"/>
      <c r="M44" s="521"/>
      <c r="N44" s="521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spans="1:40" s="11" customFormat="1" ht="25.5" customHeight="1" x14ac:dyDescent="0.3">
      <c r="A45" s="126" t="s">
        <v>173</v>
      </c>
      <c r="B45" s="126" t="s">
        <v>0</v>
      </c>
      <c r="C45" s="126" t="s">
        <v>174</v>
      </c>
      <c r="D45" s="521" t="s">
        <v>175</v>
      </c>
      <c r="E45" s="521"/>
      <c r="F45" s="521"/>
      <c r="G45" s="521"/>
      <c r="H45" s="521"/>
      <c r="I45" s="129" t="s">
        <v>4</v>
      </c>
      <c r="J45" s="128"/>
      <c r="K45" s="128"/>
      <c r="L45" s="127" t="s">
        <v>59</v>
      </c>
      <c r="M45" s="130" t="s">
        <v>8</v>
      </c>
      <c r="N45" s="130" t="s">
        <v>10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1:40" s="69" customFormat="1" ht="15" customHeight="1" x14ac:dyDescent="0.3">
      <c r="A46" s="4" t="s">
        <v>132</v>
      </c>
      <c r="B46" s="4">
        <v>1</v>
      </c>
      <c r="C46" s="5">
        <f>4977.59-1520</f>
        <v>3457.59</v>
      </c>
      <c r="D46" s="546" t="s">
        <v>284</v>
      </c>
      <c r="E46" s="547"/>
      <c r="F46" s="547"/>
      <c r="G46" s="547"/>
      <c r="H46" s="548"/>
      <c r="I46" s="5">
        <f>4977.59-1520</f>
        <v>3457.59</v>
      </c>
      <c r="J46" s="5"/>
      <c r="K46" s="5"/>
      <c r="L46" s="5" t="s">
        <v>510</v>
      </c>
      <c r="M46" s="140">
        <v>10</v>
      </c>
      <c r="N46" s="4">
        <v>11</v>
      </c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</row>
    <row r="47" spans="1:40" s="11" customFormat="1" x14ac:dyDescent="0.3">
      <c r="A47" s="90" t="s">
        <v>87</v>
      </c>
      <c r="B47" s="90">
        <v>25</v>
      </c>
      <c r="C47" s="5">
        <v>3013.33</v>
      </c>
      <c r="D47" s="546" t="s">
        <v>543</v>
      </c>
      <c r="E47" s="547"/>
      <c r="F47" s="547"/>
      <c r="G47" s="547"/>
      <c r="H47" s="548"/>
      <c r="I47" s="5">
        <v>3040.58</v>
      </c>
      <c r="J47" s="2"/>
      <c r="K47" s="2"/>
      <c r="L47" s="5" t="s">
        <v>545</v>
      </c>
      <c r="M47" s="98">
        <v>10</v>
      </c>
      <c r="N47" s="3">
        <v>11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</row>
    <row r="48" spans="1:40" s="11" customFormat="1" x14ac:dyDescent="0.3">
      <c r="A48" s="90" t="s">
        <v>440</v>
      </c>
      <c r="B48" s="90">
        <v>5</v>
      </c>
      <c r="C48" s="5">
        <f>580+50+2.84+19.7</f>
        <v>652.54000000000008</v>
      </c>
      <c r="D48" s="546" t="s">
        <v>338</v>
      </c>
      <c r="E48" s="547"/>
      <c r="F48" s="547"/>
      <c r="G48" s="547"/>
      <c r="H48" s="548"/>
      <c r="I48" s="5">
        <f>580+50+2.84+19.7</f>
        <v>652.54000000000008</v>
      </c>
      <c r="J48" s="2"/>
      <c r="K48" s="2"/>
      <c r="L48" s="90" t="s">
        <v>338</v>
      </c>
      <c r="M48" s="98">
        <v>10</v>
      </c>
      <c r="N48" s="3">
        <v>11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</row>
    <row r="49" spans="1:58" s="40" customFormat="1" ht="15" customHeight="1" thickBot="1" x14ac:dyDescent="0.35">
      <c r="A49" s="534" t="s">
        <v>4</v>
      </c>
      <c r="B49" s="549"/>
      <c r="C49" s="549"/>
      <c r="D49" s="549"/>
      <c r="E49" s="549"/>
      <c r="F49" s="549"/>
      <c r="G49" s="549"/>
      <c r="H49" s="535"/>
      <c r="I49" s="114">
        <f>SUM(I46:I48)</f>
        <v>7150.71</v>
      </c>
      <c r="J49" s="90"/>
      <c r="K49" s="90"/>
      <c r="L49" s="90"/>
      <c r="M49" s="90"/>
      <c r="N49" s="9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1"/>
      <c r="AS49" s="11"/>
      <c r="AT49" s="11"/>
      <c r="AU49" s="11"/>
    </row>
    <row r="50" spans="1:58" s="19" customFormat="1" x14ac:dyDescent="0.3">
      <c r="A50" s="179"/>
      <c r="B50" s="180"/>
      <c r="C50" s="180"/>
      <c r="D50" s="180"/>
      <c r="E50" s="180"/>
      <c r="F50" s="180"/>
      <c r="G50" s="180"/>
      <c r="H50" s="180"/>
      <c r="I50" s="180"/>
      <c r="J50" s="180"/>
      <c r="K50" s="180"/>
      <c r="L50" s="180"/>
      <c r="M50" s="181"/>
      <c r="N50" s="182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</row>
    <row r="51" spans="1:58" s="40" customFormat="1" x14ac:dyDescent="0.3">
      <c r="A51" s="543" t="s">
        <v>9</v>
      </c>
      <c r="B51" s="543"/>
      <c r="C51" s="543"/>
      <c r="D51" s="543"/>
      <c r="E51" s="543"/>
      <c r="F51" s="543"/>
      <c r="G51" s="46"/>
      <c r="H51" s="46"/>
      <c r="I51" s="46"/>
      <c r="J51" s="46"/>
      <c r="K51" s="46"/>
      <c r="L51" s="544" t="s">
        <v>315</v>
      </c>
      <c r="M51" s="544"/>
      <c r="N51" s="545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1"/>
      <c r="AS51" s="11"/>
      <c r="AT51" s="11"/>
      <c r="AU51" s="11"/>
    </row>
    <row r="52" spans="1:58" s="40" customFormat="1" x14ac:dyDescent="0.3">
      <c r="A52" s="76" t="s">
        <v>40</v>
      </c>
      <c r="B52" s="77">
        <f>'GERAL 2022'!J35</f>
        <v>118.18</v>
      </c>
      <c r="C52" s="78">
        <v>6</v>
      </c>
      <c r="D52" s="77">
        <f t="shared" ref="D52:D75" si="6">B52/C52</f>
        <v>19.696666666666669</v>
      </c>
      <c r="E52" s="78"/>
      <c r="F52" s="77"/>
      <c r="G52" s="11"/>
      <c r="H52" s="11"/>
      <c r="I52" s="87"/>
      <c r="J52" s="87"/>
      <c r="K52" s="87"/>
      <c r="L52" s="527" t="s">
        <v>94</v>
      </c>
      <c r="M52" s="527"/>
      <c r="N52" s="114">
        <f>J37+J42</f>
        <v>1121.9344768437588</v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1"/>
      <c r="AS52" s="11"/>
      <c r="AT52" s="11"/>
      <c r="AU52" s="11"/>
    </row>
    <row r="53" spans="1:58" s="40" customFormat="1" x14ac:dyDescent="0.3">
      <c r="A53" s="12" t="s">
        <v>46</v>
      </c>
      <c r="B53" s="2">
        <f>'GERAL 2022'!H35</f>
        <v>14.184042553191489</v>
      </c>
      <c r="C53" s="88">
        <v>5</v>
      </c>
      <c r="D53" s="2">
        <f t="shared" si="6"/>
        <v>2.8368085106382979</v>
      </c>
      <c r="E53" s="88"/>
      <c r="F53" s="88"/>
      <c r="G53" s="11"/>
      <c r="H53" s="11"/>
      <c r="I53" s="14"/>
      <c r="J53" s="14"/>
      <c r="K53" s="14"/>
      <c r="L53" s="518" t="s">
        <v>260</v>
      </c>
      <c r="M53" s="518"/>
      <c r="N53" s="114">
        <f>J6</f>
        <v>738</v>
      </c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1"/>
      <c r="AS53" s="11"/>
      <c r="AT53" s="11"/>
      <c r="AU53" s="11"/>
    </row>
    <row r="54" spans="1:58" s="40" customFormat="1" x14ac:dyDescent="0.3">
      <c r="A54" s="79" t="s">
        <v>29</v>
      </c>
      <c r="B54" s="80">
        <f>'GERAL 2022'!J4</f>
        <v>118.18</v>
      </c>
      <c r="C54" s="82">
        <v>6</v>
      </c>
      <c r="D54" s="80">
        <f t="shared" si="6"/>
        <v>19.696666666666669</v>
      </c>
      <c r="E54" s="78"/>
      <c r="F54" s="77"/>
      <c r="G54" s="11"/>
      <c r="H54" s="11"/>
      <c r="I54" s="14"/>
      <c r="J54" s="14"/>
      <c r="K54" s="14"/>
      <c r="L54" s="520"/>
      <c r="M54" s="520"/>
      <c r="N54" s="52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1"/>
      <c r="AS54" s="11"/>
      <c r="AT54" s="11"/>
      <c r="AU54" s="11"/>
    </row>
    <row r="55" spans="1:58" s="40" customFormat="1" x14ac:dyDescent="0.3">
      <c r="A55" s="12" t="s">
        <v>30</v>
      </c>
      <c r="B55" s="2">
        <f>'GERAL 2022'!H4</f>
        <v>14.184042553191489</v>
      </c>
      <c r="C55" s="88">
        <v>5</v>
      </c>
      <c r="D55" s="2">
        <f t="shared" si="6"/>
        <v>2.8368085106382979</v>
      </c>
      <c r="E55" s="53"/>
      <c r="F55" s="53"/>
      <c r="G55" s="11"/>
      <c r="H55" s="11"/>
      <c r="I55" s="62"/>
      <c r="J55" s="62"/>
      <c r="K55" s="62"/>
      <c r="L55" s="520"/>
      <c r="M55" s="520"/>
      <c r="N55" s="52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1"/>
      <c r="AS55" s="11"/>
      <c r="AT55" s="11"/>
      <c r="AU55" s="11"/>
    </row>
    <row r="56" spans="1:58" s="40" customFormat="1" ht="14.4" x14ac:dyDescent="0.3">
      <c r="A56" s="79" t="s">
        <v>65</v>
      </c>
      <c r="B56" s="80">
        <f>'GERAL 2022'!J5</f>
        <v>117.85</v>
      </c>
      <c r="C56" s="82">
        <v>6</v>
      </c>
      <c r="D56" s="80">
        <f t="shared" si="6"/>
        <v>19.641666666666666</v>
      </c>
      <c r="E56" s="78"/>
      <c r="F56" s="77"/>
      <c r="G56" s="11"/>
      <c r="H56" s="11"/>
      <c r="I56" s="14"/>
      <c r="J56" s="14"/>
      <c r="K56" s="14"/>
      <c r="L56" s="529" t="s">
        <v>12</v>
      </c>
      <c r="M56" s="529"/>
      <c r="N56" s="529"/>
      <c r="O56" s="175"/>
      <c r="P56" s="178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1"/>
      <c r="AS56" s="11"/>
      <c r="AT56" s="11"/>
      <c r="AU56" s="11"/>
    </row>
    <row r="57" spans="1:58" s="11" customFormat="1" ht="15" customHeight="1" x14ac:dyDescent="0.3">
      <c r="A57" s="12" t="s">
        <v>62</v>
      </c>
      <c r="B57" s="2">
        <f>'GERAL 2022'!H5</f>
        <v>14.184042553191489</v>
      </c>
      <c r="C57" s="88">
        <v>5</v>
      </c>
      <c r="D57" s="2">
        <f t="shared" si="6"/>
        <v>2.8368085106382979</v>
      </c>
      <c r="E57" s="88"/>
      <c r="F57" s="88"/>
      <c r="I57" s="63"/>
      <c r="J57" s="63"/>
      <c r="K57" s="63"/>
      <c r="L57" s="514" t="s">
        <v>200</v>
      </c>
      <c r="M57" s="514"/>
      <c r="N57" s="2">
        <v>19.7</v>
      </c>
      <c r="O57" s="175"/>
      <c r="P57" s="178"/>
    </row>
    <row r="58" spans="1:58" s="11" customFormat="1" ht="14.4" x14ac:dyDescent="0.3">
      <c r="A58" s="79" t="s">
        <v>60</v>
      </c>
      <c r="B58" s="80">
        <f>'GERAL 2022'!J6</f>
        <v>117.85</v>
      </c>
      <c r="C58" s="82">
        <v>6</v>
      </c>
      <c r="D58" s="80">
        <f t="shared" si="6"/>
        <v>19.641666666666666</v>
      </c>
      <c r="E58" s="78"/>
      <c r="F58" s="77"/>
      <c r="I58" s="14"/>
      <c r="J58" s="14"/>
      <c r="K58" s="14"/>
      <c r="L58" s="514" t="s">
        <v>529</v>
      </c>
      <c r="M58" s="514"/>
      <c r="N58" s="2">
        <v>19.7</v>
      </c>
      <c r="O58" s="175"/>
      <c r="P58" s="178"/>
    </row>
    <row r="59" spans="1:58" s="11" customFormat="1" ht="15" customHeight="1" x14ac:dyDescent="0.3">
      <c r="A59" s="12" t="s">
        <v>61</v>
      </c>
      <c r="B59" s="2">
        <f>'GERAL 2022'!H6</f>
        <v>14.184042553191489</v>
      </c>
      <c r="C59" s="88">
        <v>5</v>
      </c>
      <c r="D59" s="2">
        <f t="shared" si="6"/>
        <v>2.8368085106382979</v>
      </c>
      <c r="E59" s="88"/>
      <c r="F59" s="88"/>
      <c r="I59" s="63"/>
      <c r="J59" s="63"/>
      <c r="K59" s="63"/>
      <c r="L59" s="514" t="s">
        <v>530</v>
      </c>
      <c r="M59" s="514"/>
      <c r="N59" s="2">
        <v>19.64</v>
      </c>
      <c r="O59" s="175"/>
      <c r="P59" s="178"/>
    </row>
    <row r="60" spans="1:58" s="11" customFormat="1" ht="14.4" x14ac:dyDescent="0.3">
      <c r="A60" s="79" t="s">
        <v>31</v>
      </c>
      <c r="B60" s="80">
        <f>'GERAL 2022'!J7</f>
        <v>118.18</v>
      </c>
      <c r="C60" s="82">
        <v>6</v>
      </c>
      <c r="D60" s="80">
        <f t="shared" si="6"/>
        <v>19.696666666666669</v>
      </c>
      <c r="E60" s="78"/>
      <c r="F60" s="77"/>
      <c r="I60" s="14"/>
      <c r="J60" s="14"/>
      <c r="K60" s="14"/>
      <c r="L60" s="514" t="s">
        <v>531</v>
      </c>
      <c r="M60" s="514"/>
      <c r="N60" s="2">
        <v>19.7</v>
      </c>
      <c r="O60" s="175"/>
      <c r="P60" s="178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</row>
    <row r="61" spans="1:58" s="11" customFormat="1" ht="14.4" x14ac:dyDescent="0.3">
      <c r="A61" s="12" t="s">
        <v>32</v>
      </c>
      <c r="B61" s="2">
        <f>'GERAL 2022'!H7</f>
        <v>14.184042553191489</v>
      </c>
      <c r="C61" s="88">
        <v>5</v>
      </c>
      <c r="D61" s="2">
        <f t="shared" si="6"/>
        <v>2.8368085106382979</v>
      </c>
      <c r="E61" s="88"/>
      <c r="F61" s="88"/>
      <c r="I61" s="63"/>
      <c r="J61" s="63"/>
      <c r="K61" s="63"/>
      <c r="L61" s="514" t="s">
        <v>532</v>
      </c>
      <c r="M61" s="514"/>
      <c r="N61" s="2">
        <v>19.7</v>
      </c>
      <c r="O61" s="175"/>
      <c r="P61" s="178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</row>
    <row r="62" spans="1:58" s="11" customFormat="1" ht="14.4" x14ac:dyDescent="0.3">
      <c r="A62" s="79" t="s">
        <v>57</v>
      </c>
      <c r="B62" s="80">
        <f>'GERAL 2022'!J8</f>
        <v>119.02</v>
      </c>
      <c r="C62" s="82">
        <v>6</v>
      </c>
      <c r="D62" s="80">
        <f t="shared" si="6"/>
        <v>19.836666666666666</v>
      </c>
      <c r="E62" s="78"/>
      <c r="F62" s="77"/>
      <c r="I62" s="14"/>
      <c r="J62" s="14"/>
      <c r="K62" s="14"/>
      <c r="L62" s="514" t="s">
        <v>308</v>
      </c>
      <c r="M62" s="514"/>
      <c r="N62" s="2">
        <v>19.7</v>
      </c>
      <c r="O62" s="175"/>
      <c r="P62" s="185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</row>
    <row r="63" spans="1:58" s="11" customFormat="1" ht="12.75" customHeight="1" x14ac:dyDescent="0.3">
      <c r="A63" s="12" t="s">
        <v>58</v>
      </c>
      <c r="B63" s="2">
        <f>'GERAL 2022'!H8</f>
        <v>19.857659574468084</v>
      </c>
      <c r="C63" s="88">
        <v>5</v>
      </c>
      <c r="D63" s="2">
        <f t="shared" si="6"/>
        <v>3.9715319148936166</v>
      </c>
      <c r="E63" s="88"/>
      <c r="F63" s="88"/>
      <c r="I63" s="63"/>
      <c r="J63" s="63"/>
      <c r="K63" s="63"/>
      <c r="L63" s="514" t="s">
        <v>164</v>
      </c>
      <c r="M63" s="514"/>
      <c r="N63" s="2">
        <v>19.64</v>
      </c>
      <c r="O63" s="175"/>
      <c r="P63" s="178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</row>
    <row r="64" spans="1:58" s="11" customFormat="1" ht="14.4" x14ac:dyDescent="0.3">
      <c r="A64" s="79" t="s">
        <v>63</v>
      </c>
      <c r="B64" s="80">
        <f>'GERAL 2022'!J9</f>
        <v>118.18</v>
      </c>
      <c r="C64" s="82">
        <v>6</v>
      </c>
      <c r="D64" s="80">
        <f t="shared" si="6"/>
        <v>19.696666666666669</v>
      </c>
      <c r="E64" s="78"/>
      <c r="F64" s="77"/>
      <c r="I64" s="14"/>
      <c r="J64" s="14"/>
      <c r="K64" s="14"/>
      <c r="L64" s="514" t="s">
        <v>533</v>
      </c>
      <c r="M64" s="514"/>
      <c r="N64" s="2">
        <v>19.64</v>
      </c>
      <c r="O64" s="175"/>
      <c r="P64" s="178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</row>
    <row r="65" spans="1:46" s="11" customFormat="1" ht="15" customHeight="1" x14ac:dyDescent="0.3">
      <c r="A65" s="12" t="s">
        <v>64</v>
      </c>
      <c r="B65" s="2">
        <f>'GERAL 2022'!H9</f>
        <v>14.184042553191489</v>
      </c>
      <c r="C65" s="88">
        <v>5</v>
      </c>
      <c r="D65" s="2">
        <f t="shared" si="6"/>
        <v>2.8368085106382979</v>
      </c>
      <c r="E65" s="88"/>
      <c r="F65" s="88"/>
      <c r="I65" s="63"/>
      <c r="J65" s="63"/>
      <c r="K65" s="63"/>
      <c r="L65" s="514" t="s">
        <v>534</v>
      </c>
      <c r="M65" s="514"/>
      <c r="N65" s="2">
        <v>19.64</v>
      </c>
      <c r="P65" s="14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</row>
    <row r="66" spans="1:46" s="11" customFormat="1" ht="14.4" x14ac:dyDescent="0.3">
      <c r="A66" s="79" t="s">
        <v>33</v>
      </c>
      <c r="B66" s="80">
        <f>'GERAL 2022'!J37</f>
        <v>118.18</v>
      </c>
      <c r="C66" s="82">
        <v>6</v>
      </c>
      <c r="D66" s="80">
        <f t="shared" si="6"/>
        <v>19.696666666666669</v>
      </c>
      <c r="E66" s="78"/>
      <c r="F66" s="77"/>
      <c r="I66" s="14"/>
      <c r="J66" s="14"/>
      <c r="K66" s="14"/>
      <c r="L66" s="514" t="s">
        <v>535</v>
      </c>
      <c r="M66" s="514"/>
      <c r="N66" s="2">
        <v>19.64</v>
      </c>
      <c r="O66" s="175"/>
      <c r="P66" s="178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</row>
    <row r="67" spans="1:46" s="11" customFormat="1" ht="13.5" customHeight="1" x14ac:dyDescent="0.3">
      <c r="A67" s="12" t="s">
        <v>34</v>
      </c>
      <c r="B67" s="2">
        <f>'GERAL 2022'!H37</f>
        <v>14.184042553191489</v>
      </c>
      <c r="C67" s="88">
        <v>5</v>
      </c>
      <c r="D67" s="2">
        <f t="shared" si="6"/>
        <v>2.8368085106382979</v>
      </c>
      <c r="E67" s="88"/>
      <c r="F67" s="88"/>
      <c r="I67" s="63"/>
      <c r="J67" s="63"/>
      <c r="K67" s="63"/>
      <c r="L67" s="514" t="s">
        <v>166</v>
      </c>
      <c r="M67" s="514"/>
      <c r="N67" s="2">
        <v>19.809999999999999</v>
      </c>
      <c r="O67" s="175"/>
      <c r="P67" s="178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</row>
    <row r="68" spans="1:46" s="11" customFormat="1" ht="14.4" x14ac:dyDescent="0.3">
      <c r="A68" s="79" t="s">
        <v>41</v>
      </c>
      <c r="B68" s="80">
        <f>'GERAL 2022'!J11</f>
        <v>118.18</v>
      </c>
      <c r="C68" s="82">
        <v>6</v>
      </c>
      <c r="D68" s="80">
        <f t="shared" si="6"/>
        <v>19.696666666666669</v>
      </c>
      <c r="E68" s="78"/>
      <c r="F68" s="77"/>
      <c r="L68" s="514" t="s">
        <v>185</v>
      </c>
      <c r="M68" s="514"/>
      <c r="N68" s="2">
        <v>19.7</v>
      </c>
      <c r="O68" s="175"/>
      <c r="P68" s="178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</row>
    <row r="69" spans="1:46" s="11" customFormat="1" ht="14.4" x14ac:dyDescent="0.3">
      <c r="A69" s="12" t="s">
        <v>42</v>
      </c>
      <c r="B69" s="2">
        <f>'GERAL 2022'!H11</f>
        <v>14.184042553191489</v>
      </c>
      <c r="C69" s="88">
        <v>5</v>
      </c>
      <c r="D69" s="2">
        <f t="shared" si="6"/>
        <v>2.8368085106382979</v>
      </c>
      <c r="E69" s="88"/>
      <c r="F69" s="88"/>
      <c r="I69" s="63"/>
      <c r="J69" s="63"/>
      <c r="K69" s="63"/>
      <c r="L69" s="514" t="s">
        <v>168</v>
      </c>
      <c r="M69" s="514"/>
      <c r="N69" s="2">
        <v>19.84</v>
      </c>
      <c r="O69" s="175"/>
      <c r="P69" s="178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</row>
    <row r="70" spans="1:46" s="11" customFormat="1" ht="14.4" x14ac:dyDescent="0.3">
      <c r="A70" s="79" t="s">
        <v>66</v>
      </c>
      <c r="B70" s="80">
        <f>'GERAL 2022'!J38</f>
        <v>117.85</v>
      </c>
      <c r="C70" s="81">
        <v>6</v>
      </c>
      <c r="D70" s="80">
        <f t="shared" si="6"/>
        <v>19.641666666666666</v>
      </c>
      <c r="E70" s="82"/>
      <c r="F70" s="80"/>
      <c r="I70" s="14"/>
      <c r="J70" s="14"/>
      <c r="K70" s="14"/>
      <c r="L70" s="514" t="s">
        <v>169</v>
      </c>
      <c r="M70" s="514"/>
      <c r="N70" s="2">
        <v>19.64</v>
      </c>
      <c r="O70" s="175"/>
      <c r="P70" s="185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</row>
    <row r="71" spans="1:46" s="11" customFormat="1" ht="14.4" x14ac:dyDescent="0.3">
      <c r="A71" s="12" t="s">
        <v>67</v>
      </c>
      <c r="B71" s="2">
        <f>'GERAL 2022'!H38</f>
        <v>14.184042553191489</v>
      </c>
      <c r="C71" s="88">
        <v>5</v>
      </c>
      <c r="D71" s="2">
        <f t="shared" si="6"/>
        <v>2.8368085106382979</v>
      </c>
      <c r="E71" s="88"/>
      <c r="F71" s="88"/>
      <c r="I71" s="63"/>
      <c r="J71" s="63"/>
      <c r="K71" s="63"/>
      <c r="L71" s="514" t="s">
        <v>536</v>
      </c>
      <c r="M71" s="514"/>
      <c r="N71" s="2">
        <v>19.850000000000001</v>
      </c>
      <c r="O71" s="175"/>
      <c r="P71" s="176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</row>
    <row r="72" spans="1:46" s="11" customFormat="1" ht="14.4" x14ac:dyDescent="0.3">
      <c r="A72" s="79" t="s">
        <v>14</v>
      </c>
      <c r="B72" s="80">
        <f>'GERAL 2022'!J13</f>
        <v>117.85</v>
      </c>
      <c r="C72" s="82">
        <v>6</v>
      </c>
      <c r="D72" s="80">
        <f t="shared" si="6"/>
        <v>19.641666666666666</v>
      </c>
      <c r="E72" s="82"/>
      <c r="F72" s="80"/>
      <c r="I72" s="14"/>
      <c r="J72" s="14"/>
      <c r="K72" s="14"/>
      <c r="L72" s="514" t="s">
        <v>537</v>
      </c>
      <c r="M72" s="514"/>
      <c r="N72" s="2">
        <v>19.54</v>
      </c>
      <c r="O72" s="175"/>
      <c r="P72" s="176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</row>
    <row r="73" spans="1:46" s="11" customFormat="1" ht="14.4" x14ac:dyDescent="0.3">
      <c r="A73" s="12" t="s">
        <v>15</v>
      </c>
      <c r="B73" s="2">
        <f>'GERAL 2022'!H13</f>
        <v>14.184042553191489</v>
      </c>
      <c r="C73" s="88">
        <v>5</v>
      </c>
      <c r="D73" s="2">
        <f t="shared" si="6"/>
        <v>2.8368085106382979</v>
      </c>
      <c r="E73" s="88"/>
      <c r="F73" s="88"/>
      <c r="I73" s="87"/>
      <c r="J73" s="87"/>
      <c r="K73" s="87"/>
      <c r="L73" s="514" t="s">
        <v>538</v>
      </c>
      <c r="M73" s="514"/>
      <c r="N73" s="2">
        <v>19.54</v>
      </c>
      <c r="O73" s="175"/>
      <c r="P73" s="176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</row>
    <row r="74" spans="1:46" s="11" customFormat="1" ht="14.4" x14ac:dyDescent="0.3">
      <c r="A74" s="79" t="s">
        <v>55</v>
      </c>
      <c r="B74" s="80">
        <f>'GERAL 2022'!J14</f>
        <v>117.85</v>
      </c>
      <c r="C74" s="82">
        <v>6</v>
      </c>
      <c r="D74" s="80">
        <f t="shared" si="6"/>
        <v>19.641666666666666</v>
      </c>
      <c r="E74" s="82"/>
      <c r="F74" s="80"/>
      <c r="L74" s="514" t="s">
        <v>539</v>
      </c>
      <c r="M74" s="514"/>
      <c r="N74" s="2">
        <v>19.64</v>
      </c>
      <c r="O74" s="175"/>
      <c r="P74" s="176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</row>
    <row r="75" spans="1:46" s="11" customFormat="1" ht="14.4" x14ac:dyDescent="0.3">
      <c r="A75" s="12" t="s">
        <v>56</v>
      </c>
      <c r="B75" s="2">
        <f>'GERAL 2022'!H14</f>
        <v>14.184042553191489</v>
      </c>
      <c r="C75" s="88">
        <v>5</v>
      </c>
      <c r="D75" s="2">
        <f t="shared" si="6"/>
        <v>2.8368085106382979</v>
      </c>
      <c r="E75" s="88"/>
      <c r="F75" s="88"/>
      <c r="L75" s="514" t="s">
        <v>188</v>
      </c>
      <c r="M75" s="514"/>
      <c r="N75" s="2">
        <v>19.93</v>
      </c>
      <c r="O75" s="175"/>
      <c r="P75" s="176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</row>
    <row r="76" spans="1:46" s="11" customFormat="1" ht="14.4" x14ac:dyDescent="0.3">
      <c r="A76" s="79" t="s">
        <v>35</v>
      </c>
      <c r="B76" s="80">
        <f>'GERAL 2022'!J15</f>
        <v>117.85</v>
      </c>
      <c r="C76" s="82">
        <v>6</v>
      </c>
      <c r="D76" s="80">
        <f>B76/C76</f>
        <v>19.641666666666666</v>
      </c>
      <c r="E76" s="82"/>
      <c r="F76" s="80"/>
      <c r="L76" s="514" t="s">
        <v>540</v>
      </c>
      <c r="M76" s="514"/>
      <c r="N76" s="121">
        <v>19.66</v>
      </c>
      <c r="O76" s="175"/>
      <c r="P76" s="178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</row>
    <row r="77" spans="1:46" s="11" customFormat="1" ht="14.4" x14ac:dyDescent="0.3">
      <c r="A77" s="12" t="s">
        <v>36</v>
      </c>
      <c r="B77" s="2">
        <f>'GERAL 2022'!H15</f>
        <v>14.184042553191489</v>
      </c>
      <c r="C77" s="88">
        <v>5</v>
      </c>
      <c r="D77" s="2">
        <f>B77/C77</f>
        <v>2.8368085106382979</v>
      </c>
      <c r="E77" s="88"/>
      <c r="F77" s="88"/>
      <c r="I77" s="14"/>
      <c r="J77" s="14"/>
      <c r="K77" s="14"/>
      <c r="L77" s="514" t="s">
        <v>171</v>
      </c>
      <c r="M77" s="514"/>
      <c r="N77" s="121">
        <v>19.7</v>
      </c>
      <c r="O77" s="175"/>
      <c r="P77" s="178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</row>
    <row r="78" spans="1:46" s="11" customFormat="1" ht="14.4" x14ac:dyDescent="0.3">
      <c r="A78" s="79" t="s">
        <v>47</v>
      </c>
      <c r="B78" s="80">
        <f>'GERAL 2022'!J16</f>
        <v>117.85</v>
      </c>
      <c r="C78" s="82">
        <v>6</v>
      </c>
      <c r="D78" s="80">
        <f>B78/C78</f>
        <v>19.641666666666666</v>
      </c>
      <c r="E78" s="82"/>
      <c r="F78" s="80"/>
      <c r="I78" s="15"/>
      <c r="J78" s="15"/>
      <c r="K78" s="15"/>
      <c r="L78" s="542" t="s">
        <v>541</v>
      </c>
      <c r="M78" s="542"/>
      <c r="N78" s="5">
        <f>120*4</f>
        <v>480</v>
      </c>
      <c r="O78" s="175"/>
      <c r="P78" s="178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</row>
    <row r="79" spans="1:46" s="11" customFormat="1" ht="14.4" x14ac:dyDescent="0.3">
      <c r="A79" s="12" t="s">
        <v>48</v>
      </c>
      <c r="B79" s="2">
        <f>'GERAL 2022'!H16</f>
        <v>14.184042553191489</v>
      </c>
      <c r="C79" s="88">
        <v>5</v>
      </c>
      <c r="D79" s="2">
        <f>B79/C79</f>
        <v>2.8368085106382979</v>
      </c>
      <c r="E79" s="88"/>
      <c r="F79" s="88"/>
      <c r="I79" s="14"/>
      <c r="J79" s="14"/>
      <c r="K79" s="14"/>
      <c r="L79" s="520" t="s">
        <v>126</v>
      </c>
      <c r="M79" s="520"/>
      <c r="N79" s="141">
        <v>153.6</v>
      </c>
      <c r="O79" s="175"/>
      <c r="P79" s="178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</row>
    <row r="80" spans="1:46" s="11" customFormat="1" ht="14.4" x14ac:dyDescent="0.3">
      <c r="A80" s="79" t="s">
        <v>16</v>
      </c>
      <c r="B80" s="80">
        <f>'GERAL 2022'!J40</f>
        <v>119.02</v>
      </c>
      <c r="C80" s="82">
        <v>6</v>
      </c>
      <c r="D80" s="80">
        <f t="shared" ref="D80:D105" si="7">B80/C80</f>
        <v>19.836666666666666</v>
      </c>
      <c r="E80" s="81"/>
      <c r="F80" s="81"/>
      <c r="I80" s="14"/>
      <c r="J80" s="14"/>
      <c r="K80" s="14"/>
      <c r="L80" s="520" t="s">
        <v>378</v>
      </c>
      <c r="M80" s="520"/>
      <c r="N80" s="2"/>
      <c r="O80" s="175"/>
      <c r="P80" s="178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</row>
    <row r="81" spans="1:46" s="11" customFormat="1" ht="14.4" x14ac:dyDescent="0.3">
      <c r="A81" s="12" t="s">
        <v>17</v>
      </c>
      <c r="B81" s="2">
        <f>'GERAL 2022'!H40</f>
        <v>19.857659574468084</v>
      </c>
      <c r="C81" s="88">
        <v>5</v>
      </c>
      <c r="D81" s="2">
        <f t="shared" si="7"/>
        <v>3.9715319148936166</v>
      </c>
      <c r="E81" s="88"/>
      <c r="F81" s="88"/>
      <c r="I81" s="14"/>
      <c r="J81" s="14"/>
      <c r="K81" s="14"/>
      <c r="L81" s="570" t="s">
        <v>547</v>
      </c>
      <c r="M81" s="570"/>
      <c r="N81" s="5">
        <v>120</v>
      </c>
      <c r="O81" s="175"/>
      <c r="P81" s="178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</row>
    <row r="82" spans="1:46" s="11" customFormat="1" ht="14.4" x14ac:dyDescent="0.3">
      <c r="A82" s="79" t="s">
        <v>27</v>
      </c>
      <c r="B82" s="80">
        <f>'GERAL 2022'!J18</f>
        <v>118.87</v>
      </c>
      <c r="C82" s="82">
        <v>6</v>
      </c>
      <c r="D82" s="80">
        <f t="shared" si="7"/>
        <v>19.811666666666667</v>
      </c>
      <c r="E82" s="81"/>
      <c r="F82" s="82"/>
      <c r="I82" s="14"/>
      <c r="J82" s="14"/>
      <c r="K82" s="14"/>
      <c r="L82" s="563" t="s">
        <v>544</v>
      </c>
      <c r="M82" s="563"/>
      <c r="N82" s="141">
        <v>700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</row>
    <row r="83" spans="1:46" s="69" customFormat="1" x14ac:dyDescent="0.3">
      <c r="A83" s="12" t="s">
        <v>28</v>
      </c>
      <c r="B83" s="2">
        <f>'GERAL 2022'!H18</f>
        <v>14.184042553191489</v>
      </c>
      <c r="C83" s="88">
        <v>5</v>
      </c>
      <c r="D83" s="2">
        <f t="shared" si="7"/>
        <v>2.8368085106382979</v>
      </c>
      <c r="E83" s="88"/>
      <c r="F83" s="90"/>
      <c r="G83" s="11"/>
      <c r="H83" s="11"/>
      <c r="I83" s="14"/>
      <c r="J83" s="14"/>
      <c r="K83" s="14"/>
      <c r="L83" s="520" t="s">
        <v>548</v>
      </c>
      <c r="M83" s="520"/>
      <c r="N83" s="5">
        <v>24.35</v>
      </c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</row>
    <row r="84" spans="1:46" s="69" customFormat="1" ht="14.4" x14ac:dyDescent="0.3">
      <c r="A84" s="79" t="s">
        <v>18</v>
      </c>
      <c r="B84" s="80">
        <f>'GERAL 2022'!J41</f>
        <v>118.18</v>
      </c>
      <c r="C84" s="82">
        <v>6</v>
      </c>
      <c r="D84" s="80">
        <f t="shared" si="7"/>
        <v>19.696666666666669</v>
      </c>
      <c r="E84" s="82"/>
      <c r="F84" s="80"/>
      <c r="G84" s="11"/>
      <c r="H84" s="11"/>
      <c r="I84" s="14"/>
      <c r="J84" s="14"/>
      <c r="K84" s="14"/>
      <c r="L84" s="563" t="s">
        <v>542</v>
      </c>
      <c r="M84" s="563"/>
      <c r="N84" s="141">
        <v>2.9</v>
      </c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</row>
    <row r="85" spans="1:46" s="69" customFormat="1" x14ac:dyDescent="0.3">
      <c r="A85" s="12" t="s">
        <v>19</v>
      </c>
      <c r="B85" s="2">
        <f>'GERAL 2022'!H41</f>
        <v>14.184042553191489</v>
      </c>
      <c r="C85" s="88">
        <v>5</v>
      </c>
      <c r="D85" s="2">
        <f>B85/C85</f>
        <v>2.8368085106382979</v>
      </c>
      <c r="E85" s="88"/>
      <c r="F85" s="88"/>
      <c r="G85" s="11"/>
      <c r="H85" s="11"/>
      <c r="I85" s="14"/>
      <c r="J85" s="14"/>
      <c r="K85" s="14"/>
      <c r="L85" s="520" t="s">
        <v>546</v>
      </c>
      <c r="M85" s="520"/>
      <c r="N85" s="165">
        <v>181.43</v>
      </c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</row>
    <row r="86" spans="1:46" s="69" customFormat="1" x14ac:dyDescent="0.3">
      <c r="A86" s="79" t="s">
        <v>37</v>
      </c>
      <c r="B86" s="80">
        <f>'GERAL 2022'!J20</f>
        <v>119.02</v>
      </c>
      <c r="C86" s="82">
        <v>6</v>
      </c>
      <c r="D86" s="80">
        <f t="shared" si="7"/>
        <v>19.836666666666666</v>
      </c>
      <c r="E86" s="81"/>
      <c r="F86" s="82"/>
      <c r="G86" s="11"/>
      <c r="H86" s="11"/>
      <c r="I86" s="14"/>
      <c r="J86" s="14"/>
      <c r="K86" s="14"/>
      <c r="L86" s="518" t="s">
        <v>26</v>
      </c>
      <c r="M86" s="518"/>
      <c r="N86" s="109">
        <f>SUM(N52:N85)</f>
        <v>3935.7644768437581</v>
      </c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</row>
    <row r="87" spans="1:46" s="69" customFormat="1" x14ac:dyDescent="0.3">
      <c r="A87" s="12" t="s">
        <v>38</v>
      </c>
      <c r="B87" s="2">
        <f>'GERAL 2022'!H20</f>
        <v>14.184042553191489</v>
      </c>
      <c r="C87" s="88">
        <v>5</v>
      </c>
      <c r="D87" s="2">
        <f t="shared" si="7"/>
        <v>2.8368085106382979</v>
      </c>
      <c r="E87" s="88"/>
      <c r="F87" s="88"/>
      <c r="G87" s="11"/>
      <c r="H87" s="11"/>
      <c r="I87" s="14"/>
      <c r="J87" s="14"/>
      <c r="K87" s="14"/>
      <c r="L87" s="543"/>
      <c r="M87" s="543"/>
      <c r="N87" s="135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</row>
    <row r="88" spans="1:46" s="69" customFormat="1" x14ac:dyDescent="0.3">
      <c r="A88" s="79" t="s">
        <v>45</v>
      </c>
      <c r="B88" s="80">
        <f>'GERAL 2022'!J43</f>
        <v>117.85</v>
      </c>
      <c r="C88" s="82">
        <v>6</v>
      </c>
      <c r="D88" s="80">
        <f t="shared" si="7"/>
        <v>19.641666666666666</v>
      </c>
      <c r="E88" s="81"/>
      <c r="F88" s="82"/>
      <c r="G88" s="11"/>
      <c r="H88" s="11"/>
      <c r="I88" s="14"/>
      <c r="J88" s="14"/>
      <c r="K88" s="14"/>
      <c r="L88" s="564" t="s">
        <v>11</v>
      </c>
      <c r="M88" s="565"/>
      <c r="N88" s="153">
        <f>I37+I6+I42</f>
        <v>17302.647333836878</v>
      </c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</row>
    <row r="89" spans="1:46" s="69" customFormat="1" x14ac:dyDescent="0.3">
      <c r="A89" s="12" t="s">
        <v>39</v>
      </c>
      <c r="B89" s="2">
        <f>'GERAL 2022'!H43</f>
        <v>14.184042553191489</v>
      </c>
      <c r="C89" s="88">
        <v>5</v>
      </c>
      <c r="D89" s="2">
        <f t="shared" si="7"/>
        <v>2.8368085106382979</v>
      </c>
      <c r="E89" s="88"/>
      <c r="F89" s="88"/>
      <c r="G89" s="11"/>
      <c r="H89" s="11"/>
      <c r="I89" s="14"/>
      <c r="J89" s="14"/>
      <c r="K89" s="14"/>
      <c r="L89" s="518"/>
      <c r="M89" s="518"/>
      <c r="N89" s="519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</row>
    <row r="90" spans="1:46" s="69" customFormat="1" x14ac:dyDescent="0.3">
      <c r="A90" s="81" t="s">
        <v>49</v>
      </c>
      <c r="B90" s="80">
        <f>'GERAL 2022'!J22</f>
        <v>119.12</v>
      </c>
      <c r="C90" s="82">
        <v>6</v>
      </c>
      <c r="D90" s="80">
        <f t="shared" si="7"/>
        <v>19.853333333333335</v>
      </c>
      <c r="E90" s="81"/>
      <c r="F90" s="82"/>
      <c r="G90" s="11"/>
      <c r="H90" s="11"/>
      <c r="I90" s="14"/>
      <c r="J90" s="14"/>
      <c r="K90" s="14"/>
      <c r="L90" s="513" t="s">
        <v>13</v>
      </c>
      <c r="M90" s="513"/>
      <c r="N90" s="151">
        <f>N88-N86</f>
        <v>13366.882856993119</v>
      </c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</row>
    <row r="91" spans="1:46" s="69" customFormat="1" x14ac:dyDescent="0.3">
      <c r="A91" s="90" t="s">
        <v>50</v>
      </c>
      <c r="B91" s="2">
        <f>'GERAL 2022'!H22</f>
        <v>14.184042553191489</v>
      </c>
      <c r="C91" s="88">
        <v>5</v>
      </c>
      <c r="D91" s="2">
        <f t="shared" si="7"/>
        <v>2.8368085106382979</v>
      </c>
      <c r="E91" s="88"/>
      <c r="F91" s="88"/>
      <c r="G91" s="11"/>
      <c r="H91" s="11"/>
      <c r="I91" s="14"/>
      <c r="J91" s="14"/>
      <c r="K91" s="14"/>
      <c r="L91" s="124"/>
      <c r="M91" s="124"/>
      <c r="N91" s="57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</row>
    <row r="92" spans="1:46" s="69" customFormat="1" x14ac:dyDescent="0.3">
      <c r="A92" s="81" t="s">
        <v>43</v>
      </c>
      <c r="B92" s="80">
        <f>'GERAL 2022'!J23</f>
        <v>117.26</v>
      </c>
      <c r="C92" s="82">
        <v>6</v>
      </c>
      <c r="D92" s="80">
        <f t="shared" si="7"/>
        <v>19.543333333333333</v>
      </c>
      <c r="E92" s="81"/>
      <c r="F92" s="82"/>
      <c r="G92" s="11"/>
      <c r="H92" s="11"/>
      <c r="I92" s="14"/>
      <c r="J92" s="14"/>
      <c r="K92" s="14"/>
      <c r="L92" s="124"/>
      <c r="M92" s="124"/>
      <c r="N92" s="57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</row>
    <row r="93" spans="1:46" s="69" customFormat="1" x14ac:dyDescent="0.3">
      <c r="A93" s="90" t="s">
        <v>44</v>
      </c>
      <c r="B93" s="2">
        <f>'GERAL 2022'!H23</f>
        <v>14.184042553191489</v>
      </c>
      <c r="C93" s="88">
        <v>5</v>
      </c>
      <c r="D93" s="2">
        <f t="shared" si="7"/>
        <v>2.8368085106382979</v>
      </c>
      <c r="E93" s="88"/>
      <c r="F93" s="88"/>
      <c r="G93" s="11"/>
      <c r="H93" s="11"/>
      <c r="I93" s="14"/>
      <c r="J93" s="14"/>
      <c r="K93" s="14"/>
      <c r="L93" s="124"/>
      <c r="M93" s="124"/>
      <c r="N93" s="57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</row>
    <row r="94" spans="1:46" s="69" customFormat="1" x14ac:dyDescent="0.3">
      <c r="A94" s="81" t="s">
        <v>51</v>
      </c>
      <c r="B94" s="80">
        <f>'GERAL 2022'!J24</f>
        <v>117.26</v>
      </c>
      <c r="C94" s="82">
        <v>6</v>
      </c>
      <c r="D94" s="80">
        <f t="shared" si="7"/>
        <v>19.543333333333333</v>
      </c>
      <c r="E94" s="82"/>
      <c r="F94" s="80"/>
      <c r="I94" s="142"/>
      <c r="J94" s="142"/>
      <c r="K94" s="142"/>
      <c r="L94" s="124"/>
      <c r="M94" s="124"/>
      <c r="N94" s="57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</row>
    <row r="95" spans="1:46" s="70" customFormat="1" x14ac:dyDescent="0.3">
      <c r="A95" s="90" t="s">
        <v>52</v>
      </c>
      <c r="B95" s="2">
        <f>'GERAL 2022'!H24</f>
        <v>14.184042553191489</v>
      </c>
      <c r="C95" s="88">
        <v>5</v>
      </c>
      <c r="D95" s="2">
        <f t="shared" si="7"/>
        <v>2.8368085106382979</v>
      </c>
      <c r="E95" s="88"/>
      <c r="F95" s="4"/>
      <c r="G95" s="63"/>
      <c r="H95" s="63"/>
      <c r="I95" s="69"/>
      <c r="J95" s="69"/>
      <c r="K95" s="69"/>
      <c r="L95" s="15"/>
      <c r="M95" s="14"/>
      <c r="N95" s="57"/>
    </row>
    <row r="96" spans="1:46" s="70" customFormat="1" ht="15" customHeight="1" x14ac:dyDescent="0.3">
      <c r="A96" s="81" t="s">
        <v>53</v>
      </c>
      <c r="B96" s="80">
        <f>'GERAL 2022'!J25</f>
        <v>117.85</v>
      </c>
      <c r="C96" s="82">
        <v>6</v>
      </c>
      <c r="D96" s="80">
        <f t="shared" si="7"/>
        <v>19.641666666666666</v>
      </c>
      <c r="E96" s="82"/>
      <c r="F96" s="82"/>
      <c r="G96" s="11"/>
      <c r="H96" s="63"/>
      <c r="I96" s="142"/>
      <c r="J96" s="142"/>
      <c r="K96" s="142"/>
      <c r="L96" s="11"/>
      <c r="M96" s="15"/>
      <c r="N96" s="57"/>
      <c r="AT96" s="69"/>
    </row>
    <row r="97" spans="1:46" s="70" customFormat="1" x14ac:dyDescent="0.3">
      <c r="A97" s="90" t="s">
        <v>54</v>
      </c>
      <c r="B97" s="2">
        <f>'GERAL 2022'!H25</f>
        <v>14.184042553191489</v>
      </c>
      <c r="C97" s="88">
        <v>5</v>
      </c>
      <c r="D97" s="2">
        <f t="shared" si="7"/>
        <v>2.8368085106382979</v>
      </c>
      <c r="E97" s="88"/>
      <c r="F97" s="4"/>
      <c r="G97" s="142"/>
      <c r="H97" s="142"/>
      <c r="I97" s="142"/>
      <c r="J97" s="142"/>
      <c r="K97" s="142"/>
      <c r="L97" s="11"/>
      <c r="M97" s="11"/>
      <c r="N97" s="57"/>
      <c r="AT97" s="69"/>
    </row>
    <row r="98" spans="1:46" s="70" customFormat="1" x14ac:dyDescent="0.3">
      <c r="A98" s="81" t="s">
        <v>78</v>
      </c>
      <c r="B98" s="80">
        <f>'GERAL 2022'!J26</f>
        <v>119.02</v>
      </c>
      <c r="C98" s="82">
        <v>6</v>
      </c>
      <c r="D98" s="80">
        <f t="shared" si="7"/>
        <v>19.836666666666666</v>
      </c>
      <c r="E98" s="82"/>
      <c r="F98" s="82"/>
      <c r="G98" s="11"/>
      <c r="H98" s="63"/>
      <c r="I98" s="142"/>
      <c r="J98" s="142"/>
      <c r="K98" s="142"/>
      <c r="L98" s="14"/>
      <c r="M98" s="14"/>
      <c r="N98" s="57"/>
      <c r="AT98" s="69"/>
    </row>
    <row r="99" spans="1:46" s="70" customFormat="1" x14ac:dyDescent="0.3">
      <c r="A99" s="90" t="s">
        <v>79</v>
      </c>
      <c r="B99" s="2">
        <f>'GERAL 2022'!H26</f>
        <v>19.857659574468084</v>
      </c>
      <c r="C99" s="88">
        <v>5</v>
      </c>
      <c r="D99" s="2">
        <f t="shared" si="7"/>
        <v>3.9715319148936166</v>
      </c>
      <c r="E99" s="88"/>
      <c r="F99" s="4"/>
      <c r="G99" s="142"/>
      <c r="H99" s="142"/>
      <c r="I99" s="142"/>
      <c r="J99" s="142"/>
      <c r="K99" s="142"/>
      <c r="L99" s="14"/>
      <c r="M99" s="15"/>
      <c r="N99" s="57"/>
      <c r="AT99" s="69"/>
    </row>
    <row r="100" spans="1:46" s="70" customFormat="1" x14ac:dyDescent="0.3">
      <c r="A100" s="81" t="s">
        <v>80</v>
      </c>
      <c r="B100" s="80">
        <f>'GERAL 2022'!J27</f>
        <v>119.7</v>
      </c>
      <c r="C100" s="82">
        <v>6</v>
      </c>
      <c r="D100" s="80">
        <f t="shared" si="7"/>
        <v>19.95</v>
      </c>
      <c r="E100" s="82"/>
      <c r="F100" s="82"/>
      <c r="G100" s="11"/>
      <c r="H100" s="63"/>
      <c r="I100" s="142"/>
      <c r="J100" s="142"/>
      <c r="K100" s="142"/>
      <c r="L100" s="14"/>
      <c r="M100" s="11"/>
      <c r="N100" s="57"/>
      <c r="AT100" s="69"/>
    </row>
    <row r="101" spans="1:46" s="70" customFormat="1" x14ac:dyDescent="0.3">
      <c r="A101" s="90" t="s">
        <v>81</v>
      </c>
      <c r="B101" s="2">
        <f>'GERAL 2022'!H27</f>
        <v>14.184042553191489</v>
      </c>
      <c r="C101" s="88">
        <v>5</v>
      </c>
      <c r="D101" s="2">
        <f t="shared" si="7"/>
        <v>2.8368085106382979</v>
      </c>
      <c r="E101" s="88"/>
      <c r="F101" s="4"/>
      <c r="G101" s="142"/>
      <c r="H101" s="142"/>
      <c r="I101" s="142"/>
      <c r="J101" s="142"/>
      <c r="K101" s="142"/>
      <c r="L101" s="14"/>
      <c r="M101" s="11"/>
      <c r="N101" s="57"/>
      <c r="AT101" s="69"/>
    </row>
    <row r="102" spans="1:46" s="70" customFormat="1" x14ac:dyDescent="0.3">
      <c r="A102" s="81" t="s">
        <v>82</v>
      </c>
      <c r="B102" s="80">
        <f>'GERAL 2022'!J28</f>
        <v>117.95</v>
      </c>
      <c r="C102" s="82">
        <v>6</v>
      </c>
      <c r="D102" s="80">
        <f t="shared" si="7"/>
        <v>19.658333333333335</v>
      </c>
      <c r="E102" s="82"/>
      <c r="F102" s="82"/>
      <c r="G102" s="11"/>
      <c r="H102" s="63"/>
      <c r="I102" s="142"/>
      <c r="J102" s="142"/>
      <c r="K102" s="142"/>
      <c r="L102" s="11"/>
      <c r="M102" s="11"/>
      <c r="N102" s="57"/>
      <c r="AT102" s="69"/>
    </row>
    <row r="103" spans="1:46" s="70" customFormat="1" x14ac:dyDescent="0.3">
      <c r="A103" s="90" t="s">
        <v>83</v>
      </c>
      <c r="B103" s="2">
        <f>'GERAL 2022'!H28</f>
        <v>14.184042553191489</v>
      </c>
      <c r="C103" s="88">
        <v>5</v>
      </c>
      <c r="D103" s="2">
        <f t="shared" si="7"/>
        <v>2.8368085106382979</v>
      </c>
      <c r="E103" s="88"/>
      <c r="F103" s="4"/>
      <c r="G103" s="142"/>
      <c r="H103" s="142"/>
      <c r="I103" s="142"/>
      <c r="J103" s="142"/>
      <c r="K103" s="142"/>
      <c r="L103" s="11"/>
      <c r="M103" s="14"/>
      <c r="N103" s="57"/>
      <c r="AT103" s="69"/>
    </row>
    <row r="104" spans="1:46" s="70" customFormat="1" x14ac:dyDescent="0.3">
      <c r="A104" s="81" t="s">
        <v>84</v>
      </c>
      <c r="B104" s="80">
        <f>'GERAL 2022'!J45</f>
        <v>118.18</v>
      </c>
      <c r="C104" s="82">
        <v>6</v>
      </c>
      <c r="D104" s="80">
        <f t="shared" si="7"/>
        <v>19.696666666666669</v>
      </c>
      <c r="E104" s="82"/>
      <c r="F104" s="82"/>
      <c r="G104" s="11"/>
      <c r="H104" s="63"/>
      <c r="I104" s="142"/>
      <c r="J104" s="142"/>
      <c r="K104" s="142"/>
      <c r="L104" s="11"/>
      <c r="M104" s="14"/>
      <c r="N104" s="57"/>
      <c r="AT104" s="69"/>
    </row>
    <row r="105" spans="1:46" s="70" customFormat="1" x14ac:dyDescent="0.3">
      <c r="A105" s="90" t="s">
        <v>85</v>
      </c>
      <c r="B105" s="2">
        <f>'GERAL 2022'!H45</f>
        <v>14.184042553191489</v>
      </c>
      <c r="C105" s="88">
        <v>5</v>
      </c>
      <c r="D105" s="2">
        <f t="shared" si="7"/>
        <v>2.8368085106382979</v>
      </c>
      <c r="E105" s="88"/>
      <c r="F105" s="4"/>
      <c r="G105" s="142"/>
      <c r="H105" s="142"/>
      <c r="I105" s="142"/>
      <c r="J105" s="142"/>
      <c r="K105" s="142"/>
      <c r="L105" s="11"/>
      <c r="M105" s="14"/>
      <c r="N105" s="57"/>
      <c r="AT105" s="69"/>
    </row>
    <row r="106" spans="1:46" s="70" customFormat="1" x14ac:dyDescent="0.3">
      <c r="A106" s="69"/>
      <c r="B106" s="69"/>
      <c r="C106" s="69"/>
      <c r="D106" s="69"/>
      <c r="E106" s="69"/>
      <c r="F106" s="69"/>
      <c r="G106" s="142"/>
      <c r="H106" s="142"/>
      <c r="I106" s="142"/>
      <c r="J106" s="142"/>
      <c r="K106" s="142"/>
      <c r="L106" s="11"/>
      <c r="M106" s="14"/>
      <c r="N106" s="57"/>
      <c r="AT106" s="69"/>
    </row>
    <row r="107" spans="1:46" s="70" customFormat="1" x14ac:dyDescent="0.3">
      <c r="A107" s="69"/>
      <c r="B107" s="69"/>
      <c r="C107" s="69"/>
      <c r="D107" s="69"/>
      <c r="E107" s="69"/>
      <c r="F107" s="69"/>
      <c r="G107" s="69"/>
      <c r="H107" s="69"/>
      <c r="I107" s="142"/>
      <c r="J107" s="142"/>
      <c r="K107" s="142"/>
      <c r="L107" s="11"/>
      <c r="M107" s="11"/>
      <c r="N107" s="57"/>
      <c r="AT107" s="69"/>
    </row>
    <row r="108" spans="1:46" s="70" customFormat="1" x14ac:dyDescent="0.3">
      <c r="A108" s="69"/>
      <c r="B108" s="69"/>
      <c r="C108" s="69"/>
      <c r="D108" s="69"/>
      <c r="E108" s="69"/>
      <c r="F108" s="69"/>
      <c r="G108" s="69"/>
      <c r="H108" s="69"/>
      <c r="I108" s="142"/>
      <c r="J108" s="142"/>
      <c r="K108" s="142"/>
      <c r="L108" s="11"/>
      <c r="M108" s="11"/>
      <c r="N108" s="57"/>
      <c r="AT108" s="69"/>
    </row>
    <row r="109" spans="1:46" s="70" customFormat="1" x14ac:dyDescent="0.3">
      <c r="A109" s="69"/>
      <c r="B109" s="69"/>
      <c r="C109" s="69"/>
      <c r="D109" s="69"/>
      <c r="E109" s="69"/>
      <c r="F109" s="69"/>
      <c r="G109" s="69"/>
      <c r="H109" s="69"/>
      <c r="I109" s="142"/>
      <c r="J109" s="142"/>
      <c r="K109" s="142"/>
      <c r="L109" s="69"/>
      <c r="M109" s="69"/>
      <c r="N109" s="69"/>
      <c r="AT109" s="69"/>
    </row>
    <row r="110" spans="1:46" s="70" customFormat="1" x14ac:dyDescent="0.3">
      <c r="A110" s="69"/>
      <c r="B110" s="69"/>
      <c r="C110" s="69"/>
      <c r="D110" s="69"/>
      <c r="E110" s="69"/>
      <c r="F110" s="69"/>
      <c r="G110" s="69"/>
      <c r="H110" s="69"/>
      <c r="I110" s="142"/>
      <c r="J110" s="142"/>
      <c r="K110" s="142"/>
      <c r="L110" s="69"/>
      <c r="M110" s="69"/>
      <c r="N110" s="69"/>
      <c r="AT110" s="69"/>
    </row>
    <row r="111" spans="1:46" s="70" customFormat="1" x14ac:dyDescent="0.3">
      <c r="A111" s="69"/>
      <c r="B111" s="69"/>
      <c r="C111" s="69"/>
      <c r="D111" s="69"/>
      <c r="E111" s="69"/>
      <c r="F111" s="69"/>
      <c r="G111" s="69"/>
      <c r="H111" s="69"/>
      <c r="I111" s="142"/>
      <c r="J111" s="142"/>
      <c r="K111" s="142"/>
      <c r="L111" s="69"/>
      <c r="M111" s="69"/>
      <c r="N111" s="69"/>
      <c r="AT111" s="69"/>
    </row>
    <row r="112" spans="1:46" s="70" customFormat="1" x14ac:dyDescent="0.3">
      <c r="A112" s="69"/>
      <c r="B112" s="69"/>
      <c r="C112" s="69"/>
      <c r="D112" s="69"/>
      <c r="E112" s="69"/>
      <c r="F112" s="69"/>
      <c r="G112" s="69"/>
      <c r="H112" s="69"/>
      <c r="I112" s="142"/>
      <c r="J112" s="142"/>
      <c r="K112" s="142"/>
      <c r="L112" s="69"/>
      <c r="M112" s="69"/>
      <c r="N112" s="69"/>
      <c r="AT112" s="69"/>
    </row>
    <row r="113" spans="1:46" s="70" customFormat="1" x14ac:dyDescent="0.3">
      <c r="A113" s="69"/>
      <c r="B113" s="69"/>
      <c r="C113" s="69"/>
      <c r="D113" s="69"/>
      <c r="E113" s="69"/>
      <c r="F113" s="69"/>
      <c r="G113" s="69"/>
      <c r="H113" s="69"/>
      <c r="I113" s="142"/>
      <c r="J113" s="142"/>
      <c r="K113" s="142"/>
      <c r="L113" s="69"/>
      <c r="M113" s="69"/>
      <c r="N113" s="69"/>
      <c r="AT113" s="69"/>
    </row>
    <row r="114" spans="1:46" s="70" customFormat="1" x14ac:dyDescent="0.3">
      <c r="G114" s="69"/>
      <c r="H114" s="69"/>
      <c r="I114" s="142"/>
      <c r="J114" s="142"/>
      <c r="K114" s="142"/>
      <c r="L114" s="69"/>
      <c r="M114" s="69"/>
      <c r="N114" s="69"/>
      <c r="AT114" s="69"/>
    </row>
    <row r="115" spans="1:46" s="70" customFormat="1" x14ac:dyDescent="0.3">
      <c r="I115" s="142"/>
      <c r="J115" s="142"/>
      <c r="K115" s="142"/>
      <c r="L115" s="69"/>
      <c r="M115" s="69"/>
      <c r="N115" s="69"/>
      <c r="AT115" s="69"/>
    </row>
    <row r="116" spans="1:46" s="70" customFormat="1" x14ac:dyDescent="0.3">
      <c r="I116" s="142"/>
      <c r="J116" s="142"/>
      <c r="K116" s="142"/>
      <c r="L116" s="144"/>
      <c r="M116" s="69"/>
      <c r="N116" s="69"/>
      <c r="AT116" s="69"/>
    </row>
    <row r="117" spans="1:46" s="70" customFormat="1" x14ac:dyDescent="0.3">
      <c r="I117" s="142"/>
      <c r="J117" s="142"/>
      <c r="K117" s="142"/>
      <c r="L117" s="144"/>
      <c r="M117" s="69"/>
      <c r="N117" s="69"/>
      <c r="AT117" s="69"/>
    </row>
    <row r="118" spans="1:46" s="70" customFormat="1" x14ac:dyDescent="0.3">
      <c r="I118" s="142"/>
      <c r="J118" s="142"/>
      <c r="K118" s="142"/>
      <c r="L118" s="144"/>
      <c r="M118" s="69"/>
      <c r="AT118" s="69"/>
    </row>
    <row r="119" spans="1:46" s="70" customFormat="1" x14ac:dyDescent="0.3">
      <c r="I119" s="142"/>
      <c r="J119" s="142"/>
      <c r="K119" s="142"/>
      <c r="L119" s="144"/>
      <c r="M119" s="69"/>
      <c r="AT119" s="69"/>
    </row>
    <row r="120" spans="1:46" s="70" customFormat="1" x14ac:dyDescent="0.3">
      <c r="I120" s="142"/>
      <c r="J120" s="142"/>
      <c r="K120" s="142"/>
      <c r="L120" s="144"/>
      <c r="M120" s="69"/>
      <c r="AT120" s="69"/>
    </row>
    <row r="121" spans="1:46" s="70" customFormat="1" x14ac:dyDescent="0.3">
      <c r="I121" s="142"/>
      <c r="J121" s="142"/>
      <c r="K121" s="142"/>
      <c r="L121" s="144"/>
      <c r="M121" s="144"/>
      <c r="AT121" s="69"/>
    </row>
    <row r="122" spans="1:46" s="70" customFormat="1" x14ac:dyDescent="0.3">
      <c r="I122" s="142"/>
      <c r="J122" s="142"/>
      <c r="K122" s="142"/>
      <c r="L122" s="144"/>
      <c r="M122" s="144"/>
      <c r="AT122" s="69"/>
    </row>
    <row r="123" spans="1:46" s="70" customFormat="1" x14ac:dyDescent="0.3">
      <c r="I123" s="142"/>
      <c r="J123" s="142"/>
      <c r="K123" s="142"/>
      <c r="L123" s="144"/>
      <c r="M123" s="144"/>
      <c r="AT123" s="69"/>
    </row>
    <row r="124" spans="1:46" s="70" customFormat="1" x14ac:dyDescent="0.3">
      <c r="I124" s="142"/>
      <c r="J124" s="142"/>
      <c r="K124" s="142"/>
      <c r="L124" s="144"/>
      <c r="M124" s="144"/>
      <c r="AT124" s="69"/>
    </row>
    <row r="125" spans="1:46" s="70" customFormat="1" x14ac:dyDescent="0.3">
      <c r="I125" s="142"/>
      <c r="J125" s="142"/>
      <c r="K125" s="142"/>
      <c r="L125" s="144"/>
      <c r="M125" s="144"/>
      <c r="AT125" s="69"/>
    </row>
    <row r="126" spans="1:46" s="70" customFormat="1" x14ac:dyDescent="0.3">
      <c r="I126" s="142"/>
      <c r="J126" s="142"/>
      <c r="K126" s="142"/>
      <c r="L126" s="144"/>
      <c r="M126" s="144"/>
      <c r="AT126" s="69"/>
    </row>
    <row r="127" spans="1:46" s="70" customFormat="1" x14ac:dyDescent="0.3">
      <c r="I127" s="142"/>
      <c r="J127" s="142"/>
      <c r="K127" s="142"/>
      <c r="L127" s="144"/>
      <c r="M127" s="144"/>
      <c r="AT127" s="69"/>
    </row>
    <row r="128" spans="1:46" s="70" customFormat="1" x14ac:dyDescent="0.3">
      <c r="I128" s="142"/>
      <c r="J128" s="142"/>
      <c r="K128" s="142"/>
      <c r="L128" s="144"/>
      <c r="M128" s="144"/>
      <c r="AT128" s="69"/>
    </row>
    <row r="129" spans="9:46" s="70" customFormat="1" x14ac:dyDescent="0.3">
      <c r="I129" s="142"/>
      <c r="J129" s="142"/>
      <c r="K129" s="142"/>
      <c r="L129" s="144"/>
      <c r="M129" s="144"/>
      <c r="AT129" s="69"/>
    </row>
    <row r="130" spans="9:46" s="70" customFormat="1" x14ac:dyDescent="0.3">
      <c r="I130" s="142"/>
      <c r="J130" s="142"/>
      <c r="K130" s="142"/>
      <c r="L130" s="144"/>
      <c r="M130" s="144"/>
      <c r="AT130" s="69"/>
    </row>
    <row r="131" spans="9:46" s="70" customFormat="1" x14ac:dyDescent="0.3">
      <c r="I131" s="142"/>
      <c r="J131" s="142"/>
      <c r="K131" s="142"/>
      <c r="L131" s="144"/>
      <c r="M131" s="144"/>
      <c r="AT131" s="69"/>
    </row>
    <row r="132" spans="9:46" s="70" customFormat="1" x14ac:dyDescent="0.3">
      <c r="I132" s="142"/>
      <c r="J132" s="142"/>
      <c r="K132" s="142"/>
      <c r="L132" s="144"/>
      <c r="M132" s="144"/>
      <c r="AT132" s="69"/>
    </row>
    <row r="133" spans="9:46" s="70" customFormat="1" x14ac:dyDescent="0.3">
      <c r="I133" s="142"/>
      <c r="J133" s="142"/>
      <c r="K133" s="142"/>
      <c r="L133" s="144"/>
      <c r="M133" s="144"/>
      <c r="AT133" s="69"/>
    </row>
    <row r="134" spans="9:46" s="70" customFormat="1" x14ac:dyDescent="0.3">
      <c r="I134" s="142"/>
      <c r="J134" s="142"/>
      <c r="K134" s="142"/>
      <c r="L134" s="144"/>
      <c r="M134" s="144"/>
      <c r="AT134" s="69"/>
    </row>
    <row r="135" spans="9:46" s="70" customFormat="1" x14ac:dyDescent="0.3">
      <c r="I135" s="142"/>
      <c r="J135" s="142"/>
      <c r="K135" s="142"/>
      <c r="L135" s="144"/>
      <c r="M135" s="144"/>
      <c r="AT135" s="69"/>
    </row>
    <row r="136" spans="9:46" s="70" customFormat="1" x14ac:dyDescent="0.3">
      <c r="I136" s="142"/>
      <c r="J136" s="142"/>
      <c r="K136" s="142"/>
      <c r="L136" s="144"/>
      <c r="M136" s="144"/>
      <c r="AT136" s="69"/>
    </row>
    <row r="137" spans="9:46" s="70" customFormat="1" x14ac:dyDescent="0.3">
      <c r="I137" s="142"/>
      <c r="J137" s="142"/>
      <c r="K137" s="142"/>
      <c r="L137" s="144"/>
      <c r="M137" s="144"/>
      <c r="AT137" s="69"/>
    </row>
    <row r="138" spans="9:46" s="70" customFormat="1" x14ac:dyDescent="0.3">
      <c r="I138" s="142"/>
      <c r="J138" s="142"/>
      <c r="K138" s="142"/>
      <c r="L138" s="144"/>
      <c r="M138" s="144"/>
      <c r="AT138" s="69"/>
    </row>
    <row r="139" spans="9:46" s="70" customFormat="1" x14ac:dyDescent="0.3">
      <c r="I139" s="142"/>
      <c r="J139" s="142"/>
      <c r="K139" s="142"/>
      <c r="L139" s="144"/>
      <c r="M139" s="144"/>
      <c r="AT139" s="69"/>
    </row>
    <row r="140" spans="9:46" s="70" customFormat="1" x14ac:dyDescent="0.3">
      <c r="I140" s="142"/>
      <c r="J140" s="142"/>
      <c r="K140" s="142"/>
      <c r="L140" s="144"/>
      <c r="M140" s="144"/>
      <c r="AT140" s="69"/>
    </row>
    <row r="141" spans="9:46" s="70" customFormat="1" x14ac:dyDescent="0.3">
      <c r="I141" s="142"/>
      <c r="J141" s="142"/>
      <c r="K141" s="142"/>
      <c r="L141" s="144"/>
      <c r="M141" s="144"/>
      <c r="AT141" s="69"/>
    </row>
    <row r="142" spans="9:46" s="70" customFormat="1" x14ac:dyDescent="0.3">
      <c r="I142" s="142"/>
      <c r="J142" s="142"/>
      <c r="K142" s="142"/>
      <c r="L142" s="144"/>
      <c r="M142" s="144"/>
      <c r="AT142" s="69"/>
    </row>
    <row r="143" spans="9:46" s="70" customFormat="1" x14ac:dyDescent="0.3">
      <c r="I143" s="142"/>
      <c r="J143" s="142"/>
      <c r="K143" s="142"/>
      <c r="L143" s="144"/>
      <c r="M143" s="144"/>
      <c r="AT143" s="69"/>
    </row>
    <row r="144" spans="9:46" s="70" customFormat="1" x14ac:dyDescent="0.3">
      <c r="I144" s="142"/>
      <c r="J144" s="142"/>
      <c r="K144" s="142"/>
      <c r="L144" s="144"/>
      <c r="M144" s="144"/>
      <c r="AT144" s="69"/>
    </row>
    <row r="145" spans="9:46" s="70" customFormat="1" x14ac:dyDescent="0.3">
      <c r="I145" s="142"/>
      <c r="J145" s="142"/>
      <c r="K145" s="142"/>
      <c r="L145" s="144"/>
      <c r="M145" s="144"/>
      <c r="AT145" s="69"/>
    </row>
    <row r="146" spans="9:46" s="70" customFormat="1" x14ac:dyDescent="0.3">
      <c r="I146" s="142"/>
      <c r="J146" s="142"/>
      <c r="K146" s="142"/>
      <c r="L146" s="144"/>
      <c r="M146" s="144"/>
      <c r="AT146" s="69"/>
    </row>
    <row r="147" spans="9:46" s="70" customFormat="1" x14ac:dyDescent="0.3">
      <c r="I147" s="142"/>
      <c r="J147" s="142"/>
      <c r="K147" s="142"/>
      <c r="L147" s="144"/>
      <c r="M147" s="144"/>
      <c r="AT147" s="69"/>
    </row>
    <row r="148" spans="9:46" s="70" customFormat="1" x14ac:dyDescent="0.3">
      <c r="I148" s="142"/>
      <c r="J148" s="142"/>
      <c r="K148" s="142"/>
      <c r="L148" s="144"/>
      <c r="M148" s="144"/>
      <c r="AT148" s="69"/>
    </row>
    <row r="149" spans="9:46" s="70" customFormat="1" x14ac:dyDescent="0.3">
      <c r="I149" s="142"/>
      <c r="J149" s="142"/>
      <c r="K149" s="142"/>
      <c r="L149" s="144"/>
      <c r="M149" s="144"/>
      <c r="AT149" s="69"/>
    </row>
    <row r="150" spans="9:46" s="70" customFormat="1" x14ac:dyDescent="0.3">
      <c r="I150" s="142"/>
      <c r="J150" s="142"/>
      <c r="K150" s="142"/>
      <c r="L150" s="144"/>
      <c r="M150" s="144"/>
      <c r="AT150" s="69"/>
    </row>
    <row r="151" spans="9:46" s="70" customFormat="1" x14ac:dyDescent="0.3">
      <c r="I151" s="142"/>
      <c r="J151" s="142"/>
      <c r="K151" s="142"/>
      <c r="L151" s="144"/>
      <c r="M151" s="144"/>
      <c r="AT151" s="69"/>
    </row>
    <row r="152" spans="9:46" s="70" customFormat="1" x14ac:dyDescent="0.3">
      <c r="I152" s="142"/>
      <c r="J152" s="142"/>
      <c r="K152" s="142"/>
      <c r="L152" s="144"/>
      <c r="M152" s="144"/>
      <c r="AT152" s="69"/>
    </row>
    <row r="153" spans="9:46" s="70" customFormat="1" x14ac:dyDescent="0.3">
      <c r="I153" s="142"/>
      <c r="J153" s="142"/>
      <c r="K153" s="142"/>
      <c r="L153" s="144"/>
      <c r="M153" s="144"/>
      <c r="AT153" s="69"/>
    </row>
    <row r="154" spans="9:46" s="70" customFormat="1" x14ac:dyDescent="0.3">
      <c r="I154" s="142"/>
      <c r="J154" s="142"/>
      <c r="K154" s="142"/>
      <c r="L154" s="144"/>
      <c r="M154" s="144"/>
      <c r="AT154" s="69"/>
    </row>
    <row r="155" spans="9:46" s="70" customFormat="1" x14ac:dyDescent="0.3">
      <c r="I155" s="142"/>
      <c r="J155" s="142"/>
      <c r="K155" s="142"/>
      <c r="L155" s="144"/>
      <c r="M155" s="144"/>
      <c r="AT155" s="69"/>
    </row>
    <row r="156" spans="9:46" s="70" customFormat="1" x14ac:dyDescent="0.3">
      <c r="I156" s="142"/>
      <c r="J156" s="142"/>
      <c r="K156" s="142"/>
      <c r="L156" s="144"/>
      <c r="M156" s="144"/>
      <c r="AT156" s="69"/>
    </row>
    <row r="157" spans="9:46" s="70" customFormat="1" x14ac:dyDescent="0.3">
      <c r="I157" s="142"/>
      <c r="J157" s="142"/>
      <c r="K157" s="142"/>
      <c r="L157" s="144"/>
      <c r="M157" s="144"/>
      <c r="AT157" s="69"/>
    </row>
    <row r="158" spans="9:46" s="70" customFormat="1" x14ac:dyDescent="0.3">
      <c r="I158" s="142"/>
      <c r="J158" s="142"/>
      <c r="K158" s="142"/>
      <c r="L158" s="144"/>
      <c r="M158" s="144"/>
      <c r="AT158" s="69"/>
    </row>
    <row r="159" spans="9:46" s="70" customFormat="1" x14ac:dyDescent="0.3">
      <c r="I159" s="142"/>
      <c r="J159" s="142"/>
      <c r="K159" s="142"/>
      <c r="L159" s="144"/>
      <c r="M159" s="144"/>
      <c r="AT159" s="69"/>
    </row>
    <row r="160" spans="9:46" s="70" customFormat="1" x14ac:dyDescent="0.3">
      <c r="I160" s="142"/>
      <c r="J160" s="142"/>
      <c r="K160" s="142"/>
      <c r="L160" s="144"/>
      <c r="M160" s="144"/>
      <c r="AT160" s="69"/>
    </row>
    <row r="161" spans="1:47" s="70" customFormat="1" x14ac:dyDescent="0.3">
      <c r="I161" s="142"/>
      <c r="J161" s="142"/>
      <c r="K161" s="142"/>
      <c r="L161" s="144"/>
      <c r="M161" s="144"/>
      <c r="AT161" s="69"/>
    </row>
    <row r="162" spans="1:47" s="70" customFormat="1" x14ac:dyDescent="0.3">
      <c r="I162" s="142"/>
      <c r="J162" s="142"/>
      <c r="K162" s="142"/>
      <c r="L162" s="144"/>
      <c r="M162" s="144"/>
      <c r="AT162" s="69"/>
    </row>
    <row r="163" spans="1:47" s="70" customFormat="1" x14ac:dyDescent="0.3">
      <c r="I163" s="142"/>
      <c r="J163" s="142"/>
      <c r="K163" s="142"/>
      <c r="L163" s="144"/>
      <c r="M163" s="144"/>
      <c r="AT163" s="69"/>
    </row>
    <row r="164" spans="1:47" s="70" customFormat="1" x14ac:dyDescent="0.3">
      <c r="I164" s="142"/>
      <c r="J164" s="142"/>
      <c r="K164" s="142"/>
      <c r="L164" s="144"/>
      <c r="M164" s="144"/>
      <c r="AT164" s="69"/>
    </row>
    <row r="165" spans="1:47" s="70" customFormat="1" x14ac:dyDescent="0.3">
      <c r="I165" s="142"/>
      <c r="J165" s="142"/>
      <c r="K165" s="142"/>
      <c r="L165" s="144"/>
      <c r="M165" s="144"/>
      <c r="AT165" s="69"/>
    </row>
    <row r="166" spans="1:47" s="70" customFormat="1" x14ac:dyDescent="0.3">
      <c r="I166" s="142"/>
      <c r="J166" s="142"/>
      <c r="K166" s="142"/>
      <c r="L166" s="144"/>
      <c r="M166" s="144"/>
      <c r="AT166" s="69"/>
    </row>
    <row r="167" spans="1:47" s="70" customFormat="1" x14ac:dyDescent="0.3">
      <c r="I167" s="142"/>
      <c r="J167" s="142"/>
      <c r="K167" s="142"/>
      <c r="L167" s="144"/>
      <c r="M167" s="144"/>
      <c r="AT167" s="69"/>
    </row>
    <row r="168" spans="1:47" s="70" customFormat="1" x14ac:dyDescent="0.3">
      <c r="I168" s="142"/>
      <c r="J168" s="142"/>
      <c r="K168" s="142"/>
      <c r="L168" s="144"/>
      <c r="M168" s="144"/>
      <c r="AT168" s="69"/>
    </row>
    <row r="169" spans="1:47" s="70" customFormat="1" x14ac:dyDescent="0.3">
      <c r="I169" s="142"/>
      <c r="J169" s="142"/>
      <c r="K169" s="142"/>
      <c r="L169" s="144"/>
      <c r="M169" s="144"/>
      <c r="AT169" s="69"/>
    </row>
    <row r="170" spans="1:47" s="145" customFormat="1" x14ac:dyDescent="0.3">
      <c r="A170" s="70"/>
      <c r="B170" s="70"/>
      <c r="C170" s="70"/>
      <c r="D170" s="70"/>
      <c r="E170" s="70"/>
      <c r="F170" s="70"/>
      <c r="G170" s="70"/>
      <c r="H170" s="70"/>
      <c r="I170" s="142"/>
      <c r="J170" s="142"/>
      <c r="K170" s="142"/>
      <c r="L170" s="144"/>
      <c r="M170" s="144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69"/>
      <c r="AU170" s="70"/>
    </row>
    <row r="171" spans="1:47" s="145" customFormat="1" x14ac:dyDescent="0.3">
      <c r="A171" s="70"/>
      <c r="B171" s="70"/>
      <c r="C171" s="70"/>
      <c r="D171" s="70"/>
      <c r="E171" s="70"/>
      <c r="F171" s="70"/>
      <c r="G171" s="70"/>
      <c r="H171" s="70"/>
      <c r="I171" s="142"/>
      <c r="J171" s="142"/>
      <c r="K171" s="142"/>
      <c r="L171" s="144"/>
      <c r="M171" s="144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69"/>
      <c r="AU171" s="70"/>
    </row>
    <row r="172" spans="1:47" s="145" customFormat="1" x14ac:dyDescent="0.3">
      <c r="A172" s="70"/>
      <c r="B172" s="70"/>
      <c r="C172" s="70"/>
      <c r="D172" s="70"/>
      <c r="E172" s="70"/>
      <c r="F172" s="70"/>
      <c r="G172" s="70"/>
      <c r="H172" s="70"/>
      <c r="I172" s="142"/>
      <c r="J172" s="142"/>
      <c r="K172" s="142"/>
      <c r="L172" s="144"/>
      <c r="M172" s="144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69"/>
      <c r="AU172" s="70"/>
    </row>
    <row r="173" spans="1:47" s="145" customFormat="1" x14ac:dyDescent="0.3">
      <c r="A173" s="70"/>
      <c r="B173" s="70"/>
      <c r="C173" s="70"/>
      <c r="D173" s="70"/>
      <c r="E173" s="70"/>
      <c r="F173" s="70"/>
      <c r="G173" s="70"/>
      <c r="H173" s="70"/>
      <c r="I173" s="142"/>
      <c r="J173" s="142"/>
      <c r="K173" s="142"/>
      <c r="L173" s="144"/>
      <c r="M173" s="144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69"/>
      <c r="AU173" s="70"/>
    </row>
    <row r="174" spans="1:47" s="145" customFormat="1" x14ac:dyDescent="0.3">
      <c r="A174" s="70"/>
      <c r="B174" s="70"/>
      <c r="C174" s="70"/>
      <c r="D174" s="70"/>
      <c r="E174" s="70"/>
      <c r="F174" s="70"/>
      <c r="G174" s="70"/>
      <c r="H174" s="70"/>
      <c r="I174" s="142"/>
      <c r="J174" s="142"/>
      <c r="K174" s="142"/>
      <c r="L174" s="144"/>
      <c r="M174" s="144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69"/>
      <c r="AU174" s="70"/>
    </row>
    <row r="175" spans="1:47" s="145" customFormat="1" x14ac:dyDescent="0.3">
      <c r="A175" s="70"/>
      <c r="B175" s="70"/>
      <c r="C175" s="70"/>
      <c r="D175" s="70"/>
      <c r="E175" s="70"/>
      <c r="F175" s="70"/>
      <c r="G175" s="70"/>
      <c r="H175" s="70"/>
      <c r="I175" s="142"/>
      <c r="J175" s="142"/>
      <c r="K175" s="142"/>
      <c r="L175" s="144"/>
      <c r="M175" s="144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69"/>
      <c r="AU175" s="70"/>
    </row>
    <row r="176" spans="1:47" s="145" customFormat="1" x14ac:dyDescent="0.3">
      <c r="A176" s="70"/>
      <c r="B176" s="70"/>
      <c r="C176" s="70"/>
      <c r="D176" s="70"/>
      <c r="E176" s="70"/>
      <c r="F176" s="70"/>
      <c r="G176" s="70"/>
      <c r="H176" s="70"/>
      <c r="I176" s="142"/>
      <c r="J176" s="142"/>
      <c r="K176" s="142"/>
      <c r="L176" s="144"/>
      <c r="M176" s="144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69"/>
      <c r="AU176" s="70"/>
    </row>
    <row r="177" spans="1:47" s="145" customFormat="1" x14ac:dyDescent="0.3">
      <c r="A177" s="70"/>
      <c r="B177" s="70"/>
      <c r="C177" s="70"/>
      <c r="D177" s="70"/>
      <c r="E177" s="70"/>
      <c r="F177" s="70"/>
      <c r="G177" s="70"/>
      <c r="H177" s="70"/>
      <c r="I177" s="142"/>
      <c r="J177" s="142"/>
      <c r="K177" s="142"/>
      <c r="L177" s="144"/>
      <c r="M177" s="144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69"/>
      <c r="AU177" s="70"/>
    </row>
    <row r="178" spans="1:47" s="145" customFormat="1" x14ac:dyDescent="0.3">
      <c r="A178" s="70"/>
      <c r="B178" s="70"/>
      <c r="C178" s="70"/>
      <c r="D178" s="70"/>
      <c r="E178" s="70"/>
      <c r="F178" s="70"/>
      <c r="G178" s="70"/>
      <c r="H178" s="70"/>
      <c r="I178" s="142"/>
      <c r="J178" s="142"/>
      <c r="K178" s="142"/>
      <c r="L178" s="144"/>
      <c r="M178" s="144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69"/>
      <c r="AU178" s="70"/>
    </row>
    <row r="179" spans="1:47" s="145" customFormat="1" x14ac:dyDescent="0.3">
      <c r="A179" s="70"/>
      <c r="B179" s="70"/>
      <c r="C179" s="70"/>
      <c r="D179" s="70"/>
      <c r="E179" s="70"/>
      <c r="F179" s="70"/>
      <c r="G179" s="70"/>
      <c r="H179" s="70"/>
      <c r="I179" s="142"/>
      <c r="J179" s="142"/>
      <c r="K179" s="142"/>
      <c r="L179" s="144"/>
      <c r="M179" s="144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69"/>
      <c r="AU179" s="70"/>
    </row>
    <row r="180" spans="1:47" s="145" customFormat="1" x14ac:dyDescent="0.3">
      <c r="A180" s="70"/>
      <c r="B180" s="70"/>
      <c r="C180" s="70"/>
      <c r="D180" s="70"/>
      <c r="E180" s="70"/>
      <c r="F180" s="70"/>
      <c r="G180" s="70"/>
      <c r="H180" s="70"/>
      <c r="I180" s="142"/>
      <c r="J180" s="142"/>
      <c r="K180" s="142"/>
      <c r="L180" s="144"/>
      <c r="M180" s="144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69"/>
      <c r="AU180" s="70"/>
    </row>
    <row r="181" spans="1:47" s="145" customFormat="1" x14ac:dyDescent="0.3">
      <c r="A181" s="70"/>
      <c r="B181" s="70"/>
      <c r="C181" s="70"/>
      <c r="D181" s="70"/>
      <c r="E181" s="70"/>
      <c r="F181" s="70"/>
      <c r="G181" s="70"/>
      <c r="H181" s="70"/>
      <c r="I181" s="142"/>
      <c r="J181" s="142"/>
      <c r="K181" s="142"/>
      <c r="L181" s="144"/>
      <c r="M181" s="144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69"/>
      <c r="AU181" s="70"/>
    </row>
    <row r="182" spans="1:47" s="145" customFormat="1" x14ac:dyDescent="0.3">
      <c r="A182" s="70"/>
      <c r="B182" s="70"/>
      <c r="C182" s="70"/>
      <c r="D182" s="70"/>
      <c r="E182" s="70"/>
      <c r="F182" s="70"/>
      <c r="G182" s="70"/>
      <c r="H182" s="70"/>
      <c r="I182" s="146"/>
      <c r="J182" s="146"/>
      <c r="K182" s="146"/>
      <c r="L182" s="144"/>
      <c r="M182" s="144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69"/>
      <c r="AU182" s="70"/>
    </row>
    <row r="183" spans="1:47" s="145" customFormat="1" x14ac:dyDescent="0.3">
      <c r="A183" s="70"/>
      <c r="B183" s="70"/>
      <c r="C183" s="70"/>
      <c r="D183" s="70"/>
      <c r="E183" s="70"/>
      <c r="F183" s="70"/>
      <c r="G183" s="70"/>
      <c r="H183" s="70"/>
      <c r="I183" s="146"/>
      <c r="J183" s="146"/>
      <c r="K183" s="146"/>
      <c r="L183" s="144"/>
      <c r="M183" s="144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69"/>
      <c r="AU183" s="70"/>
    </row>
    <row r="184" spans="1:47" s="145" customFormat="1" x14ac:dyDescent="0.3">
      <c r="A184" s="70"/>
      <c r="B184" s="70"/>
      <c r="C184" s="70"/>
      <c r="D184" s="70"/>
      <c r="E184" s="70"/>
      <c r="F184" s="70"/>
      <c r="G184" s="70"/>
      <c r="H184" s="70"/>
      <c r="I184" s="146"/>
      <c r="J184" s="146"/>
      <c r="K184" s="146"/>
      <c r="L184" s="144"/>
      <c r="M184" s="144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69"/>
      <c r="AU184" s="70"/>
    </row>
    <row r="185" spans="1:47" s="145" customFormat="1" x14ac:dyDescent="0.3">
      <c r="A185" s="70"/>
      <c r="B185" s="70"/>
      <c r="C185" s="70"/>
      <c r="D185" s="70"/>
      <c r="E185" s="70"/>
      <c r="F185" s="70"/>
      <c r="G185" s="70"/>
      <c r="H185" s="70"/>
      <c r="I185" s="146"/>
      <c r="J185" s="146"/>
      <c r="K185" s="146"/>
      <c r="L185" s="144"/>
      <c r="M185" s="144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69"/>
      <c r="AU185" s="70"/>
    </row>
    <row r="186" spans="1:47" s="145" customFormat="1" x14ac:dyDescent="0.3">
      <c r="A186" s="70"/>
      <c r="B186" s="70"/>
      <c r="C186" s="70"/>
      <c r="D186" s="70"/>
      <c r="E186" s="70"/>
      <c r="F186" s="70"/>
      <c r="G186" s="70"/>
      <c r="H186" s="70"/>
      <c r="I186" s="146"/>
      <c r="J186" s="146"/>
      <c r="K186" s="146"/>
      <c r="L186" s="144"/>
      <c r="M186" s="144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69"/>
      <c r="AU186" s="70"/>
    </row>
    <row r="187" spans="1:47" x14ac:dyDescent="0.3">
      <c r="A187" s="70"/>
      <c r="B187" s="70"/>
      <c r="C187" s="70"/>
      <c r="D187" s="70"/>
      <c r="E187" s="70"/>
      <c r="F187" s="70"/>
      <c r="G187" s="70"/>
      <c r="H187" s="70"/>
      <c r="I187" s="146"/>
      <c r="J187" s="146"/>
      <c r="K187" s="146"/>
      <c r="L187" s="144"/>
      <c r="M187" s="144"/>
      <c r="N187" s="70"/>
      <c r="AT187" s="148"/>
      <c r="AU187" s="148"/>
    </row>
    <row r="188" spans="1:47" x14ac:dyDescent="0.3">
      <c r="A188" s="70"/>
      <c r="B188" s="70"/>
      <c r="C188" s="70"/>
      <c r="D188" s="70"/>
      <c r="E188" s="70"/>
      <c r="F188" s="70"/>
      <c r="G188" s="70"/>
      <c r="H188" s="70"/>
      <c r="I188" s="146"/>
      <c r="J188" s="146"/>
      <c r="K188" s="146"/>
      <c r="L188" s="144"/>
      <c r="M188" s="144"/>
      <c r="N188" s="70"/>
      <c r="AT188" s="148"/>
      <c r="AU188" s="148"/>
    </row>
    <row r="189" spans="1:47" x14ac:dyDescent="0.3">
      <c r="A189" s="70"/>
      <c r="B189" s="70"/>
      <c r="C189" s="70"/>
      <c r="D189" s="70"/>
      <c r="E189" s="70"/>
      <c r="F189" s="70"/>
      <c r="G189" s="70"/>
      <c r="H189" s="70"/>
      <c r="I189" s="146"/>
      <c r="J189" s="146"/>
      <c r="K189" s="146"/>
      <c r="L189" s="144"/>
      <c r="M189" s="144"/>
      <c r="N189" s="70"/>
      <c r="AT189" s="148"/>
      <c r="AU189" s="148"/>
    </row>
    <row r="190" spans="1:47" x14ac:dyDescent="0.3">
      <c r="A190" s="70"/>
      <c r="B190" s="70"/>
      <c r="C190" s="70"/>
      <c r="D190" s="70"/>
      <c r="E190" s="70"/>
      <c r="F190" s="70"/>
      <c r="G190" s="70"/>
      <c r="H190" s="70"/>
      <c r="I190" s="146"/>
      <c r="J190" s="146"/>
      <c r="K190" s="146"/>
      <c r="L190" s="144"/>
      <c r="M190" s="144"/>
      <c r="N190" s="70"/>
      <c r="AT190" s="148"/>
      <c r="AU190" s="148"/>
    </row>
    <row r="191" spans="1:47" x14ac:dyDescent="0.3">
      <c r="A191" s="149"/>
      <c r="B191" s="149"/>
      <c r="C191" s="149"/>
      <c r="D191" s="149"/>
      <c r="E191" s="149"/>
      <c r="F191" s="149"/>
      <c r="G191" s="70"/>
      <c r="H191" s="70"/>
      <c r="I191" s="146"/>
      <c r="J191" s="146"/>
      <c r="K191" s="146"/>
      <c r="L191" s="144"/>
      <c r="M191" s="144"/>
      <c r="N191" s="70"/>
      <c r="AT191" s="148"/>
      <c r="AU191" s="148"/>
    </row>
    <row r="192" spans="1:47" x14ac:dyDescent="0.3">
      <c r="A192" s="149"/>
      <c r="B192" s="149"/>
      <c r="C192" s="149"/>
      <c r="D192" s="149"/>
      <c r="E192" s="149"/>
      <c r="F192" s="149"/>
      <c r="G192" s="149"/>
      <c r="H192" s="149"/>
      <c r="I192" s="146"/>
      <c r="J192" s="146"/>
      <c r="K192" s="146"/>
      <c r="L192" s="144"/>
      <c r="M192" s="144"/>
      <c r="N192" s="70"/>
      <c r="AT192" s="148"/>
      <c r="AU192" s="148"/>
    </row>
    <row r="193" spans="1:47" x14ac:dyDescent="0.3">
      <c r="A193" s="149"/>
      <c r="B193" s="149"/>
      <c r="C193" s="149"/>
      <c r="D193" s="149"/>
      <c r="E193" s="149"/>
      <c r="F193" s="149"/>
      <c r="G193" s="149"/>
      <c r="H193" s="149"/>
      <c r="I193" s="146"/>
      <c r="J193" s="146"/>
      <c r="K193" s="146"/>
      <c r="L193" s="147"/>
      <c r="M193" s="144"/>
      <c r="N193" s="70"/>
      <c r="AT193" s="148"/>
      <c r="AU193" s="148"/>
    </row>
    <row r="194" spans="1:47" x14ac:dyDescent="0.3">
      <c r="A194" s="149"/>
      <c r="B194" s="149"/>
      <c r="C194" s="149"/>
      <c r="D194" s="149"/>
      <c r="E194" s="149"/>
      <c r="F194" s="149"/>
      <c r="G194" s="149"/>
      <c r="H194" s="149"/>
      <c r="I194" s="146"/>
      <c r="J194" s="146"/>
      <c r="K194" s="146"/>
      <c r="L194" s="147"/>
      <c r="M194" s="144"/>
      <c r="N194" s="70"/>
      <c r="AT194" s="148"/>
      <c r="AU194" s="148"/>
    </row>
    <row r="195" spans="1:47" x14ac:dyDescent="0.3">
      <c r="A195" s="149"/>
      <c r="B195" s="149"/>
      <c r="C195" s="149"/>
      <c r="D195" s="149"/>
      <c r="E195" s="149"/>
      <c r="F195" s="149"/>
      <c r="G195" s="149"/>
      <c r="H195" s="149"/>
      <c r="I195" s="146"/>
      <c r="J195" s="146"/>
      <c r="K195" s="146"/>
      <c r="L195" s="147"/>
      <c r="M195" s="144"/>
      <c r="N195" s="70"/>
      <c r="AT195" s="148"/>
      <c r="AU195" s="148"/>
    </row>
    <row r="196" spans="1:47" x14ac:dyDescent="0.3">
      <c r="A196" s="149"/>
      <c r="B196" s="149"/>
      <c r="C196" s="149"/>
      <c r="D196" s="149"/>
      <c r="E196" s="149"/>
      <c r="F196" s="149"/>
      <c r="G196" s="149"/>
      <c r="H196" s="149"/>
      <c r="I196" s="146"/>
      <c r="J196" s="146"/>
      <c r="K196" s="146"/>
      <c r="L196" s="147"/>
      <c r="M196" s="144"/>
      <c r="N196" s="149"/>
      <c r="AT196" s="148"/>
      <c r="AU196" s="148"/>
    </row>
    <row r="197" spans="1:47" x14ac:dyDescent="0.3">
      <c r="A197" s="149"/>
      <c r="B197" s="149"/>
      <c r="C197" s="149"/>
      <c r="D197" s="149"/>
      <c r="E197" s="149"/>
      <c r="F197" s="149"/>
      <c r="G197" s="149"/>
      <c r="H197" s="149"/>
      <c r="I197" s="146"/>
      <c r="J197" s="146"/>
      <c r="K197" s="146"/>
      <c r="L197" s="147"/>
      <c r="M197" s="144"/>
      <c r="N197" s="149"/>
      <c r="AT197" s="148"/>
      <c r="AU197" s="148"/>
    </row>
    <row r="198" spans="1:47" x14ac:dyDescent="0.3">
      <c r="A198" s="149"/>
      <c r="B198" s="149"/>
      <c r="C198" s="149"/>
      <c r="D198" s="149"/>
      <c r="E198" s="149"/>
      <c r="F198" s="149"/>
      <c r="G198" s="149"/>
      <c r="H198" s="149"/>
      <c r="I198" s="146"/>
      <c r="J198" s="146"/>
      <c r="K198" s="146"/>
      <c r="L198" s="147"/>
      <c r="M198" s="147"/>
      <c r="N198" s="149"/>
      <c r="AT198" s="148"/>
      <c r="AU198" s="148"/>
    </row>
    <row r="199" spans="1:47" x14ac:dyDescent="0.3">
      <c r="A199" s="149"/>
      <c r="B199" s="149"/>
      <c r="C199" s="149"/>
      <c r="D199" s="149"/>
      <c r="E199" s="149"/>
      <c r="F199" s="149"/>
      <c r="G199" s="149"/>
      <c r="H199" s="149"/>
      <c r="L199" s="147"/>
      <c r="M199" s="147"/>
      <c r="N199" s="149"/>
    </row>
    <row r="200" spans="1:47" x14ac:dyDescent="0.3">
      <c r="A200" s="149"/>
      <c r="B200" s="149"/>
      <c r="C200" s="149"/>
      <c r="D200" s="149"/>
      <c r="E200" s="149"/>
      <c r="F200" s="149"/>
      <c r="G200" s="149"/>
      <c r="H200" s="149"/>
      <c r="L200" s="147"/>
      <c r="M200" s="147"/>
      <c r="N200" s="14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  <c r="AP200" s="69"/>
      <c r="AQ200" s="69"/>
      <c r="AR200" s="69"/>
      <c r="AS200" s="69"/>
      <c r="AT200" s="148"/>
      <c r="AU200" s="148"/>
    </row>
    <row r="201" spans="1:47" x14ac:dyDescent="0.3">
      <c r="A201" s="149"/>
      <c r="B201" s="149"/>
      <c r="C201" s="149"/>
      <c r="D201" s="149"/>
      <c r="E201" s="149"/>
      <c r="F201" s="149"/>
      <c r="G201" s="149"/>
      <c r="H201" s="149"/>
      <c r="L201" s="147"/>
      <c r="M201" s="147"/>
      <c r="N201" s="149"/>
    </row>
    <row r="202" spans="1:47" x14ac:dyDescent="0.3">
      <c r="A202" s="149"/>
      <c r="B202" s="149"/>
      <c r="C202" s="149"/>
      <c r="D202" s="149"/>
      <c r="E202" s="149"/>
      <c r="F202" s="149"/>
      <c r="G202" s="149"/>
      <c r="H202" s="149"/>
      <c r="L202" s="147"/>
      <c r="M202" s="147"/>
      <c r="N202" s="149"/>
    </row>
    <row r="203" spans="1:47" x14ac:dyDescent="0.3">
      <c r="A203" s="149"/>
      <c r="B203" s="149"/>
      <c r="C203" s="149"/>
      <c r="D203" s="149"/>
      <c r="E203" s="149"/>
      <c r="F203" s="149"/>
      <c r="G203" s="149"/>
      <c r="H203" s="149"/>
      <c r="L203" s="147"/>
      <c r="M203" s="147"/>
      <c r="N203" s="149"/>
    </row>
    <row r="204" spans="1:47" x14ac:dyDescent="0.3">
      <c r="A204" s="149"/>
      <c r="B204" s="149"/>
      <c r="C204" s="149"/>
      <c r="D204" s="149"/>
      <c r="E204" s="149"/>
      <c r="F204" s="149"/>
      <c r="G204" s="149"/>
      <c r="H204" s="149"/>
      <c r="L204" s="147"/>
      <c r="M204" s="147"/>
      <c r="N204" s="149"/>
    </row>
    <row r="205" spans="1:47" x14ac:dyDescent="0.3">
      <c r="A205" s="149"/>
      <c r="B205" s="149"/>
      <c r="C205" s="149"/>
      <c r="D205" s="149"/>
      <c r="E205" s="149"/>
      <c r="F205" s="149"/>
      <c r="G205" s="149"/>
      <c r="H205" s="149"/>
      <c r="L205" s="147"/>
      <c r="M205" s="147"/>
      <c r="N205" s="149"/>
    </row>
    <row r="206" spans="1:47" x14ac:dyDescent="0.3">
      <c r="A206" s="149"/>
      <c r="B206" s="149"/>
      <c r="C206" s="149"/>
      <c r="D206" s="149"/>
      <c r="E206" s="149"/>
      <c r="F206" s="149"/>
      <c r="G206" s="149"/>
      <c r="H206" s="149"/>
      <c r="L206" s="147"/>
      <c r="M206" s="147"/>
      <c r="N206" s="149"/>
    </row>
    <row r="207" spans="1:47" x14ac:dyDescent="0.3">
      <c r="A207" s="149"/>
      <c r="B207" s="149"/>
      <c r="C207" s="149"/>
      <c r="D207" s="149"/>
      <c r="E207" s="149"/>
      <c r="F207" s="149"/>
      <c r="G207" s="149"/>
      <c r="H207" s="149"/>
      <c r="L207" s="147"/>
      <c r="M207" s="147"/>
      <c r="N207" s="149"/>
    </row>
    <row r="208" spans="1:47" x14ac:dyDescent="0.3">
      <c r="G208" s="149"/>
      <c r="H208" s="149"/>
      <c r="L208" s="147"/>
      <c r="M208" s="147"/>
    </row>
    <row r="209" spans="9:13" x14ac:dyDescent="0.3">
      <c r="L209" s="147"/>
      <c r="M209" s="147"/>
    </row>
    <row r="210" spans="9:13" x14ac:dyDescent="0.3">
      <c r="M210" s="147"/>
    </row>
    <row r="211" spans="9:13" x14ac:dyDescent="0.3">
      <c r="M211" s="147"/>
    </row>
    <row r="212" spans="9:13" x14ac:dyDescent="0.3">
      <c r="I212" s="148"/>
      <c r="J212" s="148"/>
      <c r="K212" s="148"/>
      <c r="M212" s="147"/>
    </row>
    <row r="213" spans="9:13" x14ac:dyDescent="0.3">
      <c r="M213" s="147"/>
    </row>
    <row r="214" spans="9:13" x14ac:dyDescent="0.3">
      <c r="L214" s="148"/>
      <c r="M214" s="147"/>
    </row>
    <row r="1048544" spans="1:58" s="70" customFormat="1" x14ac:dyDescent="0.3">
      <c r="A1048544" s="148"/>
      <c r="B1048544" s="148"/>
      <c r="C1048544" s="148"/>
      <c r="D1048544" s="148"/>
      <c r="E1048544" s="148"/>
      <c r="F1048544" s="148"/>
      <c r="G1048544" s="148"/>
      <c r="H1048544" s="148"/>
      <c r="I1048544" s="150"/>
      <c r="J1048544" s="150"/>
      <c r="K1048544" s="150"/>
      <c r="L1048544" s="150"/>
      <c r="M1048544" s="150"/>
      <c r="N1048544" s="148"/>
      <c r="AT1048544" s="69"/>
      <c r="AU1048544" s="69"/>
      <c r="AV1048544" s="148"/>
      <c r="AW1048544" s="148"/>
      <c r="AX1048544" s="148"/>
      <c r="AY1048544" s="148"/>
      <c r="AZ1048544" s="148"/>
      <c r="BA1048544" s="148"/>
      <c r="BB1048544" s="148"/>
      <c r="BC1048544" s="148"/>
      <c r="BD1048544" s="148"/>
      <c r="BE1048544" s="148"/>
      <c r="BF1048544" s="148"/>
    </row>
    <row r="1048552" spans="14:14" x14ac:dyDescent="0.3">
      <c r="N1048552" s="57"/>
    </row>
  </sheetData>
  <mergeCells count="58">
    <mergeCell ref="A39:N39"/>
    <mergeCell ref="A1:N1"/>
    <mergeCell ref="A2:N2"/>
    <mergeCell ref="A6:B6"/>
    <mergeCell ref="A8:N8"/>
    <mergeCell ref="A37:B37"/>
    <mergeCell ref="D40:H40"/>
    <mergeCell ref="D41:H41"/>
    <mergeCell ref="A42:H42"/>
    <mergeCell ref="L42:N42"/>
    <mergeCell ref="A43:L43"/>
    <mergeCell ref="L58:M58"/>
    <mergeCell ref="A44:N44"/>
    <mergeCell ref="D45:H45"/>
    <mergeCell ref="D46:H46"/>
    <mergeCell ref="D47:H47"/>
    <mergeCell ref="A49:H49"/>
    <mergeCell ref="A51:F51"/>
    <mergeCell ref="L51:N51"/>
    <mergeCell ref="L52:M52"/>
    <mergeCell ref="L53:M53"/>
    <mergeCell ref="L54:N55"/>
    <mergeCell ref="L56:N56"/>
    <mergeCell ref="L57:M57"/>
    <mergeCell ref="D48:H48"/>
    <mergeCell ref="L59:M59"/>
    <mergeCell ref="L60:M60"/>
    <mergeCell ref="L61:M61"/>
    <mergeCell ref="L62:M62"/>
    <mergeCell ref="L63:M63"/>
    <mergeCell ref="L64:M64"/>
    <mergeCell ref="L65:M65"/>
    <mergeCell ref="L66:M66"/>
    <mergeCell ref="L67:M67"/>
    <mergeCell ref="L68:M68"/>
    <mergeCell ref="L79:M79"/>
    <mergeCell ref="L69:M69"/>
    <mergeCell ref="L70:M70"/>
    <mergeCell ref="L71:M71"/>
    <mergeCell ref="L72:M72"/>
    <mergeCell ref="L73:M73"/>
    <mergeCell ref="L74:M74"/>
    <mergeCell ref="L90:M90"/>
    <mergeCell ref="A7:L7"/>
    <mergeCell ref="L86:M86"/>
    <mergeCell ref="L87:M87"/>
    <mergeCell ref="L88:M88"/>
    <mergeCell ref="L89:N89"/>
    <mergeCell ref="L80:M80"/>
    <mergeCell ref="L85:M85"/>
    <mergeCell ref="L84:M84"/>
    <mergeCell ref="L81:M81"/>
    <mergeCell ref="L82:M82"/>
    <mergeCell ref="L83:M83"/>
    <mergeCell ref="L75:M75"/>
    <mergeCell ref="L76:M76"/>
    <mergeCell ref="L77:M77"/>
    <mergeCell ref="L78:M78"/>
  </mergeCells>
  <pageMargins left="0" right="0" top="0" bottom="0" header="0.31496062992125984" footer="0.31496062992125984"/>
  <pageSetup paperSize="9" scale="1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07740-DED3-4325-A57C-665DB3086527}">
  <dimension ref="A1:BF1048548"/>
  <sheetViews>
    <sheetView topLeftCell="K46" zoomScale="70" zoomScaleNormal="70" workbookViewId="0">
      <selection activeCell="F9" sqref="F9"/>
    </sheetView>
  </sheetViews>
  <sheetFormatPr defaultColWidth="9.109375" defaultRowHeight="13.8" x14ac:dyDescent="0.3"/>
  <cols>
    <col min="1" max="1" width="29.44140625" style="148" customWidth="1"/>
    <col min="2" max="2" width="11.5546875" style="148" bestFit="1" customWidth="1"/>
    <col min="3" max="3" width="19.88671875" style="148" customWidth="1"/>
    <col min="4" max="4" width="19.44140625" style="148" customWidth="1"/>
    <col min="5" max="5" width="21.33203125" style="148" customWidth="1"/>
    <col min="6" max="6" width="19.109375" style="148" customWidth="1"/>
    <col min="7" max="7" width="17.5546875" style="148" customWidth="1"/>
    <col min="8" max="8" width="11.6640625" style="148" bestFit="1" customWidth="1"/>
    <col min="9" max="9" width="21.44140625" style="150" customWidth="1"/>
    <col min="10" max="10" width="17.109375" style="150" bestFit="1" customWidth="1"/>
    <col min="11" max="11" width="18" style="150" bestFit="1" customWidth="1"/>
    <col min="12" max="12" width="121.44140625" style="150" bestFit="1" customWidth="1"/>
    <col min="13" max="13" width="9.5546875" style="150" customWidth="1"/>
    <col min="14" max="14" width="18.5546875" style="148" customWidth="1"/>
    <col min="15" max="15" width="40.109375" style="70" bestFit="1" customWidth="1"/>
    <col min="16" max="16" width="13.109375" style="70" bestFit="1" customWidth="1"/>
    <col min="17" max="45" width="9.109375" style="70"/>
    <col min="46" max="47" width="9.109375" style="69"/>
    <col min="48" max="16384" width="9.109375" style="148"/>
  </cols>
  <sheetData>
    <row r="1" spans="1:45" s="10" customForma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</row>
    <row r="2" spans="1:45" s="11" customFormat="1" x14ac:dyDescent="0.3">
      <c r="A2" s="521" t="s">
        <v>549</v>
      </c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 spans="1:45" s="11" customFormat="1" ht="27.6" x14ac:dyDescent="0.3">
      <c r="A3" s="83" t="s">
        <v>3</v>
      </c>
      <c r="B3" s="83" t="s">
        <v>0</v>
      </c>
      <c r="C3" s="84" t="s">
        <v>1</v>
      </c>
      <c r="D3" s="84" t="s">
        <v>68</v>
      </c>
      <c r="E3" s="84" t="s">
        <v>69</v>
      </c>
      <c r="F3" s="85" t="s">
        <v>2</v>
      </c>
      <c r="G3" s="84" t="s">
        <v>6</v>
      </c>
      <c r="H3" s="84" t="s">
        <v>7</v>
      </c>
      <c r="I3" s="84" t="s">
        <v>4</v>
      </c>
      <c r="J3" s="84" t="s">
        <v>5</v>
      </c>
      <c r="K3" s="84" t="s">
        <v>70</v>
      </c>
      <c r="L3" s="83" t="s">
        <v>59</v>
      </c>
      <c r="M3" s="86" t="s">
        <v>8</v>
      </c>
      <c r="N3" s="86" t="s">
        <v>10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</row>
    <row r="4" spans="1:45" s="15" customFormat="1" x14ac:dyDescent="0.3">
      <c r="A4" s="88" t="s">
        <v>397</v>
      </c>
      <c r="B4" s="90">
        <v>1</v>
      </c>
      <c r="C4" s="2">
        <f>'GERAL 2022'!G35</f>
        <v>580</v>
      </c>
      <c r="D4" s="2">
        <v>0</v>
      </c>
      <c r="E4" s="2">
        <f t="shared" ref="E4:E22" si="0">C4-D4</f>
        <v>580</v>
      </c>
      <c r="F4" s="5">
        <v>50</v>
      </c>
      <c r="G4" s="2">
        <f>D48</f>
        <v>2.8368085106382979</v>
      </c>
      <c r="H4" s="2">
        <f>D47</f>
        <v>19.696666666666669</v>
      </c>
      <c r="I4" s="109">
        <f t="shared" ref="I4:I31" si="1">SUM(E4:H4)</f>
        <v>652.53347517730504</v>
      </c>
      <c r="J4" s="2">
        <f t="shared" ref="J4:J31" si="2">7%*I4</f>
        <v>45.677343262411355</v>
      </c>
      <c r="K4" s="2">
        <f>I4-J4</f>
        <v>606.85613191489369</v>
      </c>
      <c r="L4" s="5" t="s">
        <v>551</v>
      </c>
      <c r="M4" s="3">
        <v>10</v>
      </c>
      <c r="N4" s="3">
        <v>11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</row>
    <row r="5" spans="1:45" s="96" customFormat="1" x14ac:dyDescent="0.3">
      <c r="A5" s="90" t="s">
        <v>434</v>
      </c>
      <c r="B5" s="4">
        <v>2</v>
      </c>
      <c r="C5" s="5">
        <f>'GERAL 2022'!G4</f>
        <v>580</v>
      </c>
      <c r="D5" s="5">
        <v>0</v>
      </c>
      <c r="E5" s="5">
        <f t="shared" si="0"/>
        <v>580</v>
      </c>
      <c r="F5" s="5">
        <v>50</v>
      </c>
      <c r="G5" s="2">
        <f>D50</f>
        <v>2.8368085106382979</v>
      </c>
      <c r="H5" s="5">
        <f>D49</f>
        <v>19.696666666666669</v>
      </c>
      <c r="I5" s="109">
        <f t="shared" si="1"/>
        <v>652.53347517730504</v>
      </c>
      <c r="J5" s="2">
        <f t="shared" si="2"/>
        <v>45.677343262411355</v>
      </c>
      <c r="K5" s="2">
        <f>I5-J5</f>
        <v>606.85613191489369</v>
      </c>
      <c r="L5" s="90" t="s">
        <v>388</v>
      </c>
      <c r="M5" s="3">
        <v>10</v>
      </c>
      <c r="N5" s="3">
        <v>11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16"/>
      <c r="AK5" s="17"/>
      <c r="AL5" s="17"/>
      <c r="AM5" s="17"/>
      <c r="AN5" s="17"/>
    </row>
    <row r="6" spans="1:45" s="6" customFormat="1" x14ac:dyDescent="0.3">
      <c r="A6" s="90" t="s">
        <v>438</v>
      </c>
      <c r="B6" s="4">
        <v>3</v>
      </c>
      <c r="C6" s="5">
        <f>'GERAL 2022'!G5</f>
        <v>550</v>
      </c>
      <c r="D6" s="5">
        <v>0</v>
      </c>
      <c r="E6" s="5">
        <f t="shared" si="0"/>
        <v>550</v>
      </c>
      <c r="F6" s="5">
        <v>0</v>
      </c>
      <c r="G6" s="2">
        <f>D52</f>
        <v>2.8368085106382979</v>
      </c>
      <c r="H6" s="5">
        <f>D51</f>
        <v>19.641666666666666</v>
      </c>
      <c r="I6" s="109">
        <f t="shared" si="1"/>
        <v>572.47847517730497</v>
      </c>
      <c r="J6" s="2">
        <f t="shared" si="2"/>
        <v>40.073493262411354</v>
      </c>
      <c r="K6" s="2">
        <f>I6-J6</f>
        <v>532.4049819148936</v>
      </c>
      <c r="L6" s="90" t="s">
        <v>388</v>
      </c>
      <c r="M6" s="3">
        <v>10</v>
      </c>
      <c r="N6" s="3">
        <v>11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spans="1:45" s="15" customFormat="1" x14ac:dyDescent="0.3">
      <c r="A7" s="90" t="s">
        <v>263</v>
      </c>
      <c r="B7" s="90">
        <v>4</v>
      </c>
      <c r="C7" s="2">
        <f>'GERAL 2022'!G16</f>
        <v>550</v>
      </c>
      <c r="D7" s="2">
        <v>0</v>
      </c>
      <c r="E7" s="2">
        <f t="shared" si="0"/>
        <v>550</v>
      </c>
      <c r="F7" s="2">
        <v>50</v>
      </c>
      <c r="G7" s="2">
        <v>0</v>
      </c>
      <c r="H7" s="2">
        <v>0</v>
      </c>
      <c r="I7" s="109">
        <f t="shared" si="1"/>
        <v>600</v>
      </c>
      <c r="J7" s="2">
        <f t="shared" si="2"/>
        <v>42.000000000000007</v>
      </c>
      <c r="K7" s="2">
        <f>I7-J7</f>
        <v>558</v>
      </c>
      <c r="L7" s="90" t="s">
        <v>470</v>
      </c>
      <c r="M7" s="3">
        <v>10</v>
      </c>
      <c r="N7" s="4">
        <v>11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</row>
    <row r="8" spans="1:45" s="15" customFormat="1" x14ac:dyDescent="0.3">
      <c r="A8" s="90" t="s">
        <v>440</v>
      </c>
      <c r="B8" s="90">
        <v>5</v>
      </c>
      <c r="C8" s="2">
        <f>'GERAL 2022'!G7</f>
        <v>580</v>
      </c>
      <c r="D8" s="2">
        <v>0</v>
      </c>
      <c r="E8" s="2">
        <f t="shared" si="0"/>
        <v>580</v>
      </c>
      <c r="F8" s="2">
        <v>50</v>
      </c>
      <c r="G8" s="2">
        <f>D56</f>
        <v>2.8368085106382979</v>
      </c>
      <c r="H8" s="2">
        <f>D55</f>
        <v>19.696666666666669</v>
      </c>
      <c r="I8" s="109">
        <f t="shared" si="1"/>
        <v>652.53347517730504</v>
      </c>
      <c r="J8" s="2">
        <f t="shared" si="2"/>
        <v>45.677343262411355</v>
      </c>
      <c r="K8" s="2">
        <f>I8-J8</f>
        <v>606.85613191489369</v>
      </c>
      <c r="L8" s="90" t="s">
        <v>388</v>
      </c>
      <c r="M8" s="3">
        <v>10</v>
      </c>
      <c r="N8" s="3">
        <v>11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</row>
    <row r="9" spans="1:45" s="11" customFormat="1" x14ac:dyDescent="0.3">
      <c r="A9" s="95" t="s">
        <v>552</v>
      </c>
      <c r="B9" s="90">
        <v>6</v>
      </c>
      <c r="C9" s="5">
        <f>'GERAL 2022'!G36/31*22</f>
        <v>482.58064516129031</v>
      </c>
      <c r="D9" s="5">
        <v>0</v>
      </c>
      <c r="E9" s="5">
        <f t="shared" si="0"/>
        <v>482.58064516129031</v>
      </c>
      <c r="F9" s="2">
        <f>25/31*22</f>
        <v>17.741935483870968</v>
      </c>
      <c r="G9" s="2">
        <f>D58/31*22</f>
        <v>2.8235698924731185</v>
      </c>
      <c r="H9" s="2">
        <v>19.91</v>
      </c>
      <c r="I9" s="109">
        <f t="shared" si="1"/>
        <v>523.05615053763438</v>
      </c>
      <c r="J9" s="2">
        <f t="shared" si="2"/>
        <v>36.61393053763441</v>
      </c>
      <c r="K9" s="2">
        <f t="shared" ref="K9:K31" si="3">I9-J9</f>
        <v>486.44221999999996</v>
      </c>
      <c r="L9" s="90" t="s">
        <v>554</v>
      </c>
      <c r="M9" s="3">
        <v>10</v>
      </c>
      <c r="N9" s="3">
        <v>11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</row>
    <row r="10" spans="1:45" s="15" customFormat="1" ht="14.25" customHeight="1" x14ac:dyDescent="0.3">
      <c r="A10" s="90" t="s">
        <v>442</v>
      </c>
      <c r="B10" s="90">
        <v>7</v>
      </c>
      <c r="C10" s="2">
        <f>'GERAL 2022'!G9</f>
        <v>580</v>
      </c>
      <c r="D10" s="2">
        <v>0</v>
      </c>
      <c r="E10" s="5">
        <f t="shared" si="0"/>
        <v>580</v>
      </c>
      <c r="F10" s="2">
        <v>50</v>
      </c>
      <c r="G10" s="2">
        <f>D60</f>
        <v>2.8368085106382979</v>
      </c>
      <c r="H10" s="2">
        <f>D59</f>
        <v>19.696666666666669</v>
      </c>
      <c r="I10" s="109">
        <f t="shared" si="1"/>
        <v>652.53347517730504</v>
      </c>
      <c r="J10" s="2">
        <f t="shared" si="2"/>
        <v>45.677343262411355</v>
      </c>
      <c r="K10" s="2">
        <f t="shared" si="3"/>
        <v>606.85613191489369</v>
      </c>
      <c r="L10" s="90" t="s">
        <v>388</v>
      </c>
      <c r="M10" s="3">
        <v>10</v>
      </c>
      <c r="N10" s="3">
        <v>11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</row>
    <row r="11" spans="1:45" s="15" customFormat="1" x14ac:dyDescent="0.3">
      <c r="A11" s="90" t="s">
        <v>493</v>
      </c>
      <c r="B11" s="90">
        <v>8</v>
      </c>
      <c r="C11" s="2">
        <f>'GERAL 2022'!G37</f>
        <v>580</v>
      </c>
      <c r="D11" s="2">
        <v>0</v>
      </c>
      <c r="E11" s="5">
        <f t="shared" si="0"/>
        <v>580</v>
      </c>
      <c r="F11" s="2">
        <v>50</v>
      </c>
      <c r="G11" s="2">
        <f>D62</f>
        <v>2.8368085106382979</v>
      </c>
      <c r="H11" s="2">
        <f>D61</f>
        <v>19.696666666666669</v>
      </c>
      <c r="I11" s="109">
        <f t="shared" si="1"/>
        <v>652.53347517730504</v>
      </c>
      <c r="J11" s="2">
        <f t="shared" si="2"/>
        <v>45.677343262411355</v>
      </c>
      <c r="K11" s="2">
        <f t="shared" si="3"/>
        <v>606.85613191489369</v>
      </c>
      <c r="L11" s="90" t="s">
        <v>338</v>
      </c>
      <c r="M11" s="125">
        <v>10</v>
      </c>
      <c r="N11" s="3">
        <v>11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</row>
    <row r="12" spans="1:45" s="15" customFormat="1" ht="14.25" customHeight="1" x14ac:dyDescent="0.3">
      <c r="A12" s="90" t="s">
        <v>246</v>
      </c>
      <c r="B12" s="90">
        <v>9</v>
      </c>
      <c r="C12" s="2">
        <f>'GERAL 2022'!G11</f>
        <v>580</v>
      </c>
      <c r="D12" s="2">
        <v>0</v>
      </c>
      <c r="E12" s="5">
        <f t="shared" si="0"/>
        <v>580</v>
      </c>
      <c r="F12" s="2">
        <f>25</f>
        <v>25</v>
      </c>
      <c r="G12" s="2">
        <v>0</v>
      </c>
      <c r="H12" s="2">
        <v>0</v>
      </c>
      <c r="I12" s="109">
        <f t="shared" si="1"/>
        <v>605</v>
      </c>
      <c r="J12" s="2">
        <f t="shared" si="2"/>
        <v>42.35</v>
      </c>
      <c r="K12" s="2">
        <f t="shared" si="3"/>
        <v>562.65</v>
      </c>
      <c r="L12" s="90" t="s">
        <v>470</v>
      </c>
      <c r="M12" s="125">
        <v>10</v>
      </c>
      <c r="N12" s="3">
        <v>11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</row>
    <row r="13" spans="1:45" s="69" customFormat="1" x14ac:dyDescent="0.3">
      <c r="A13" s="4" t="s">
        <v>402</v>
      </c>
      <c r="B13" s="4">
        <v>10</v>
      </c>
      <c r="C13" s="2">
        <f>'GERAL 2022'!G38</f>
        <v>550</v>
      </c>
      <c r="D13" s="2">
        <v>0</v>
      </c>
      <c r="E13" s="5">
        <f t="shared" si="0"/>
        <v>550</v>
      </c>
      <c r="F13" s="2">
        <v>50</v>
      </c>
      <c r="G13" s="2">
        <f>D66</f>
        <v>2.8368085106382979</v>
      </c>
      <c r="H13" s="2">
        <f>D65</f>
        <v>19.641666666666666</v>
      </c>
      <c r="I13" s="109">
        <f t="shared" si="1"/>
        <v>622.47847517730497</v>
      </c>
      <c r="J13" s="2">
        <f t="shared" si="2"/>
        <v>43.573493262411354</v>
      </c>
      <c r="K13" s="2">
        <f t="shared" si="3"/>
        <v>578.9049819148936</v>
      </c>
      <c r="L13" s="90" t="s">
        <v>430</v>
      </c>
      <c r="M13" s="3">
        <v>10</v>
      </c>
      <c r="N13" s="4">
        <v>11</v>
      </c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</row>
    <row r="14" spans="1:45" s="69" customFormat="1" ht="15" customHeight="1" x14ac:dyDescent="0.3">
      <c r="A14" s="4" t="s">
        <v>321</v>
      </c>
      <c r="B14" s="4">
        <v>11</v>
      </c>
      <c r="C14" s="2">
        <f>'GERAL 2022'!G13</f>
        <v>550</v>
      </c>
      <c r="D14" s="2">
        <v>0</v>
      </c>
      <c r="E14" s="5">
        <f t="shared" si="0"/>
        <v>550</v>
      </c>
      <c r="F14" s="2">
        <v>0</v>
      </c>
      <c r="G14" s="2">
        <v>0</v>
      </c>
      <c r="H14" s="2">
        <v>0</v>
      </c>
      <c r="I14" s="109">
        <f t="shared" si="1"/>
        <v>550</v>
      </c>
      <c r="J14" s="2">
        <f t="shared" si="2"/>
        <v>38.500000000000007</v>
      </c>
      <c r="K14" s="2">
        <f>I14-J14</f>
        <v>511.5</v>
      </c>
      <c r="L14" s="5" t="s">
        <v>470</v>
      </c>
      <c r="M14" s="3">
        <v>10</v>
      </c>
      <c r="N14" s="4">
        <v>11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</row>
    <row r="15" spans="1:45" s="15" customFormat="1" x14ac:dyDescent="0.3">
      <c r="A15" s="90" t="s">
        <v>566</v>
      </c>
      <c r="B15" s="90">
        <v>12</v>
      </c>
      <c r="C15" s="2">
        <f>'GERAL 2022'!G14</f>
        <v>550</v>
      </c>
      <c r="D15" s="2">
        <v>0</v>
      </c>
      <c r="E15" s="5">
        <f t="shared" si="0"/>
        <v>550</v>
      </c>
      <c r="F15" s="5">
        <v>25</v>
      </c>
      <c r="G15" s="2">
        <f>D70</f>
        <v>2.8368085106382979</v>
      </c>
      <c r="H15" s="5">
        <v>19.64</v>
      </c>
      <c r="I15" s="109">
        <f t="shared" si="1"/>
        <v>597.47680851063831</v>
      </c>
      <c r="J15" s="2">
        <f t="shared" si="2"/>
        <v>41.823376595744683</v>
      </c>
      <c r="K15" s="2">
        <f t="shared" si="3"/>
        <v>555.65343191489364</v>
      </c>
      <c r="L15" s="90" t="s">
        <v>430</v>
      </c>
      <c r="M15" s="3">
        <v>10</v>
      </c>
      <c r="N15" s="3">
        <v>11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</row>
    <row r="16" spans="1:45" s="11" customFormat="1" x14ac:dyDescent="0.3">
      <c r="A16" s="90" t="s">
        <v>362</v>
      </c>
      <c r="B16" s="90">
        <v>13</v>
      </c>
      <c r="C16" s="5">
        <f>'GERAL 2022'!G15</f>
        <v>550</v>
      </c>
      <c r="D16" s="5">
        <v>0</v>
      </c>
      <c r="E16" s="5">
        <f t="shared" si="0"/>
        <v>550</v>
      </c>
      <c r="F16" s="2">
        <v>0</v>
      </c>
      <c r="G16" s="2">
        <v>0</v>
      </c>
      <c r="H16" s="2">
        <f>D71</f>
        <v>19.641666666666666</v>
      </c>
      <c r="I16" s="109">
        <f t="shared" si="1"/>
        <v>569.64166666666665</v>
      </c>
      <c r="J16" s="2">
        <f t="shared" si="2"/>
        <v>39.874916666666671</v>
      </c>
      <c r="K16" s="2">
        <f>I16-J16</f>
        <v>529.76675</v>
      </c>
      <c r="L16" s="90" t="s">
        <v>390</v>
      </c>
      <c r="M16" s="3">
        <v>10</v>
      </c>
      <c r="N16" s="3">
        <v>11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</row>
    <row r="17" spans="1:45" s="69" customFormat="1" ht="15.75" customHeight="1" x14ac:dyDescent="0.3">
      <c r="A17" s="4" t="s">
        <v>291</v>
      </c>
      <c r="B17" s="4">
        <v>14</v>
      </c>
      <c r="C17" s="2">
        <f>'GERAL 2022'!G16/31*15</f>
        <v>266.12903225806451</v>
      </c>
      <c r="D17" s="2">
        <v>0</v>
      </c>
      <c r="E17" s="5">
        <f t="shared" si="0"/>
        <v>266.12903225806451</v>
      </c>
      <c r="F17" s="2">
        <v>0</v>
      </c>
      <c r="G17" s="2">
        <v>0</v>
      </c>
      <c r="H17" s="2">
        <v>0</v>
      </c>
      <c r="I17" s="109">
        <f t="shared" si="1"/>
        <v>266.12903225806451</v>
      </c>
      <c r="J17" s="2">
        <f t="shared" si="2"/>
        <v>18.629032258064516</v>
      </c>
      <c r="K17" s="2">
        <f t="shared" si="3"/>
        <v>247.5</v>
      </c>
      <c r="L17" s="90" t="s">
        <v>555</v>
      </c>
      <c r="M17" s="3">
        <v>10</v>
      </c>
      <c r="N17" s="4">
        <v>11</v>
      </c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</row>
    <row r="18" spans="1:45" s="69" customFormat="1" x14ac:dyDescent="0.3">
      <c r="A18" s="96" t="s">
        <v>559</v>
      </c>
      <c r="B18" s="4">
        <v>14</v>
      </c>
      <c r="C18" s="2">
        <f>'GERAL 2022'!G39/31*5</f>
        <v>93.548387096774206</v>
      </c>
      <c r="D18" s="2">
        <v>0</v>
      </c>
      <c r="E18" s="5">
        <f t="shared" si="0"/>
        <v>93.548387096774206</v>
      </c>
      <c r="F18" s="2">
        <f>50/31*5</f>
        <v>8.064516129032258</v>
      </c>
      <c r="G18" s="2">
        <f>D76/31*5</f>
        <v>0.45754975978037066</v>
      </c>
      <c r="H18" s="2">
        <f>D75</f>
        <v>19.696666666666669</v>
      </c>
      <c r="I18" s="109">
        <f>SUM(E18:H18)</f>
        <v>121.76711965225351</v>
      </c>
      <c r="J18" s="2">
        <f t="shared" si="2"/>
        <v>8.5236983756577462</v>
      </c>
      <c r="K18" s="2">
        <f t="shared" si="3"/>
        <v>113.24342127659577</v>
      </c>
      <c r="L18" s="90" t="s">
        <v>562</v>
      </c>
      <c r="M18" s="3">
        <v>10</v>
      </c>
      <c r="N18" s="4">
        <v>11</v>
      </c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</row>
    <row r="19" spans="1:45" s="6" customFormat="1" x14ac:dyDescent="0.3">
      <c r="A19" s="90" t="s">
        <v>272</v>
      </c>
      <c r="B19" s="90">
        <v>15</v>
      </c>
      <c r="C19" s="2">
        <f>'GERAL 2022'!G40</f>
        <v>650</v>
      </c>
      <c r="D19" s="2">
        <v>0</v>
      </c>
      <c r="E19" s="5">
        <f t="shared" si="0"/>
        <v>650</v>
      </c>
      <c r="F19" s="2">
        <v>25</v>
      </c>
      <c r="G19" s="2">
        <v>0</v>
      </c>
      <c r="H19" s="2">
        <v>0</v>
      </c>
      <c r="I19" s="109">
        <f t="shared" si="1"/>
        <v>675</v>
      </c>
      <c r="J19" s="2">
        <f t="shared" si="2"/>
        <v>47.250000000000007</v>
      </c>
      <c r="K19" s="2">
        <f t="shared" si="3"/>
        <v>627.75</v>
      </c>
      <c r="L19" s="90" t="s">
        <v>470</v>
      </c>
      <c r="M19" s="3">
        <v>10</v>
      </c>
      <c r="N19" s="3">
        <v>11</v>
      </c>
      <c r="O19" s="9"/>
      <c r="P19" s="9"/>
      <c r="Q19" s="9"/>
      <c r="R19" s="9"/>
      <c r="S19" s="9"/>
      <c r="T19" s="9"/>
      <c r="U19" s="9"/>
      <c r="V19" s="9"/>
      <c r="W19" s="9"/>
    </row>
    <row r="20" spans="1:45" s="11" customFormat="1" x14ac:dyDescent="0.3">
      <c r="A20" s="3" t="s">
        <v>100</v>
      </c>
      <c r="B20" s="3">
        <v>16</v>
      </c>
      <c r="C20" s="2">
        <f>'GERAL 2022'!G18+(10.72339%*640)</f>
        <v>708.62969599999997</v>
      </c>
      <c r="D20" s="2"/>
      <c r="E20" s="5">
        <f t="shared" si="0"/>
        <v>708.62969599999997</v>
      </c>
      <c r="F20" s="2">
        <f>60</f>
        <v>60</v>
      </c>
      <c r="G20" s="2">
        <v>0</v>
      </c>
      <c r="H20" s="2">
        <v>19.82</v>
      </c>
      <c r="I20" s="109">
        <f t="shared" si="1"/>
        <v>788.44969600000002</v>
      </c>
      <c r="J20" s="2">
        <f t="shared" si="2"/>
        <v>55.191478720000006</v>
      </c>
      <c r="K20" s="2">
        <f t="shared" si="3"/>
        <v>733.25821728000005</v>
      </c>
      <c r="L20" s="90" t="s">
        <v>558</v>
      </c>
      <c r="M20" s="3">
        <v>10</v>
      </c>
      <c r="N20" s="3">
        <v>11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</row>
    <row r="21" spans="1:45" s="11" customFormat="1" x14ac:dyDescent="0.3">
      <c r="A21" s="88" t="s">
        <v>392</v>
      </c>
      <c r="B21" s="88">
        <v>17</v>
      </c>
      <c r="C21" s="2">
        <f>'GERAL 2022'!G41</f>
        <v>580</v>
      </c>
      <c r="D21" s="2">
        <v>0</v>
      </c>
      <c r="E21" s="5">
        <f t="shared" si="0"/>
        <v>580</v>
      </c>
      <c r="F21" s="2">
        <v>0</v>
      </c>
      <c r="G21" s="2">
        <f>D82</f>
        <v>2.8368085106382979</v>
      </c>
      <c r="H21" s="2">
        <f>D81</f>
        <v>19.696666666666669</v>
      </c>
      <c r="I21" s="109">
        <f t="shared" si="1"/>
        <v>602.53347517730504</v>
      </c>
      <c r="J21" s="2">
        <f t="shared" si="2"/>
        <v>42.177343262411355</v>
      </c>
      <c r="K21" s="2">
        <f t="shared" si="3"/>
        <v>560.35613191489369</v>
      </c>
      <c r="L21" s="5" t="s">
        <v>430</v>
      </c>
      <c r="M21" s="3">
        <v>10</v>
      </c>
      <c r="N21" s="3">
        <v>11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</row>
    <row r="22" spans="1:45" s="11" customFormat="1" x14ac:dyDescent="0.3">
      <c r="A22" s="88" t="s">
        <v>103</v>
      </c>
      <c r="B22" s="90">
        <v>18</v>
      </c>
      <c r="C22" s="2">
        <f>'GERAL 2022'!G20+(10.72339%*650)</f>
        <v>719.70203500000002</v>
      </c>
      <c r="D22" s="2">
        <v>0</v>
      </c>
      <c r="E22" s="5">
        <f t="shared" si="0"/>
        <v>719.70203500000002</v>
      </c>
      <c r="F22" s="2">
        <f>30</f>
        <v>30</v>
      </c>
      <c r="G22" s="2"/>
      <c r="H22" s="2">
        <f>D83</f>
        <v>19.836666666666666</v>
      </c>
      <c r="I22" s="109">
        <f t="shared" si="1"/>
        <v>769.53870166666673</v>
      </c>
      <c r="J22" s="2">
        <f t="shared" si="2"/>
        <v>53.867709116666674</v>
      </c>
      <c r="K22" s="2">
        <f t="shared" si="3"/>
        <v>715.67099255000005</v>
      </c>
      <c r="L22" s="90" t="s">
        <v>558</v>
      </c>
      <c r="M22" s="3">
        <v>10</v>
      </c>
      <c r="N22" s="3">
        <v>11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</row>
    <row r="23" spans="1:45" s="11" customFormat="1" x14ac:dyDescent="0.3">
      <c r="A23" s="90" t="s">
        <v>500</v>
      </c>
      <c r="B23" s="90">
        <v>19</v>
      </c>
      <c r="C23" s="2">
        <f>'GERAL 2022'!G43</f>
        <v>550</v>
      </c>
      <c r="D23" s="2">
        <v>0</v>
      </c>
      <c r="E23" s="5">
        <f>(C23-D23)</f>
        <v>550</v>
      </c>
      <c r="F23" s="2">
        <v>50</v>
      </c>
      <c r="G23" s="2">
        <f>D86</f>
        <v>2.8368085106382979</v>
      </c>
      <c r="H23" s="2">
        <f>D85</f>
        <v>19.641666666666666</v>
      </c>
      <c r="I23" s="109">
        <f t="shared" si="1"/>
        <v>622.47847517730497</v>
      </c>
      <c r="J23" s="2">
        <f t="shared" si="2"/>
        <v>43.573493262411354</v>
      </c>
      <c r="K23" s="2">
        <f t="shared" si="3"/>
        <v>578.9049819148936</v>
      </c>
      <c r="L23" s="90" t="s">
        <v>338</v>
      </c>
      <c r="M23" s="3">
        <v>10</v>
      </c>
      <c r="N23" s="3">
        <v>11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</row>
    <row r="24" spans="1:45" s="11" customFormat="1" x14ac:dyDescent="0.3">
      <c r="A24" s="88" t="s">
        <v>345</v>
      </c>
      <c r="B24" s="90">
        <v>20</v>
      </c>
      <c r="C24" s="2">
        <f>'GERAL 2022'!G22</f>
        <v>660</v>
      </c>
      <c r="D24" s="2">
        <v>0</v>
      </c>
      <c r="E24" s="5">
        <f t="shared" ref="E24:E31" si="4">C24-D24</f>
        <v>660</v>
      </c>
      <c r="F24" s="2">
        <v>50</v>
      </c>
      <c r="G24" s="2">
        <v>0</v>
      </c>
      <c r="H24" s="2">
        <f>D87</f>
        <v>19.853333333333335</v>
      </c>
      <c r="I24" s="109">
        <f t="shared" si="1"/>
        <v>729.85333333333335</v>
      </c>
      <c r="J24" s="2">
        <f>7%*I24</f>
        <v>51.089733333333342</v>
      </c>
      <c r="K24" s="2">
        <f>I24-J24</f>
        <v>678.7636</v>
      </c>
      <c r="L24" s="90" t="s">
        <v>390</v>
      </c>
      <c r="M24" s="125">
        <v>10</v>
      </c>
      <c r="N24" s="3">
        <v>11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</row>
    <row r="25" spans="1:45" s="11" customFormat="1" x14ac:dyDescent="0.3">
      <c r="A25" s="88" t="s">
        <v>346</v>
      </c>
      <c r="B25" s="90">
        <v>21</v>
      </c>
      <c r="C25" s="2">
        <f>'GERAL 2022'!G23</f>
        <v>500</v>
      </c>
      <c r="D25" s="2">
        <v>0</v>
      </c>
      <c r="E25" s="5">
        <f t="shared" si="4"/>
        <v>500</v>
      </c>
      <c r="F25" s="2">
        <v>25</v>
      </c>
      <c r="G25" s="2">
        <v>0</v>
      </c>
      <c r="H25" s="2">
        <f>D89</f>
        <v>19.543333333333333</v>
      </c>
      <c r="I25" s="109">
        <f t="shared" si="1"/>
        <v>544.54333333333329</v>
      </c>
      <c r="J25" s="2">
        <f>7%*I25</f>
        <v>38.118033333333337</v>
      </c>
      <c r="K25" s="2">
        <f t="shared" si="3"/>
        <v>506.42529999999994</v>
      </c>
      <c r="L25" s="90" t="s">
        <v>390</v>
      </c>
      <c r="M25" s="125">
        <v>10</v>
      </c>
      <c r="N25" s="3">
        <v>11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</row>
    <row r="26" spans="1:45" s="11" customFormat="1" ht="15.75" customHeight="1" x14ac:dyDescent="0.3">
      <c r="A26" s="88" t="s">
        <v>119</v>
      </c>
      <c r="B26" s="90">
        <v>22</v>
      </c>
      <c r="C26" s="2">
        <f>'GERAL 2022'!G24</f>
        <v>500</v>
      </c>
      <c r="D26" s="2">
        <v>0</v>
      </c>
      <c r="E26" s="5">
        <f t="shared" si="4"/>
        <v>500</v>
      </c>
      <c r="F26" s="2">
        <v>25</v>
      </c>
      <c r="G26" s="2">
        <v>0</v>
      </c>
      <c r="H26" s="2">
        <f>D91</f>
        <v>19.543333333333333</v>
      </c>
      <c r="I26" s="109">
        <f t="shared" si="1"/>
        <v>544.54333333333329</v>
      </c>
      <c r="J26" s="2">
        <f t="shared" si="2"/>
        <v>38.118033333333337</v>
      </c>
      <c r="K26" s="2">
        <f t="shared" si="3"/>
        <v>506.42529999999994</v>
      </c>
      <c r="L26" s="90" t="s">
        <v>390</v>
      </c>
      <c r="M26" s="125">
        <v>10</v>
      </c>
      <c r="N26" s="3">
        <v>11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</row>
    <row r="27" spans="1:45" s="11" customFormat="1" x14ac:dyDescent="0.3">
      <c r="A27" s="88" t="s">
        <v>379</v>
      </c>
      <c r="B27" s="90">
        <v>23</v>
      </c>
      <c r="C27" s="2">
        <f>'GERAL 2022'!G25</f>
        <v>550</v>
      </c>
      <c r="D27" s="2">
        <v>0</v>
      </c>
      <c r="E27" s="5">
        <f t="shared" si="4"/>
        <v>550</v>
      </c>
      <c r="F27" s="2">
        <v>0</v>
      </c>
      <c r="G27" s="2">
        <v>0</v>
      </c>
      <c r="H27" s="2">
        <f>D93</f>
        <v>19.641666666666666</v>
      </c>
      <c r="I27" s="109">
        <f t="shared" si="1"/>
        <v>569.64166666666665</v>
      </c>
      <c r="J27" s="2">
        <f t="shared" si="2"/>
        <v>39.874916666666671</v>
      </c>
      <c r="K27" s="2">
        <f>I27-J27</f>
        <v>529.76675</v>
      </c>
      <c r="L27" s="90" t="s">
        <v>390</v>
      </c>
      <c r="M27" s="3">
        <v>10</v>
      </c>
      <c r="N27" s="3">
        <v>11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</row>
    <row r="28" spans="1:45" s="6" customFormat="1" x14ac:dyDescent="0.3">
      <c r="A28" s="90" t="s">
        <v>267</v>
      </c>
      <c r="B28" s="90">
        <v>24</v>
      </c>
      <c r="C28" s="2">
        <f>'GERAL 2022'!G26</f>
        <v>650</v>
      </c>
      <c r="D28" s="2">
        <v>0</v>
      </c>
      <c r="E28" s="5">
        <f t="shared" si="4"/>
        <v>650</v>
      </c>
      <c r="F28" s="2">
        <v>50</v>
      </c>
      <c r="G28" s="2">
        <v>0</v>
      </c>
      <c r="H28" s="2">
        <v>0</v>
      </c>
      <c r="I28" s="109">
        <f t="shared" si="1"/>
        <v>700</v>
      </c>
      <c r="J28" s="2">
        <f>7%*I28</f>
        <v>49.000000000000007</v>
      </c>
      <c r="K28" s="2">
        <f t="shared" si="3"/>
        <v>651</v>
      </c>
      <c r="L28" s="90" t="s">
        <v>470</v>
      </c>
      <c r="M28" s="125">
        <v>10</v>
      </c>
      <c r="N28" s="3">
        <v>11</v>
      </c>
      <c r="O28" s="9"/>
      <c r="P28" s="9"/>
      <c r="Q28" s="9"/>
      <c r="R28" s="9"/>
      <c r="S28" s="9"/>
      <c r="T28" s="9"/>
      <c r="U28" s="9"/>
      <c r="V28" s="9"/>
      <c r="W28" s="9"/>
    </row>
    <row r="29" spans="1:45" s="6" customFormat="1" x14ac:dyDescent="0.3">
      <c r="A29" s="15" t="s">
        <v>563</v>
      </c>
      <c r="B29" s="90">
        <v>25</v>
      </c>
      <c r="C29" s="2">
        <f>'GERAL 2022'!G44/31*13</f>
        <v>255.8064516129032</v>
      </c>
      <c r="D29" s="2">
        <v>0</v>
      </c>
      <c r="E29" s="5">
        <f t="shared" si="4"/>
        <v>255.8064516129032</v>
      </c>
      <c r="F29" s="2">
        <v>0</v>
      </c>
      <c r="G29" s="2">
        <f>D98/31*13</f>
        <v>1.1896293754289637</v>
      </c>
      <c r="H29" s="2">
        <v>19.78</v>
      </c>
      <c r="I29" s="109">
        <f t="shared" si="1"/>
        <v>276.77608098833218</v>
      </c>
      <c r="J29" s="2">
        <f>7%*I29</f>
        <v>19.374325669183253</v>
      </c>
      <c r="K29" s="2">
        <f t="shared" si="3"/>
        <v>257.40175531914895</v>
      </c>
      <c r="L29" s="90" t="s">
        <v>565</v>
      </c>
      <c r="M29" s="125">
        <v>10</v>
      </c>
      <c r="N29" s="3">
        <v>11</v>
      </c>
      <c r="O29" s="9"/>
      <c r="P29" s="9"/>
      <c r="Q29" s="9"/>
      <c r="R29" s="9"/>
      <c r="S29" s="9"/>
      <c r="T29" s="9"/>
      <c r="U29" s="9"/>
      <c r="V29" s="9"/>
      <c r="W29" s="9"/>
    </row>
    <row r="30" spans="1:45" s="11" customFormat="1" x14ac:dyDescent="0.3">
      <c r="A30" s="88" t="s">
        <v>348</v>
      </c>
      <c r="B30" s="90">
        <v>26</v>
      </c>
      <c r="C30" s="2">
        <f>'GERAL 2022'!G28</f>
        <v>560</v>
      </c>
      <c r="D30" s="2">
        <v>0</v>
      </c>
      <c r="E30" s="5">
        <f t="shared" si="4"/>
        <v>560</v>
      </c>
      <c r="F30" s="2">
        <v>25</v>
      </c>
      <c r="G30" s="2">
        <v>0</v>
      </c>
      <c r="H30" s="2">
        <f>D99</f>
        <v>19.658333333333335</v>
      </c>
      <c r="I30" s="109">
        <f t="shared" si="1"/>
        <v>604.6583333333333</v>
      </c>
      <c r="J30" s="2">
        <f t="shared" si="2"/>
        <v>42.326083333333337</v>
      </c>
      <c r="K30" s="2">
        <f t="shared" si="3"/>
        <v>562.33224999999993</v>
      </c>
      <c r="L30" s="90" t="s">
        <v>390</v>
      </c>
      <c r="M30" s="3">
        <v>10</v>
      </c>
      <c r="N30" s="3">
        <v>11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</row>
    <row r="31" spans="1:45" s="11" customFormat="1" x14ac:dyDescent="0.3">
      <c r="A31" s="88" t="s">
        <v>349</v>
      </c>
      <c r="B31" s="90">
        <v>27</v>
      </c>
      <c r="C31" s="72">
        <f>'GERAL 2022'!G45</f>
        <v>580</v>
      </c>
      <c r="D31" s="72">
        <v>0</v>
      </c>
      <c r="E31" s="5">
        <f t="shared" si="4"/>
        <v>580</v>
      </c>
      <c r="F31" s="72">
        <v>0</v>
      </c>
      <c r="G31" s="72">
        <v>0</v>
      </c>
      <c r="H31" s="72">
        <f>D101</f>
        <v>19.696666666666669</v>
      </c>
      <c r="I31" s="109">
        <f t="shared" si="1"/>
        <v>599.69666666666672</v>
      </c>
      <c r="J31" s="2">
        <f t="shared" si="2"/>
        <v>41.978766666666672</v>
      </c>
      <c r="K31" s="2">
        <f t="shared" si="3"/>
        <v>557.7179000000001</v>
      </c>
      <c r="L31" s="90" t="s">
        <v>390</v>
      </c>
      <c r="M31" s="3">
        <v>10</v>
      </c>
      <c r="N31" s="3">
        <v>11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</row>
    <row r="32" spans="1:45" s="11" customFormat="1" x14ac:dyDescent="0.3">
      <c r="A32" s="518" t="s">
        <v>4</v>
      </c>
      <c r="B32" s="518"/>
      <c r="C32" s="109">
        <f t="shared" ref="C32:K32" si="5">SUM(C4:C31)</f>
        <v>15086.396247129032</v>
      </c>
      <c r="D32" s="109">
        <f t="shared" si="5"/>
        <v>0</v>
      </c>
      <c r="E32" s="109">
        <f t="shared" si="5"/>
        <v>15086.396247129032</v>
      </c>
      <c r="F32" s="109">
        <f t="shared" si="5"/>
        <v>765.80645161290317</v>
      </c>
      <c r="G32" s="109">
        <f t="shared" si="5"/>
        <v>32.838834134065436</v>
      </c>
      <c r="H32" s="109">
        <f t="shared" si="5"/>
        <v>433.36666666666667</v>
      </c>
      <c r="I32" s="109">
        <f>SUM(I4:I31)</f>
        <v>16318.408199542664</v>
      </c>
      <c r="J32" s="109">
        <f t="shared" si="5"/>
        <v>1142.2885739679868</v>
      </c>
      <c r="K32" s="109">
        <f t="shared" si="5"/>
        <v>15176.119625574684</v>
      </c>
      <c r="L32" s="90"/>
      <c r="M32" s="3"/>
      <c r="N32" s="3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</row>
    <row r="33" spans="1:58" s="11" customFormat="1" x14ac:dyDescent="0.3">
      <c r="A33" s="95"/>
      <c r="B33" s="95"/>
      <c r="C33" s="109"/>
      <c r="D33" s="109"/>
      <c r="E33" s="109"/>
      <c r="F33" s="109"/>
      <c r="G33" s="109"/>
      <c r="H33" s="109"/>
      <c r="I33" s="109"/>
      <c r="J33" s="109"/>
      <c r="K33" s="109"/>
      <c r="L33" s="90"/>
      <c r="M33" s="3"/>
      <c r="N33" s="3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</row>
    <row r="34" spans="1:58" s="11" customFormat="1" ht="28.5" customHeight="1" x14ac:dyDescent="0.3">
      <c r="A34" s="521" t="s">
        <v>550</v>
      </c>
      <c r="B34" s="521"/>
      <c r="C34" s="521"/>
      <c r="D34" s="521"/>
      <c r="E34" s="521"/>
      <c r="F34" s="521"/>
      <c r="G34" s="521"/>
      <c r="H34" s="521"/>
      <c r="I34" s="521"/>
      <c r="J34" s="521"/>
      <c r="K34" s="521"/>
      <c r="L34" s="521"/>
      <c r="M34" s="521"/>
      <c r="N34" s="521"/>
      <c r="O34" s="10"/>
      <c r="P34" s="10"/>
      <c r="Q34" s="10"/>
      <c r="R34" s="10"/>
      <c r="S34" s="10"/>
      <c r="T34" s="10"/>
      <c r="U34" s="10"/>
      <c r="V34" s="10"/>
      <c r="W34" s="10"/>
    </row>
    <row r="35" spans="1:58" s="11" customFormat="1" ht="27.75" customHeight="1" x14ac:dyDescent="0.3">
      <c r="A35" s="127" t="s">
        <v>3</v>
      </c>
      <c r="B35" s="127" t="s">
        <v>0</v>
      </c>
      <c r="C35" s="128" t="s">
        <v>174</v>
      </c>
      <c r="D35" s="555" t="s">
        <v>175</v>
      </c>
      <c r="E35" s="556"/>
      <c r="F35" s="556"/>
      <c r="G35" s="556"/>
      <c r="H35" s="557"/>
      <c r="I35" s="128" t="s">
        <v>4</v>
      </c>
      <c r="J35" s="128" t="s">
        <v>5</v>
      </c>
      <c r="K35" s="128" t="s">
        <v>70</v>
      </c>
      <c r="L35" s="127" t="s">
        <v>59</v>
      </c>
      <c r="M35" s="130" t="s">
        <v>8</v>
      </c>
      <c r="N35" s="130" t="s">
        <v>10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58" s="69" customFormat="1" x14ac:dyDescent="0.3">
      <c r="A36" s="4" t="s">
        <v>291</v>
      </c>
      <c r="B36" s="4">
        <v>14</v>
      </c>
      <c r="C36" s="72">
        <v>1265</v>
      </c>
      <c r="D36" s="546" t="s">
        <v>556</v>
      </c>
      <c r="E36" s="547"/>
      <c r="F36" s="547"/>
      <c r="G36" s="547"/>
      <c r="H36" s="548"/>
      <c r="I36" s="72">
        <v>1265</v>
      </c>
      <c r="J36" s="5">
        <f>7%*I36</f>
        <v>88.550000000000011</v>
      </c>
      <c r="K36" s="5">
        <f>I36-J36</f>
        <v>1176.45</v>
      </c>
      <c r="L36" s="90" t="s">
        <v>557</v>
      </c>
      <c r="M36" s="140">
        <v>10</v>
      </c>
      <c r="N36" s="4">
        <v>11</v>
      </c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</row>
    <row r="37" spans="1:58" s="69" customFormat="1" ht="33.75" customHeight="1" x14ac:dyDescent="0.3">
      <c r="A37" s="90" t="s">
        <v>440</v>
      </c>
      <c r="B37" s="90">
        <v>5</v>
      </c>
      <c r="C37" s="72">
        <v>722.03</v>
      </c>
      <c r="D37" s="546" t="s">
        <v>580</v>
      </c>
      <c r="E37" s="547"/>
      <c r="F37" s="547"/>
      <c r="G37" s="547"/>
      <c r="H37" s="548"/>
      <c r="I37" s="72">
        <f>580+50+2.84+19.7+69.49</f>
        <v>722.03000000000009</v>
      </c>
      <c r="J37" s="5">
        <f>7%*I37</f>
        <v>50.542100000000012</v>
      </c>
      <c r="K37" s="5">
        <f>I37-J37</f>
        <v>671.48790000000008</v>
      </c>
      <c r="L37" s="90" t="s">
        <v>577</v>
      </c>
      <c r="M37" s="140">
        <v>10</v>
      </c>
      <c r="N37" s="4">
        <v>11</v>
      </c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</row>
    <row r="38" spans="1:58" s="11" customFormat="1" x14ac:dyDescent="0.3">
      <c r="A38" s="518" t="s">
        <v>4</v>
      </c>
      <c r="B38" s="518"/>
      <c r="C38" s="518"/>
      <c r="D38" s="518"/>
      <c r="E38" s="518"/>
      <c r="F38" s="518"/>
      <c r="G38" s="518"/>
      <c r="H38" s="518"/>
      <c r="I38" s="109">
        <f>SUM(I36:I37)</f>
        <v>1987.0300000000002</v>
      </c>
      <c r="J38" s="109">
        <f>SUM(J36:J37)</f>
        <v>139.09210000000002</v>
      </c>
      <c r="K38" s="109">
        <f>SUM(K36:K37)</f>
        <v>1847.9379000000001</v>
      </c>
      <c r="L38" s="527"/>
      <c r="M38" s="527"/>
      <c r="N38" s="527"/>
      <c r="O38" s="10"/>
      <c r="P38" s="10"/>
      <c r="Q38" s="10"/>
      <c r="R38" s="10"/>
      <c r="S38" s="10"/>
      <c r="T38" s="10"/>
      <c r="U38" s="10"/>
      <c r="V38" s="10"/>
      <c r="W38" s="10"/>
    </row>
    <row r="39" spans="1:58" s="11" customFormat="1" x14ac:dyDescent="0.3">
      <c r="A39" s="518"/>
      <c r="B39" s="518"/>
      <c r="C39" s="518"/>
      <c r="D39" s="518"/>
      <c r="E39" s="518"/>
      <c r="F39" s="518"/>
      <c r="G39" s="518"/>
      <c r="H39" s="518"/>
      <c r="I39" s="518"/>
      <c r="J39" s="518"/>
      <c r="K39" s="518"/>
      <c r="L39" s="518"/>
      <c r="M39" s="109"/>
      <c r="N39" s="109"/>
      <c r="O39" s="10"/>
      <c r="P39" s="10"/>
      <c r="Q39" s="10"/>
      <c r="R39" s="10"/>
      <c r="S39" s="10"/>
      <c r="T39" s="10"/>
      <c r="U39" s="10"/>
      <c r="V39" s="10"/>
      <c r="W39" s="10"/>
    </row>
    <row r="40" spans="1:58" s="11" customFormat="1" ht="28.5" customHeight="1" x14ac:dyDescent="0.3">
      <c r="A40" s="521" t="s">
        <v>177</v>
      </c>
      <c r="B40" s="521"/>
      <c r="C40" s="521"/>
      <c r="D40" s="521"/>
      <c r="E40" s="521"/>
      <c r="F40" s="521"/>
      <c r="G40" s="521"/>
      <c r="H40" s="521"/>
      <c r="I40" s="521"/>
      <c r="J40" s="521"/>
      <c r="K40" s="521"/>
      <c r="L40" s="521"/>
      <c r="M40" s="521"/>
      <c r="N40" s="521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58" s="11" customFormat="1" ht="25.5" customHeight="1" x14ac:dyDescent="0.3">
      <c r="A41" s="126" t="s">
        <v>173</v>
      </c>
      <c r="B41" s="126" t="s">
        <v>0</v>
      </c>
      <c r="C41" s="126" t="s">
        <v>174</v>
      </c>
      <c r="D41" s="521" t="s">
        <v>175</v>
      </c>
      <c r="E41" s="521"/>
      <c r="F41" s="521"/>
      <c r="G41" s="521"/>
      <c r="H41" s="521"/>
      <c r="I41" s="129" t="s">
        <v>4</v>
      </c>
      <c r="J41" s="128"/>
      <c r="K41" s="128"/>
      <c r="L41" s="127" t="s">
        <v>59</v>
      </c>
      <c r="M41" s="130" t="s">
        <v>8</v>
      </c>
      <c r="N41" s="130" t="s">
        <v>10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58" s="69" customFormat="1" ht="15" customHeight="1" x14ac:dyDescent="0.3">
      <c r="A42" s="4" t="s">
        <v>132</v>
      </c>
      <c r="B42" s="4">
        <v>1</v>
      </c>
      <c r="C42" s="5">
        <f>4977.59-1520</f>
        <v>3457.59</v>
      </c>
      <c r="D42" s="546" t="s">
        <v>284</v>
      </c>
      <c r="E42" s="547"/>
      <c r="F42" s="547"/>
      <c r="G42" s="547"/>
      <c r="H42" s="548"/>
      <c r="I42" s="5">
        <f>4977.59-1520</f>
        <v>3457.59</v>
      </c>
      <c r="J42" s="5"/>
      <c r="K42" s="5"/>
      <c r="L42" s="5" t="s">
        <v>510</v>
      </c>
      <c r="M42" s="140">
        <v>10</v>
      </c>
      <c r="N42" s="4">
        <v>11</v>
      </c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</row>
    <row r="43" spans="1:58" s="11" customFormat="1" x14ac:dyDescent="0.3">
      <c r="A43" s="90" t="s">
        <v>87</v>
      </c>
      <c r="B43" s="90">
        <v>25</v>
      </c>
      <c r="C43" s="5">
        <v>3013.33</v>
      </c>
      <c r="D43" s="546" t="s">
        <v>543</v>
      </c>
      <c r="E43" s="547"/>
      <c r="F43" s="547"/>
      <c r="G43" s="547"/>
      <c r="H43" s="548"/>
      <c r="I43" s="5">
        <v>3040.58</v>
      </c>
      <c r="J43" s="2"/>
      <c r="K43" s="2"/>
      <c r="L43" s="5" t="s">
        <v>545</v>
      </c>
      <c r="M43" s="98">
        <v>10</v>
      </c>
      <c r="N43" s="3">
        <v>11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</row>
    <row r="44" spans="1:58" s="40" customFormat="1" ht="15" customHeight="1" thickBot="1" x14ac:dyDescent="0.35">
      <c r="A44" s="534" t="s">
        <v>4</v>
      </c>
      <c r="B44" s="549"/>
      <c r="C44" s="549"/>
      <c r="D44" s="549"/>
      <c r="E44" s="549"/>
      <c r="F44" s="549"/>
      <c r="G44" s="549"/>
      <c r="H44" s="535"/>
      <c r="I44" s="114">
        <f>SUM(I42:I43)</f>
        <v>6498.17</v>
      </c>
      <c r="J44" s="90"/>
      <c r="K44" s="90"/>
      <c r="L44" s="90"/>
      <c r="M44" s="90"/>
      <c r="N44" s="9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1"/>
      <c r="AS44" s="11"/>
      <c r="AT44" s="11"/>
      <c r="AU44" s="11"/>
    </row>
    <row r="45" spans="1:58" s="19" customFormat="1" x14ac:dyDescent="0.3">
      <c r="A45" s="179"/>
      <c r="B45" s="180"/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1"/>
      <c r="N45" s="182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</row>
    <row r="46" spans="1:58" s="40" customFormat="1" x14ac:dyDescent="0.3">
      <c r="A46" s="543" t="s">
        <v>9</v>
      </c>
      <c r="B46" s="543"/>
      <c r="C46" s="543"/>
      <c r="D46" s="543"/>
      <c r="E46" s="543"/>
      <c r="F46" s="543"/>
      <c r="G46" s="46"/>
      <c r="H46" s="46"/>
      <c r="I46" s="46"/>
      <c r="J46" s="46"/>
      <c r="K46" s="46"/>
      <c r="L46" s="544" t="s">
        <v>315</v>
      </c>
      <c r="M46" s="544"/>
      <c r="N46" s="545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1"/>
      <c r="AS46" s="11"/>
      <c r="AT46" s="11"/>
      <c r="AU46" s="11"/>
    </row>
    <row r="47" spans="1:58" s="40" customFormat="1" x14ac:dyDescent="0.3">
      <c r="A47" s="76" t="s">
        <v>40</v>
      </c>
      <c r="B47" s="77">
        <f>'GERAL 2022'!J35</f>
        <v>118.18</v>
      </c>
      <c r="C47" s="78">
        <v>6</v>
      </c>
      <c r="D47" s="77">
        <f t="shared" ref="D47:D70" si="6">B47/C47</f>
        <v>19.696666666666669</v>
      </c>
      <c r="E47" s="78"/>
      <c r="F47" s="77"/>
      <c r="G47" s="11"/>
      <c r="H47" s="11"/>
      <c r="I47" s="87"/>
      <c r="J47" s="87"/>
      <c r="K47" s="87"/>
      <c r="L47" s="527" t="s">
        <v>94</v>
      </c>
      <c r="M47" s="527"/>
      <c r="N47" s="114">
        <f>J32+J38</f>
        <v>1281.3806739679869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1"/>
      <c r="AS47" s="11"/>
      <c r="AT47" s="11"/>
      <c r="AU47" s="11"/>
    </row>
    <row r="48" spans="1:58" s="40" customFormat="1" x14ac:dyDescent="0.3">
      <c r="A48" s="12" t="s">
        <v>46</v>
      </c>
      <c r="B48" s="2">
        <f>'GERAL 2022'!H35</f>
        <v>14.184042553191489</v>
      </c>
      <c r="C48" s="88">
        <v>5</v>
      </c>
      <c r="D48" s="2">
        <f t="shared" si="6"/>
        <v>2.8368085106382979</v>
      </c>
      <c r="E48" s="88"/>
      <c r="F48" s="88"/>
      <c r="G48" s="11"/>
      <c r="H48" s="11"/>
      <c r="I48" s="14"/>
      <c r="J48" s="14"/>
      <c r="K48" s="14"/>
      <c r="L48" s="518" t="s">
        <v>260</v>
      </c>
      <c r="M48" s="518"/>
      <c r="N48" s="114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1"/>
      <c r="AS48" s="11"/>
      <c r="AT48" s="11"/>
      <c r="AU48" s="11"/>
    </row>
    <row r="49" spans="1:47" s="40" customFormat="1" x14ac:dyDescent="0.3">
      <c r="A49" s="79" t="s">
        <v>29</v>
      </c>
      <c r="B49" s="80">
        <f>'GERAL 2022'!J4</f>
        <v>118.18</v>
      </c>
      <c r="C49" s="82">
        <v>6</v>
      </c>
      <c r="D49" s="80">
        <f t="shared" si="6"/>
        <v>19.696666666666669</v>
      </c>
      <c r="E49" s="78"/>
      <c r="F49" s="77"/>
      <c r="G49" s="11"/>
      <c r="H49" s="11"/>
      <c r="I49" s="14"/>
      <c r="J49" s="14"/>
      <c r="K49" s="14"/>
      <c r="L49" s="520"/>
      <c r="M49" s="520"/>
      <c r="N49" s="52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1"/>
      <c r="AS49" s="11"/>
      <c r="AT49" s="11"/>
      <c r="AU49" s="11"/>
    </row>
    <row r="50" spans="1:47" s="40" customFormat="1" x14ac:dyDescent="0.3">
      <c r="A50" s="12" t="s">
        <v>30</v>
      </c>
      <c r="B50" s="2">
        <f>'GERAL 2022'!H4</f>
        <v>14.184042553191489</v>
      </c>
      <c r="C50" s="88">
        <v>5</v>
      </c>
      <c r="D50" s="2">
        <f t="shared" si="6"/>
        <v>2.8368085106382979</v>
      </c>
      <c r="E50" s="53"/>
      <c r="F50" s="53"/>
      <c r="G50" s="11"/>
      <c r="H50" s="11"/>
      <c r="I50" s="62"/>
      <c r="J50" s="62"/>
      <c r="K50" s="62"/>
      <c r="L50" s="520"/>
      <c r="M50" s="520"/>
      <c r="N50" s="52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1"/>
      <c r="AS50" s="11"/>
      <c r="AT50" s="11"/>
      <c r="AU50" s="11"/>
    </row>
    <row r="51" spans="1:47" s="40" customFormat="1" ht="14.4" x14ac:dyDescent="0.3">
      <c r="A51" s="79" t="s">
        <v>65</v>
      </c>
      <c r="B51" s="80">
        <f>'GERAL 2022'!J5</f>
        <v>117.85</v>
      </c>
      <c r="C51" s="82">
        <v>6</v>
      </c>
      <c r="D51" s="80">
        <f t="shared" si="6"/>
        <v>19.641666666666666</v>
      </c>
      <c r="E51" s="78"/>
      <c r="F51" s="77"/>
      <c r="G51" s="11"/>
      <c r="H51" s="11"/>
      <c r="I51" s="14"/>
      <c r="J51" s="14"/>
      <c r="K51" s="14"/>
      <c r="L51" s="529" t="s">
        <v>12</v>
      </c>
      <c r="M51" s="529"/>
      <c r="N51" s="529"/>
      <c r="O51" s="175"/>
      <c r="P51" s="178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1"/>
      <c r="AS51" s="11"/>
      <c r="AT51" s="11"/>
      <c r="AU51" s="11"/>
    </row>
    <row r="52" spans="1:47" s="11" customFormat="1" ht="15" customHeight="1" x14ac:dyDescent="0.3">
      <c r="A52" s="12" t="s">
        <v>62</v>
      </c>
      <c r="B52" s="2">
        <f>'GERAL 2022'!H5</f>
        <v>14.184042553191489</v>
      </c>
      <c r="C52" s="88">
        <v>5</v>
      </c>
      <c r="D52" s="2">
        <f t="shared" si="6"/>
        <v>2.8368085106382979</v>
      </c>
      <c r="E52" s="88"/>
      <c r="F52" s="88"/>
      <c r="I52" s="63"/>
      <c r="J52" s="63"/>
      <c r="K52" s="63"/>
      <c r="L52" s="514" t="s">
        <v>222</v>
      </c>
      <c r="M52" s="514"/>
      <c r="N52" s="2">
        <v>19.7</v>
      </c>
      <c r="O52" s="175"/>
      <c r="P52" s="178"/>
    </row>
    <row r="53" spans="1:47" s="11" customFormat="1" ht="14.4" x14ac:dyDescent="0.3">
      <c r="A53" s="79" t="s">
        <v>60</v>
      </c>
      <c r="B53" s="80">
        <f>'GERAL 2022'!J6</f>
        <v>117.85</v>
      </c>
      <c r="C53" s="82">
        <v>6</v>
      </c>
      <c r="D53" s="80">
        <f t="shared" si="6"/>
        <v>19.641666666666666</v>
      </c>
      <c r="E53" s="78"/>
      <c r="F53" s="77"/>
      <c r="I53" s="14"/>
      <c r="J53" s="14"/>
      <c r="K53" s="14"/>
      <c r="L53" s="514" t="s">
        <v>567</v>
      </c>
      <c r="M53" s="514"/>
      <c r="N53" s="2">
        <v>19.7</v>
      </c>
      <c r="O53" s="175"/>
      <c r="P53" s="178"/>
    </row>
    <row r="54" spans="1:47" s="11" customFormat="1" ht="15" customHeight="1" x14ac:dyDescent="0.3">
      <c r="A54" s="12" t="s">
        <v>61</v>
      </c>
      <c r="B54" s="2">
        <f>'GERAL 2022'!H6</f>
        <v>14.184042553191489</v>
      </c>
      <c r="C54" s="88">
        <v>5</v>
      </c>
      <c r="D54" s="2">
        <f t="shared" si="6"/>
        <v>2.8368085106382979</v>
      </c>
      <c r="E54" s="88"/>
      <c r="F54" s="88"/>
      <c r="I54" s="63"/>
      <c r="J54" s="63"/>
      <c r="K54" s="63"/>
      <c r="L54" s="514" t="s">
        <v>568</v>
      </c>
      <c r="M54" s="514"/>
      <c r="N54" s="2">
        <v>19.64</v>
      </c>
      <c r="O54" s="175"/>
      <c r="P54" s="178"/>
    </row>
    <row r="55" spans="1:47" s="11" customFormat="1" ht="14.4" x14ac:dyDescent="0.3">
      <c r="A55" s="79" t="s">
        <v>31</v>
      </c>
      <c r="B55" s="80">
        <f>'GERAL 2022'!J7</f>
        <v>118.18</v>
      </c>
      <c r="C55" s="82">
        <v>6</v>
      </c>
      <c r="D55" s="80">
        <f t="shared" si="6"/>
        <v>19.696666666666669</v>
      </c>
      <c r="E55" s="78"/>
      <c r="F55" s="77"/>
      <c r="I55" s="14"/>
      <c r="J55" s="14"/>
      <c r="K55" s="14"/>
      <c r="L55" s="514" t="s">
        <v>569</v>
      </c>
      <c r="M55" s="514"/>
      <c r="N55" s="2">
        <v>19.7</v>
      </c>
      <c r="O55" s="175"/>
      <c r="P55" s="178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</row>
    <row r="56" spans="1:47" s="11" customFormat="1" ht="14.4" x14ac:dyDescent="0.3">
      <c r="A56" s="12" t="s">
        <v>32</v>
      </c>
      <c r="B56" s="2">
        <f>'GERAL 2022'!H7</f>
        <v>14.184042553191489</v>
      </c>
      <c r="C56" s="88">
        <v>5</v>
      </c>
      <c r="D56" s="2">
        <f t="shared" si="6"/>
        <v>2.8368085106382979</v>
      </c>
      <c r="E56" s="88"/>
      <c r="F56" s="88"/>
      <c r="I56" s="63"/>
      <c r="J56" s="63"/>
      <c r="K56" s="63"/>
      <c r="L56" s="514" t="s">
        <v>307</v>
      </c>
      <c r="M56" s="514"/>
      <c r="N56" s="2">
        <v>19.91</v>
      </c>
      <c r="O56" s="175"/>
      <c r="P56" s="178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</row>
    <row r="57" spans="1:47" s="11" customFormat="1" ht="14.4" x14ac:dyDescent="0.3">
      <c r="A57" s="79" t="s">
        <v>57</v>
      </c>
      <c r="B57" s="80">
        <f>'GERAL 2022'!J36</f>
        <v>119.36</v>
      </c>
      <c r="C57" s="82">
        <v>6</v>
      </c>
      <c r="D57" s="80">
        <f t="shared" si="6"/>
        <v>19.893333333333334</v>
      </c>
      <c r="E57" s="78"/>
      <c r="F57" s="77"/>
      <c r="I57" s="14"/>
      <c r="J57" s="14"/>
      <c r="K57" s="14"/>
      <c r="L57" s="514" t="s">
        <v>570</v>
      </c>
      <c r="M57" s="514"/>
      <c r="N57" s="2">
        <v>19.7</v>
      </c>
      <c r="O57" s="175"/>
      <c r="P57" s="185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</row>
    <row r="58" spans="1:47" s="11" customFormat="1" ht="12.75" customHeight="1" x14ac:dyDescent="0.3">
      <c r="A58" s="12" t="s">
        <v>58</v>
      </c>
      <c r="B58" s="2">
        <f>'GERAL 2022'!K36</f>
        <v>19.893333333333334</v>
      </c>
      <c r="C58" s="88">
        <v>5</v>
      </c>
      <c r="D58" s="2">
        <f t="shared" si="6"/>
        <v>3.9786666666666668</v>
      </c>
      <c r="E58" s="88"/>
      <c r="F58" s="88"/>
      <c r="I58" s="63"/>
      <c r="J58" s="63"/>
      <c r="K58" s="63"/>
      <c r="L58" s="514" t="s">
        <v>326</v>
      </c>
      <c r="M58" s="514"/>
      <c r="N58" s="2">
        <v>19.7</v>
      </c>
      <c r="O58" s="175"/>
      <c r="P58" s="178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</row>
    <row r="59" spans="1:47" s="11" customFormat="1" ht="14.4" x14ac:dyDescent="0.3">
      <c r="A59" s="79" t="s">
        <v>63</v>
      </c>
      <c r="B59" s="80">
        <f>'GERAL 2022'!J9</f>
        <v>118.18</v>
      </c>
      <c r="C59" s="82">
        <v>6</v>
      </c>
      <c r="D59" s="80">
        <f t="shared" si="6"/>
        <v>19.696666666666669</v>
      </c>
      <c r="E59" s="78"/>
      <c r="F59" s="77"/>
      <c r="I59" s="14"/>
      <c r="J59" s="14"/>
      <c r="K59" s="14"/>
      <c r="L59" s="514" t="s">
        <v>182</v>
      </c>
      <c r="M59" s="514"/>
      <c r="N59" s="2">
        <v>19.64</v>
      </c>
      <c r="O59" s="175"/>
      <c r="P59" s="178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</row>
    <row r="60" spans="1:47" s="11" customFormat="1" ht="15" customHeight="1" x14ac:dyDescent="0.3">
      <c r="A60" s="12" t="s">
        <v>64</v>
      </c>
      <c r="B60" s="2">
        <f>'GERAL 2022'!H9</f>
        <v>14.184042553191489</v>
      </c>
      <c r="C60" s="88">
        <v>5</v>
      </c>
      <c r="D60" s="2">
        <f t="shared" si="6"/>
        <v>2.8368085106382979</v>
      </c>
      <c r="E60" s="88"/>
      <c r="F60" s="88"/>
      <c r="I60" s="63"/>
      <c r="J60" s="63"/>
      <c r="K60" s="63"/>
      <c r="L60" s="514" t="s">
        <v>534</v>
      </c>
      <c r="M60" s="514"/>
      <c r="N60" s="2">
        <v>19.64</v>
      </c>
      <c r="P60" s="14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</row>
    <row r="61" spans="1:47" s="11" customFormat="1" ht="14.4" x14ac:dyDescent="0.3">
      <c r="A61" s="79" t="s">
        <v>33</v>
      </c>
      <c r="B61" s="80">
        <f>'GERAL 2022'!J37</f>
        <v>118.18</v>
      </c>
      <c r="C61" s="82">
        <v>6</v>
      </c>
      <c r="D61" s="80">
        <f t="shared" si="6"/>
        <v>19.696666666666669</v>
      </c>
      <c r="E61" s="78"/>
      <c r="F61" s="77"/>
      <c r="I61" s="14"/>
      <c r="J61" s="14"/>
      <c r="K61" s="14"/>
      <c r="L61" s="514" t="s">
        <v>571</v>
      </c>
      <c r="M61" s="514"/>
      <c r="N61" s="2">
        <v>19.64</v>
      </c>
      <c r="O61" s="175"/>
      <c r="P61" s="178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</row>
    <row r="62" spans="1:47" s="11" customFormat="1" ht="13.5" customHeight="1" x14ac:dyDescent="0.3">
      <c r="A62" s="12" t="s">
        <v>34</v>
      </c>
      <c r="B62" s="2">
        <f>'GERAL 2022'!H37</f>
        <v>14.184042553191489</v>
      </c>
      <c r="C62" s="88">
        <v>5</v>
      </c>
      <c r="D62" s="2">
        <f t="shared" si="6"/>
        <v>2.8368085106382979</v>
      </c>
      <c r="E62" s="88"/>
      <c r="F62" s="88"/>
      <c r="I62" s="63"/>
      <c r="J62" s="63"/>
      <c r="K62" s="63"/>
      <c r="L62" s="514" t="s">
        <v>310</v>
      </c>
      <c r="M62" s="514"/>
      <c r="N62" s="2">
        <v>19.68</v>
      </c>
      <c r="O62" s="175"/>
      <c r="P62" s="178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</row>
    <row r="63" spans="1:47" s="11" customFormat="1" ht="14.4" x14ac:dyDescent="0.3">
      <c r="A63" s="79" t="s">
        <v>41</v>
      </c>
      <c r="B63" s="80">
        <f>'GERAL 2022'!J11</f>
        <v>118.18</v>
      </c>
      <c r="C63" s="82">
        <v>6</v>
      </c>
      <c r="D63" s="80">
        <f t="shared" si="6"/>
        <v>19.696666666666669</v>
      </c>
      <c r="E63" s="78"/>
      <c r="F63" s="77"/>
      <c r="L63" s="514" t="s">
        <v>184</v>
      </c>
      <c r="M63" s="514"/>
      <c r="N63" s="2">
        <v>19.809999999999999</v>
      </c>
      <c r="O63" s="175"/>
      <c r="P63" s="178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</row>
    <row r="64" spans="1:47" s="11" customFormat="1" ht="14.4" x14ac:dyDescent="0.3">
      <c r="A64" s="12" t="s">
        <v>42</v>
      </c>
      <c r="B64" s="2">
        <f>'GERAL 2022'!H11</f>
        <v>14.184042553191489</v>
      </c>
      <c r="C64" s="88">
        <v>5</v>
      </c>
      <c r="D64" s="2">
        <f t="shared" si="6"/>
        <v>2.8368085106382979</v>
      </c>
      <c r="E64" s="88"/>
      <c r="F64" s="88"/>
      <c r="I64" s="63"/>
      <c r="J64" s="63"/>
      <c r="K64" s="63"/>
      <c r="L64" s="514" t="s">
        <v>204</v>
      </c>
      <c r="M64" s="514"/>
      <c r="N64" s="2">
        <v>19.7</v>
      </c>
      <c r="O64" s="175"/>
      <c r="P64" s="178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</row>
    <row r="65" spans="1:46" s="11" customFormat="1" ht="14.4" x14ac:dyDescent="0.3">
      <c r="A65" s="79" t="s">
        <v>66</v>
      </c>
      <c r="B65" s="80">
        <f>'GERAL 2022'!J38</f>
        <v>117.85</v>
      </c>
      <c r="C65" s="81">
        <v>6</v>
      </c>
      <c r="D65" s="80">
        <f t="shared" si="6"/>
        <v>19.641666666666666</v>
      </c>
      <c r="E65" s="82"/>
      <c r="F65" s="80"/>
      <c r="I65" s="14"/>
      <c r="J65" s="14"/>
      <c r="K65" s="14"/>
      <c r="L65" s="514" t="s">
        <v>186</v>
      </c>
      <c r="M65" s="514"/>
      <c r="N65" s="2">
        <v>19.84</v>
      </c>
      <c r="O65" s="175"/>
      <c r="P65" s="185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</row>
    <row r="66" spans="1:46" s="11" customFormat="1" ht="14.4" x14ac:dyDescent="0.3">
      <c r="A66" s="12" t="s">
        <v>67</v>
      </c>
      <c r="B66" s="2">
        <f>'GERAL 2022'!H38</f>
        <v>14.184042553191489</v>
      </c>
      <c r="C66" s="88">
        <v>5</v>
      </c>
      <c r="D66" s="2">
        <f t="shared" si="6"/>
        <v>2.8368085106382979</v>
      </c>
      <c r="E66" s="88"/>
      <c r="F66" s="88"/>
      <c r="I66" s="63"/>
      <c r="J66" s="63"/>
      <c r="K66" s="63"/>
      <c r="L66" s="514" t="s">
        <v>187</v>
      </c>
      <c r="M66" s="514"/>
      <c r="N66" s="2">
        <v>19.64</v>
      </c>
      <c r="O66" s="175"/>
      <c r="P66" s="176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</row>
    <row r="67" spans="1:46" s="11" customFormat="1" ht="14.4" x14ac:dyDescent="0.3">
      <c r="A67" s="79" t="s">
        <v>14</v>
      </c>
      <c r="B67" s="80">
        <f>'GERAL 2022'!J13</f>
        <v>117.85</v>
      </c>
      <c r="C67" s="82">
        <v>6</v>
      </c>
      <c r="D67" s="80">
        <f t="shared" si="6"/>
        <v>19.641666666666666</v>
      </c>
      <c r="E67" s="82"/>
      <c r="F67" s="80"/>
      <c r="I67" s="14"/>
      <c r="J67" s="14"/>
      <c r="K67" s="14"/>
      <c r="L67" s="514" t="s">
        <v>572</v>
      </c>
      <c r="M67" s="514"/>
      <c r="N67" s="2">
        <v>19.850000000000001</v>
      </c>
      <c r="O67" s="175"/>
      <c r="P67" s="176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</row>
    <row r="68" spans="1:46" s="11" customFormat="1" ht="14.4" x14ac:dyDescent="0.3">
      <c r="A68" s="12" t="s">
        <v>15</v>
      </c>
      <c r="B68" s="2">
        <f>'GERAL 2022'!H13</f>
        <v>14.184042553191489</v>
      </c>
      <c r="C68" s="88">
        <v>5</v>
      </c>
      <c r="D68" s="2">
        <f t="shared" si="6"/>
        <v>2.8368085106382979</v>
      </c>
      <c r="E68" s="88"/>
      <c r="F68" s="88"/>
      <c r="I68" s="87"/>
      <c r="J68" s="87"/>
      <c r="K68" s="87"/>
      <c r="L68" s="514" t="s">
        <v>573</v>
      </c>
      <c r="M68" s="514"/>
      <c r="N68" s="2">
        <v>19.54</v>
      </c>
      <c r="O68" s="175"/>
      <c r="P68" s="176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</row>
    <row r="69" spans="1:46" s="11" customFormat="1" ht="14.4" x14ac:dyDescent="0.3">
      <c r="A69" s="79" t="s">
        <v>55</v>
      </c>
      <c r="B69" s="80">
        <f>'GERAL 2022'!J14</f>
        <v>117.85</v>
      </c>
      <c r="C69" s="82">
        <v>6</v>
      </c>
      <c r="D69" s="80">
        <f t="shared" si="6"/>
        <v>19.641666666666666</v>
      </c>
      <c r="E69" s="82"/>
      <c r="F69" s="80"/>
      <c r="L69" s="514" t="s">
        <v>574</v>
      </c>
      <c r="M69" s="514"/>
      <c r="N69" s="2">
        <v>19.54</v>
      </c>
      <c r="O69" s="175"/>
      <c r="P69" s="176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</row>
    <row r="70" spans="1:46" s="11" customFormat="1" ht="14.4" x14ac:dyDescent="0.3">
      <c r="A70" s="12" t="s">
        <v>56</v>
      </c>
      <c r="B70" s="2">
        <f>'GERAL 2022'!H14</f>
        <v>14.184042553191489</v>
      </c>
      <c r="C70" s="88">
        <v>5</v>
      </c>
      <c r="D70" s="2">
        <f t="shared" si="6"/>
        <v>2.8368085106382979</v>
      </c>
      <c r="E70" s="88"/>
      <c r="F70" s="88"/>
      <c r="L70" s="514" t="s">
        <v>575</v>
      </c>
      <c r="M70" s="514"/>
      <c r="N70" s="2">
        <v>19.64</v>
      </c>
      <c r="O70" s="175"/>
      <c r="P70" s="176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</row>
    <row r="71" spans="1:46" s="11" customFormat="1" ht="14.4" x14ac:dyDescent="0.3">
      <c r="A71" s="79" t="s">
        <v>35</v>
      </c>
      <c r="B71" s="80">
        <f>'GERAL 2022'!J15</f>
        <v>117.85</v>
      </c>
      <c r="C71" s="82">
        <v>6</v>
      </c>
      <c r="D71" s="80">
        <f t="shared" ref="D71:D76" si="7">B71/C71</f>
        <v>19.641666666666666</v>
      </c>
      <c r="E71" s="82"/>
      <c r="F71" s="80"/>
      <c r="L71" s="514" t="s">
        <v>112</v>
      </c>
      <c r="M71" s="514"/>
      <c r="N71" s="2">
        <v>19.78</v>
      </c>
      <c r="O71" s="175"/>
      <c r="P71" s="178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</row>
    <row r="72" spans="1:46" s="11" customFormat="1" ht="14.4" x14ac:dyDescent="0.3">
      <c r="A72" s="12" t="s">
        <v>36</v>
      </c>
      <c r="B72" s="2">
        <f>'GERAL 2022'!H15</f>
        <v>14.184042553191489</v>
      </c>
      <c r="C72" s="88">
        <v>5</v>
      </c>
      <c r="D72" s="2">
        <f t="shared" si="7"/>
        <v>2.8368085106382979</v>
      </c>
      <c r="E72" s="88"/>
      <c r="F72" s="88"/>
      <c r="I72" s="14"/>
      <c r="J72" s="14"/>
      <c r="K72" s="14"/>
      <c r="L72" s="514" t="s">
        <v>576</v>
      </c>
      <c r="M72" s="514"/>
      <c r="N72" s="121">
        <v>19.66</v>
      </c>
      <c r="O72" s="175"/>
      <c r="P72" s="178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</row>
    <row r="73" spans="1:46" s="11" customFormat="1" ht="14.4" x14ac:dyDescent="0.3">
      <c r="A73" s="79" t="s">
        <v>47</v>
      </c>
      <c r="B73" s="80">
        <f>'GERAL 2022'!J16</f>
        <v>117.85</v>
      </c>
      <c r="C73" s="82">
        <v>6</v>
      </c>
      <c r="D73" s="80">
        <f t="shared" si="7"/>
        <v>19.641666666666666</v>
      </c>
      <c r="E73" s="82"/>
      <c r="F73" s="80"/>
      <c r="I73" s="15"/>
      <c r="J73" s="15"/>
      <c r="K73" s="15"/>
      <c r="L73" s="514" t="s">
        <v>189</v>
      </c>
      <c r="M73" s="514"/>
      <c r="N73" s="121">
        <v>19.7</v>
      </c>
      <c r="O73" s="175"/>
      <c r="P73" s="178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</row>
    <row r="74" spans="1:46" s="11" customFormat="1" ht="14.4" x14ac:dyDescent="0.3">
      <c r="A74" s="12" t="s">
        <v>48</v>
      </c>
      <c r="B74" s="2">
        <f>'GERAL 2022'!H16</f>
        <v>14.184042553191489</v>
      </c>
      <c r="C74" s="88">
        <v>5</v>
      </c>
      <c r="D74" s="2">
        <f t="shared" si="7"/>
        <v>2.8368085106382979</v>
      </c>
      <c r="E74" s="88"/>
      <c r="F74" s="88"/>
      <c r="I74" s="14"/>
      <c r="J74" s="14"/>
      <c r="K74" s="14"/>
      <c r="L74" s="542" t="s">
        <v>578</v>
      </c>
      <c r="M74" s="542"/>
      <c r="N74" s="5">
        <f>120*5</f>
        <v>600</v>
      </c>
      <c r="O74" s="175"/>
      <c r="P74" s="178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</row>
    <row r="75" spans="1:46" s="11" customFormat="1" ht="14.4" x14ac:dyDescent="0.3">
      <c r="A75" s="79" t="s">
        <v>560</v>
      </c>
      <c r="B75" s="80">
        <f>'GERAL 2022'!J39</f>
        <v>118.18</v>
      </c>
      <c r="C75" s="82">
        <v>6</v>
      </c>
      <c r="D75" s="80">
        <f t="shared" si="7"/>
        <v>19.696666666666669</v>
      </c>
      <c r="E75" s="82"/>
      <c r="F75" s="80"/>
      <c r="I75" s="14"/>
      <c r="J75" s="14"/>
      <c r="K75" s="14"/>
      <c r="L75" s="520" t="s">
        <v>126</v>
      </c>
      <c r="M75" s="520"/>
      <c r="N75" s="5">
        <v>128.16999999999999</v>
      </c>
      <c r="O75" s="175"/>
      <c r="P75" s="178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</row>
    <row r="76" spans="1:46" s="11" customFormat="1" ht="14.4" x14ac:dyDescent="0.3">
      <c r="A76" s="12" t="s">
        <v>561</v>
      </c>
      <c r="B76" s="2">
        <f>'GERAL 2022'!H39</f>
        <v>14.184042553191489</v>
      </c>
      <c r="C76" s="88">
        <v>5</v>
      </c>
      <c r="D76" s="2">
        <f t="shared" si="7"/>
        <v>2.8368085106382979</v>
      </c>
      <c r="E76" s="88"/>
      <c r="F76" s="88"/>
      <c r="I76" s="14"/>
      <c r="J76" s="14"/>
      <c r="K76" s="14"/>
      <c r="L76" s="520" t="s">
        <v>378</v>
      </c>
      <c r="M76" s="520"/>
      <c r="N76" s="2"/>
      <c r="O76" s="175"/>
      <c r="P76" s="178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</row>
    <row r="77" spans="1:46" s="11" customFormat="1" x14ac:dyDescent="0.3">
      <c r="A77" s="79" t="s">
        <v>16</v>
      </c>
      <c r="B77" s="80">
        <f>'GERAL 2022'!J40</f>
        <v>119.02</v>
      </c>
      <c r="C77" s="82">
        <v>6</v>
      </c>
      <c r="D77" s="80">
        <f t="shared" ref="D77:D102" si="8">B77/C77</f>
        <v>19.836666666666666</v>
      </c>
      <c r="E77" s="81"/>
      <c r="F77" s="81"/>
      <c r="I77" s="14"/>
      <c r="J77" s="14"/>
      <c r="K77" s="14"/>
      <c r="L77" s="570"/>
      <c r="M77" s="570"/>
      <c r="N77" s="5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</row>
    <row r="78" spans="1:46" s="69" customFormat="1" ht="14.4" x14ac:dyDescent="0.3">
      <c r="A78" s="12" t="s">
        <v>17</v>
      </c>
      <c r="B78" s="2">
        <f>'GERAL 2022'!H40</f>
        <v>19.857659574468084</v>
      </c>
      <c r="C78" s="88">
        <v>5</v>
      </c>
      <c r="D78" s="2">
        <f t="shared" si="8"/>
        <v>3.9715319148936166</v>
      </c>
      <c r="E78" s="88"/>
      <c r="F78" s="88"/>
      <c r="G78" s="11"/>
      <c r="H78" s="11"/>
      <c r="I78" s="14"/>
      <c r="J78" s="14"/>
      <c r="K78" s="14"/>
      <c r="L78" s="563"/>
      <c r="M78" s="563"/>
      <c r="N78" s="141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</row>
    <row r="79" spans="1:46" s="69" customFormat="1" x14ac:dyDescent="0.3">
      <c r="A79" s="79" t="s">
        <v>27</v>
      </c>
      <c r="B79" s="80">
        <f>'GERAL 2022'!J18</f>
        <v>118.87</v>
      </c>
      <c r="C79" s="82">
        <v>6</v>
      </c>
      <c r="D79" s="80">
        <f t="shared" si="8"/>
        <v>19.811666666666667</v>
      </c>
      <c r="E79" s="81"/>
      <c r="F79" s="82"/>
      <c r="G79" s="11"/>
      <c r="H79" s="11"/>
      <c r="I79" s="14"/>
      <c r="J79" s="14"/>
      <c r="K79" s="14"/>
      <c r="L79" s="520"/>
      <c r="M79" s="520"/>
      <c r="N79" s="5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</row>
    <row r="80" spans="1:46" s="69" customFormat="1" ht="14.4" x14ac:dyDescent="0.3">
      <c r="A80" s="12" t="s">
        <v>28</v>
      </c>
      <c r="B80" s="2">
        <f>'GERAL 2022'!H18</f>
        <v>14.184042553191489</v>
      </c>
      <c r="C80" s="88">
        <v>5</v>
      </c>
      <c r="D80" s="2">
        <f t="shared" si="8"/>
        <v>2.8368085106382979</v>
      </c>
      <c r="E80" s="88"/>
      <c r="F80" s="90"/>
      <c r="G80" s="11"/>
      <c r="H80" s="11"/>
      <c r="I80" s="14"/>
      <c r="J80" s="14"/>
      <c r="K80" s="14"/>
      <c r="L80" s="563"/>
      <c r="M80" s="563"/>
      <c r="N80" s="141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</row>
    <row r="81" spans="1:46" s="69" customFormat="1" x14ac:dyDescent="0.3">
      <c r="A81" s="79" t="s">
        <v>18</v>
      </c>
      <c r="B81" s="80">
        <f>'GERAL 2022'!J41</f>
        <v>118.18</v>
      </c>
      <c r="C81" s="82">
        <v>6</v>
      </c>
      <c r="D81" s="80">
        <f t="shared" si="8"/>
        <v>19.696666666666669</v>
      </c>
      <c r="E81" s="82"/>
      <c r="F81" s="80"/>
      <c r="G81" s="11"/>
      <c r="H81" s="11"/>
      <c r="I81" s="14"/>
      <c r="J81" s="14"/>
      <c r="K81" s="14"/>
      <c r="L81" s="520"/>
      <c r="M81" s="520"/>
      <c r="N81" s="165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</row>
    <row r="82" spans="1:46" s="69" customFormat="1" x14ac:dyDescent="0.3">
      <c r="A82" s="12" t="s">
        <v>19</v>
      </c>
      <c r="B82" s="2">
        <f>'GERAL 2022'!H41</f>
        <v>14.184042553191489</v>
      </c>
      <c r="C82" s="88">
        <v>5</v>
      </c>
      <c r="D82" s="2">
        <f>B82/C82</f>
        <v>2.8368085106382979</v>
      </c>
      <c r="E82" s="88"/>
      <c r="F82" s="88"/>
      <c r="G82" s="11"/>
      <c r="H82" s="11"/>
      <c r="I82" s="14"/>
      <c r="J82" s="14"/>
      <c r="K82" s="14"/>
      <c r="L82" s="518" t="s">
        <v>26</v>
      </c>
      <c r="M82" s="518"/>
      <c r="N82" s="109">
        <f>SUM(N47:N81)</f>
        <v>2442.900673967988</v>
      </c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</row>
    <row r="83" spans="1:46" s="69" customFormat="1" x14ac:dyDescent="0.3">
      <c r="A83" s="79" t="s">
        <v>37</v>
      </c>
      <c r="B83" s="80">
        <f>'GERAL 2022'!J20</f>
        <v>119.02</v>
      </c>
      <c r="C83" s="82">
        <v>6</v>
      </c>
      <c r="D83" s="80">
        <f t="shared" si="8"/>
        <v>19.836666666666666</v>
      </c>
      <c r="E83" s="81"/>
      <c r="F83" s="82"/>
      <c r="G83" s="11"/>
      <c r="H83" s="11"/>
      <c r="I83" s="14"/>
      <c r="J83" s="14"/>
      <c r="K83" s="14"/>
      <c r="L83" s="543"/>
      <c r="M83" s="543"/>
      <c r="N83" s="135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</row>
    <row r="84" spans="1:46" s="69" customFormat="1" x14ac:dyDescent="0.3">
      <c r="A84" s="12" t="s">
        <v>38</v>
      </c>
      <c r="B84" s="2">
        <f>'GERAL 2022'!H20</f>
        <v>14.184042553191489</v>
      </c>
      <c r="C84" s="88">
        <v>5</v>
      </c>
      <c r="D84" s="2">
        <f t="shared" si="8"/>
        <v>2.8368085106382979</v>
      </c>
      <c r="E84" s="88"/>
      <c r="F84" s="88"/>
      <c r="G84" s="11"/>
      <c r="H84" s="11"/>
      <c r="I84" s="14"/>
      <c r="J84" s="14"/>
      <c r="K84" s="14"/>
      <c r="L84" s="564" t="s">
        <v>11</v>
      </c>
      <c r="M84" s="565"/>
      <c r="N84" s="153">
        <f>I32+I38</f>
        <v>18305.438199542663</v>
      </c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</row>
    <row r="85" spans="1:46" s="69" customFormat="1" x14ac:dyDescent="0.3">
      <c r="A85" s="79" t="s">
        <v>45</v>
      </c>
      <c r="B85" s="80">
        <f>'GERAL 2022'!J43</f>
        <v>117.85</v>
      </c>
      <c r="C85" s="82">
        <v>6</v>
      </c>
      <c r="D85" s="80">
        <f t="shared" si="8"/>
        <v>19.641666666666666</v>
      </c>
      <c r="E85" s="81"/>
      <c r="F85" s="82"/>
      <c r="G85" s="11"/>
      <c r="H85" s="11"/>
      <c r="I85" s="14"/>
      <c r="J85" s="14"/>
      <c r="K85" s="14"/>
      <c r="L85" s="518"/>
      <c r="M85" s="518"/>
      <c r="N85" s="519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</row>
    <row r="86" spans="1:46" s="69" customFormat="1" x14ac:dyDescent="0.3">
      <c r="A86" s="12" t="s">
        <v>39</v>
      </c>
      <c r="B86" s="2">
        <f>'GERAL 2022'!H43</f>
        <v>14.184042553191489</v>
      </c>
      <c r="C86" s="88">
        <v>5</v>
      </c>
      <c r="D86" s="2">
        <f t="shared" si="8"/>
        <v>2.8368085106382979</v>
      </c>
      <c r="E86" s="88"/>
      <c r="F86" s="88"/>
      <c r="G86" s="11"/>
      <c r="H86" s="11"/>
      <c r="I86" s="14"/>
      <c r="J86" s="14"/>
      <c r="K86" s="14"/>
      <c r="L86" s="513" t="s">
        <v>13</v>
      </c>
      <c r="M86" s="513"/>
      <c r="N86" s="151">
        <f>N84-N82</f>
        <v>15862.537525574675</v>
      </c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</row>
    <row r="87" spans="1:46" s="69" customFormat="1" x14ac:dyDescent="0.3">
      <c r="A87" s="81" t="s">
        <v>49</v>
      </c>
      <c r="B87" s="80">
        <f>'GERAL 2022'!J22</f>
        <v>119.12</v>
      </c>
      <c r="C87" s="82">
        <v>6</v>
      </c>
      <c r="D87" s="80">
        <f t="shared" si="8"/>
        <v>19.853333333333335</v>
      </c>
      <c r="E87" s="81"/>
      <c r="F87" s="82"/>
      <c r="G87" s="11"/>
      <c r="H87" s="11"/>
      <c r="I87" s="14"/>
      <c r="J87" s="14"/>
      <c r="K87" s="14"/>
      <c r="L87" s="124"/>
      <c r="M87" s="124"/>
      <c r="N87" s="57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</row>
    <row r="88" spans="1:46" s="69" customFormat="1" x14ac:dyDescent="0.3">
      <c r="A88" s="90" t="s">
        <v>50</v>
      </c>
      <c r="B88" s="2">
        <f>'GERAL 2022'!H22</f>
        <v>14.184042553191489</v>
      </c>
      <c r="C88" s="88">
        <v>5</v>
      </c>
      <c r="D88" s="2">
        <f t="shared" si="8"/>
        <v>2.8368085106382979</v>
      </c>
      <c r="E88" s="88"/>
      <c r="F88" s="88"/>
      <c r="G88" s="11"/>
      <c r="H88" s="11"/>
      <c r="I88" s="14"/>
      <c r="J88" s="14"/>
      <c r="K88" s="14"/>
      <c r="L88" s="124"/>
      <c r="M88" s="124"/>
      <c r="N88" s="57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</row>
    <row r="89" spans="1:46" s="69" customFormat="1" x14ac:dyDescent="0.3">
      <c r="A89" s="81" t="s">
        <v>43</v>
      </c>
      <c r="B89" s="80">
        <f>'GERAL 2022'!J23</f>
        <v>117.26</v>
      </c>
      <c r="C89" s="82">
        <v>6</v>
      </c>
      <c r="D89" s="80">
        <f t="shared" si="8"/>
        <v>19.543333333333333</v>
      </c>
      <c r="E89" s="81"/>
      <c r="F89" s="82"/>
      <c r="I89" s="142"/>
      <c r="J89" s="142"/>
      <c r="K89" s="142"/>
      <c r="L89" s="124"/>
      <c r="M89" s="124"/>
      <c r="N89" s="57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</row>
    <row r="90" spans="1:46" s="70" customFormat="1" x14ac:dyDescent="0.3">
      <c r="A90" s="90" t="s">
        <v>44</v>
      </c>
      <c r="B90" s="2">
        <f>'GERAL 2022'!H23</f>
        <v>14.184042553191489</v>
      </c>
      <c r="C90" s="88">
        <v>5</v>
      </c>
      <c r="D90" s="2">
        <f t="shared" si="8"/>
        <v>2.8368085106382979</v>
      </c>
      <c r="E90" s="88"/>
      <c r="F90" s="88"/>
      <c r="G90" s="63"/>
      <c r="H90" s="63"/>
      <c r="I90" s="69"/>
      <c r="J90" s="69"/>
      <c r="K90" s="69"/>
      <c r="L90" s="124"/>
      <c r="M90" s="124"/>
      <c r="N90" s="57"/>
    </row>
    <row r="91" spans="1:46" s="70" customFormat="1" ht="15" customHeight="1" x14ac:dyDescent="0.3">
      <c r="A91" s="81" t="s">
        <v>51</v>
      </c>
      <c r="B91" s="80">
        <f>'GERAL 2022'!J24</f>
        <v>117.26</v>
      </c>
      <c r="C91" s="82">
        <v>6</v>
      </c>
      <c r="D91" s="80">
        <f t="shared" si="8"/>
        <v>19.543333333333333</v>
      </c>
      <c r="E91" s="82"/>
      <c r="F91" s="80"/>
      <c r="G91" s="11"/>
      <c r="H91" s="63"/>
      <c r="I91" s="142"/>
      <c r="J91" s="142"/>
      <c r="K91" s="142"/>
      <c r="L91" s="15"/>
      <c r="M91" s="14"/>
      <c r="N91" s="57"/>
      <c r="AT91" s="69"/>
    </row>
    <row r="92" spans="1:46" s="70" customFormat="1" x14ac:dyDescent="0.3">
      <c r="A92" s="90" t="s">
        <v>52</v>
      </c>
      <c r="B92" s="2">
        <f>'GERAL 2022'!H24</f>
        <v>14.184042553191489</v>
      </c>
      <c r="C92" s="88">
        <v>5</v>
      </c>
      <c r="D92" s="2">
        <f t="shared" si="8"/>
        <v>2.8368085106382979</v>
      </c>
      <c r="E92" s="88"/>
      <c r="F92" s="4"/>
      <c r="G92" s="142"/>
      <c r="H92" s="142"/>
      <c r="I92" s="142"/>
      <c r="J92" s="142"/>
      <c r="K92" s="142"/>
      <c r="L92" s="11"/>
      <c r="M92" s="15"/>
      <c r="N92" s="57"/>
      <c r="AT92" s="69"/>
    </row>
    <row r="93" spans="1:46" s="70" customFormat="1" x14ac:dyDescent="0.3">
      <c r="A93" s="81" t="s">
        <v>53</v>
      </c>
      <c r="B93" s="80">
        <f>'GERAL 2022'!J25</f>
        <v>117.85</v>
      </c>
      <c r="C93" s="82">
        <v>6</v>
      </c>
      <c r="D93" s="80">
        <f t="shared" si="8"/>
        <v>19.641666666666666</v>
      </c>
      <c r="E93" s="82"/>
      <c r="F93" s="82"/>
      <c r="G93" s="11"/>
      <c r="H93" s="63"/>
      <c r="I93" s="142"/>
      <c r="J93" s="142"/>
      <c r="K93" s="142"/>
      <c r="L93" s="11"/>
      <c r="M93" s="11"/>
      <c r="N93" s="57"/>
      <c r="AT93" s="69"/>
    </row>
    <row r="94" spans="1:46" s="70" customFormat="1" x14ac:dyDescent="0.3">
      <c r="A94" s="90" t="s">
        <v>54</v>
      </c>
      <c r="B94" s="2">
        <f>'GERAL 2022'!H25</f>
        <v>14.184042553191489</v>
      </c>
      <c r="C94" s="88">
        <v>5</v>
      </c>
      <c r="D94" s="2">
        <f t="shared" si="8"/>
        <v>2.8368085106382979</v>
      </c>
      <c r="E94" s="88"/>
      <c r="F94" s="4"/>
      <c r="G94" s="142"/>
      <c r="H94" s="142"/>
      <c r="I94" s="142"/>
      <c r="J94" s="142"/>
      <c r="K94" s="142"/>
      <c r="L94" s="14"/>
      <c r="M94" s="14"/>
      <c r="N94" s="57"/>
      <c r="AT94" s="69"/>
    </row>
    <row r="95" spans="1:46" s="70" customFormat="1" x14ac:dyDescent="0.3">
      <c r="A95" s="81" t="s">
        <v>78</v>
      </c>
      <c r="B95" s="80">
        <f>'GERAL 2022'!J26</f>
        <v>119.02</v>
      </c>
      <c r="C95" s="82">
        <v>6</v>
      </c>
      <c r="D95" s="80">
        <f t="shared" si="8"/>
        <v>19.836666666666666</v>
      </c>
      <c r="E95" s="82"/>
      <c r="F95" s="82"/>
      <c r="G95" s="11"/>
      <c r="H95" s="63"/>
      <c r="I95" s="142"/>
      <c r="J95" s="142"/>
      <c r="K95" s="142"/>
      <c r="L95" s="14"/>
      <c r="M95" s="15"/>
      <c r="N95" s="57"/>
      <c r="AT95" s="69"/>
    </row>
    <row r="96" spans="1:46" s="70" customFormat="1" x14ac:dyDescent="0.3">
      <c r="A96" s="90" t="s">
        <v>79</v>
      </c>
      <c r="B96" s="2">
        <f>'GERAL 2022'!H26</f>
        <v>19.857659574468084</v>
      </c>
      <c r="C96" s="88">
        <v>5</v>
      </c>
      <c r="D96" s="2">
        <f t="shared" si="8"/>
        <v>3.9715319148936166</v>
      </c>
      <c r="E96" s="88"/>
      <c r="F96" s="4"/>
      <c r="G96" s="142"/>
      <c r="H96" s="142"/>
      <c r="I96" s="142"/>
      <c r="J96" s="142"/>
      <c r="K96" s="142"/>
      <c r="L96" s="14"/>
      <c r="M96" s="11"/>
      <c r="N96" s="57"/>
      <c r="AT96" s="69"/>
    </row>
    <row r="97" spans="1:46" s="70" customFormat="1" x14ac:dyDescent="0.3">
      <c r="A97" s="81" t="s">
        <v>80</v>
      </c>
      <c r="B97" s="80">
        <f>'GERAL 2022'!J44</f>
        <v>118.53</v>
      </c>
      <c r="C97" s="82">
        <v>6</v>
      </c>
      <c r="D97" s="80">
        <f t="shared" si="8"/>
        <v>19.754999999999999</v>
      </c>
      <c r="E97" s="82"/>
      <c r="F97" s="82"/>
      <c r="G97" s="11"/>
      <c r="H97" s="63"/>
      <c r="I97" s="142"/>
      <c r="J97" s="142"/>
      <c r="K97" s="142"/>
      <c r="L97" s="14"/>
      <c r="M97" s="11"/>
      <c r="N97" s="57"/>
      <c r="AT97" s="69"/>
    </row>
    <row r="98" spans="1:46" s="70" customFormat="1" x14ac:dyDescent="0.3">
      <c r="A98" s="90" t="s">
        <v>81</v>
      </c>
      <c r="B98" s="2">
        <f>'GERAL 2022'!H44</f>
        <v>14.184042553191489</v>
      </c>
      <c r="C98" s="88">
        <v>5</v>
      </c>
      <c r="D98" s="2">
        <f t="shared" si="8"/>
        <v>2.8368085106382979</v>
      </c>
      <c r="E98" s="88"/>
      <c r="F98" s="4"/>
      <c r="G98" s="142"/>
      <c r="H98" s="142"/>
      <c r="I98" s="142"/>
      <c r="J98" s="142"/>
      <c r="K98" s="142"/>
      <c r="L98" s="11"/>
      <c r="M98" s="11"/>
      <c r="N98" s="57"/>
      <c r="AT98" s="69"/>
    </row>
    <row r="99" spans="1:46" s="70" customFormat="1" x14ac:dyDescent="0.3">
      <c r="A99" s="81" t="s">
        <v>82</v>
      </c>
      <c r="B99" s="80">
        <f>'GERAL 2022'!J28</f>
        <v>117.95</v>
      </c>
      <c r="C99" s="82">
        <v>6</v>
      </c>
      <c r="D99" s="80">
        <f t="shared" si="8"/>
        <v>19.658333333333335</v>
      </c>
      <c r="E99" s="82"/>
      <c r="F99" s="82"/>
      <c r="G99" s="11"/>
      <c r="H99" s="63"/>
      <c r="I99" s="142"/>
      <c r="J99" s="142"/>
      <c r="K99" s="142"/>
      <c r="L99" s="11"/>
      <c r="M99" s="14"/>
      <c r="N99" s="57"/>
      <c r="AT99" s="69"/>
    </row>
    <row r="100" spans="1:46" s="70" customFormat="1" x14ac:dyDescent="0.3">
      <c r="A100" s="90" t="s">
        <v>83</v>
      </c>
      <c r="B100" s="2">
        <f>'GERAL 2022'!H28</f>
        <v>14.184042553191489</v>
      </c>
      <c r="C100" s="88">
        <v>5</v>
      </c>
      <c r="D100" s="2">
        <f t="shared" si="8"/>
        <v>2.8368085106382979</v>
      </c>
      <c r="E100" s="88"/>
      <c r="F100" s="4"/>
      <c r="G100" s="142"/>
      <c r="H100" s="142"/>
      <c r="I100" s="142"/>
      <c r="J100" s="142"/>
      <c r="K100" s="142"/>
      <c r="L100" s="11"/>
      <c r="M100" s="14"/>
      <c r="N100" s="57"/>
      <c r="AT100" s="69"/>
    </row>
    <row r="101" spans="1:46" s="70" customFormat="1" x14ac:dyDescent="0.3">
      <c r="A101" s="81" t="s">
        <v>84</v>
      </c>
      <c r="B101" s="80">
        <f>'GERAL 2022'!J45</f>
        <v>118.18</v>
      </c>
      <c r="C101" s="82">
        <v>6</v>
      </c>
      <c r="D101" s="80">
        <f t="shared" si="8"/>
        <v>19.696666666666669</v>
      </c>
      <c r="E101" s="82"/>
      <c r="F101" s="82"/>
      <c r="G101" s="142"/>
      <c r="H101" s="142"/>
      <c r="I101" s="142"/>
      <c r="J101" s="142"/>
      <c r="K101" s="142"/>
      <c r="L101" s="11"/>
      <c r="M101" s="14"/>
      <c r="N101" s="57"/>
      <c r="AT101" s="69"/>
    </row>
    <row r="102" spans="1:46" s="70" customFormat="1" x14ac:dyDescent="0.3">
      <c r="A102" s="90" t="s">
        <v>85</v>
      </c>
      <c r="B102" s="2">
        <f>'GERAL 2022'!H45</f>
        <v>14.184042553191489</v>
      </c>
      <c r="C102" s="88">
        <v>5</v>
      </c>
      <c r="D102" s="2">
        <f t="shared" si="8"/>
        <v>2.8368085106382979</v>
      </c>
      <c r="E102" s="88"/>
      <c r="F102" s="4"/>
      <c r="G102" s="69"/>
      <c r="H102" s="69"/>
      <c r="I102" s="142"/>
      <c r="J102" s="142"/>
      <c r="K102" s="142"/>
      <c r="L102" s="11"/>
      <c r="M102" s="14"/>
      <c r="N102" s="57"/>
      <c r="AT102" s="69"/>
    </row>
    <row r="103" spans="1:46" s="70" customFormat="1" x14ac:dyDescent="0.3">
      <c r="A103" s="69"/>
      <c r="B103" s="69"/>
      <c r="C103" s="69"/>
      <c r="D103" s="69"/>
      <c r="E103" s="69"/>
      <c r="F103" s="69"/>
      <c r="G103" s="69"/>
      <c r="H103" s="69"/>
      <c r="I103" s="142"/>
      <c r="J103" s="142"/>
      <c r="K103" s="142"/>
      <c r="L103" s="11"/>
      <c r="M103" s="11"/>
      <c r="N103" s="57"/>
      <c r="AT103" s="69"/>
    </row>
    <row r="104" spans="1:46" s="70" customFormat="1" x14ac:dyDescent="0.3">
      <c r="A104" s="69"/>
      <c r="B104" s="69"/>
      <c r="C104" s="69"/>
      <c r="D104" s="69"/>
      <c r="E104" s="69"/>
      <c r="F104" s="69"/>
      <c r="G104" s="69"/>
      <c r="H104" s="69"/>
      <c r="I104" s="142"/>
      <c r="J104" s="142"/>
      <c r="K104" s="142"/>
      <c r="L104" s="11"/>
      <c r="M104" s="11"/>
      <c r="N104" s="57"/>
      <c r="AT104" s="69"/>
    </row>
    <row r="105" spans="1:46" s="70" customFormat="1" x14ac:dyDescent="0.3">
      <c r="A105" s="69"/>
      <c r="B105" s="69"/>
      <c r="C105" s="69"/>
      <c r="D105" s="69"/>
      <c r="E105" s="69"/>
      <c r="F105" s="69"/>
      <c r="G105" s="69"/>
      <c r="H105" s="69"/>
      <c r="I105" s="142"/>
      <c r="J105" s="142"/>
      <c r="K105" s="142"/>
      <c r="L105" s="69"/>
      <c r="M105" s="69"/>
      <c r="N105" s="69"/>
      <c r="AT105" s="69"/>
    </row>
    <row r="106" spans="1:46" s="70" customFormat="1" x14ac:dyDescent="0.3">
      <c r="A106" s="69"/>
      <c r="B106" s="69"/>
      <c r="C106" s="69"/>
      <c r="D106" s="69"/>
      <c r="E106" s="69"/>
      <c r="F106" s="69"/>
      <c r="G106" s="69"/>
      <c r="H106" s="69"/>
      <c r="I106" s="142"/>
      <c r="J106" s="142"/>
      <c r="K106" s="142"/>
      <c r="L106" s="69"/>
      <c r="M106" s="69"/>
      <c r="N106" s="69"/>
      <c r="AT106" s="69"/>
    </row>
    <row r="107" spans="1:46" s="70" customFormat="1" x14ac:dyDescent="0.3">
      <c r="A107" s="69"/>
      <c r="B107" s="69"/>
      <c r="C107" s="69"/>
      <c r="D107" s="69"/>
      <c r="E107" s="69"/>
      <c r="F107" s="69"/>
      <c r="G107" s="69"/>
      <c r="H107" s="69"/>
      <c r="I107" s="142"/>
      <c r="J107" s="142"/>
      <c r="K107" s="142"/>
      <c r="L107" s="69"/>
      <c r="M107" s="69"/>
      <c r="N107" s="69"/>
      <c r="AT107" s="69"/>
    </row>
    <row r="108" spans="1:46" s="70" customFormat="1" x14ac:dyDescent="0.3">
      <c r="A108" s="69"/>
      <c r="B108" s="69"/>
      <c r="C108" s="69"/>
      <c r="D108" s="69"/>
      <c r="E108" s="69"/>
      <c r="F108" s="69"/>
      <c r="G108" s="69"/>
      <c r="H108" s="69"/>
      <c r="I108" s="142"/>
      <c r="J108" s="142"/>
      <c r="K108" s="142"/>
      <c r="L108" s="69"/>
      <c r="M108" s="69"/>
      <c r="N108" s="69"/>
      <c r="AT108" s="69"/>
    </row>
    <row r="109" spans="1:46" s="70" customFormat="1" x14ac:dyDescent="0.3">
      <c r="A109" s="69"/>
      <c r="B109" s="69"/>
      <c r="C109" s="69"/>
      <c r="D109" s="69"/>
      <c r="E109" s="69"/>
      <c r="F109" s="69"/>
      <c r="G109" s="69"/>
      <c r="H109" s="69"/>
      <c r="I109" s="142"/>
      <c r="J109" s="142"/>
      <c r="K109" s="142"/>
      <c r="L109" s="69"/>
      <c r="M109" s="69"/>
      <c r="N109" s="69"/>
      <c r="AT109" s="69"/>
    </row>
    <row r="110" spans="1:46" s="70" customFormat="1" x14ac:dyDescent="0.3">
      <c r="A110" s="69"/>
      <c r="B110" s="69"/>
      <c r="C110" s="69"/>
      <c r="D110" s="69"/>
      <c r="E110" s="69"/>
      <c r="F110" s="69"/>
      <c r="I110" s="142"/>
      <c r="J110" s="142"/>
      <c r="K110" s="142"/>
      <c r="L110" s="69"/>
      <c r="M110" s="69"/>
      <c r="N110" s="69"/>
      <c r="AT110" s="69"/>
    </row>
    <row r="111" spans="1:46" s="70" customFormat="1" x14ac:dyDescent="0.3">
      <c r="I111" s="142"/>
      <c r="J111" s="142"/>
      <c r="K111" s="142"/>
      <c r="L111" s="69"/>
      <c r="M111" s="69"/>
      <c r="N111" s="69"/>
      <c r="AT111" s="69"/>
    </row>
    <row r="112" spans="1:46" s="70" customFormat="1" x14ac:dyDescent="0.3">
      <c r="I112" s="142"/>
      <c r="J112" s="142"/>
      <c r="K112" s="142"/>
      <c r="L112" s="144"/>
      <c r="M112" s="69"/>
      <c r="N112" s="69"/>
      <c r="AT112" s="69"/>
    </row>
    <row r="113" spans="9:46" s="70" customFormat="1" x14ac:dyDescent="0.3">
      <c r="I113" s="142"/>
      <c r="J113" s="142"/>
      <c r="K113" s="142"/>
      <c r="L113" s="144"/>
      <c r="M113" s="69"/>
      <c r="N113" s="69"/>
      <c r="AT113" s="69"/>
    </row>
    <row r="114" spans="9:46" s="70" customFormat="1" x14ac:dyDescent="0.3">
      <c r="I114" s="142"/>
      <c r="J114" s="142"/>
      <c r="K114" s="142"/>
      <c r="L114" s="144"/>
      <c r="M114" s="69"/>
      <c r="AT114" s="69"/>
    </row>
    <row r="115" spans="9:46" s="70" customFormat="1" x14ac:dyDescent="0.3">
      <c r="I115" s="142"/>
      <c r="J115" s="142"/>
      <c r="K115" s="142"/>
      <c r="L115" s="144"/>
      <c r="M115" s="69"/>
      <c r="AT115" s="69"/>
    </row>
    <row r="116" spans="9:46" s="70" customFormat="1" x14ac:dyDescent="0.3">
      <c r="I116" s="142"/>
      <c r="J116" s="142"/>
      <c r="K116" s="142"/>
      <c r="L116" s="144"/>
      <c r="M116" s="69"/>
      <c r="AT116" s="69"/>
    </row>
    <row r="117" spans="9:46" s="70" customFormat="1" x14ac:dyDescent="0.3">
      <c r="I117" s="142"/>
      <c r="J117" s="142"/>
      <c r="K117" s="142"/>
      <c r="L117" s="144"/>
      <c r="M117" s="144"/>
      <c r="AT117" s="69"/>
    </row>
    <row r="118" spans="9:46" s="70" customFormat="1" x14ac:dyDescent="0.3">
      <c r="I118" s="142"/>
      <c r="J118" s="142"/>
      <c r="K118" s="142"/>
      <c r="L118" s="144"/>
      <c r="M118" s="144"/>
      <c r="AT118" s="69"/>
    </row>
    <row r="119" spans="9:46" s="70" customFormat="1" x14ac:dyDescent="0.3">
      <c r="I119" s="142"/>
      <c r="J119" s="142"/>
      <c r="K119" s="142"/>
      <c r="L119" s="144"/>
      <c r="M119" s="144"/>
      <c r="AT119" s="69"/>
    </row>
    <row r="120" spans="9:46" s="70" customFormat="1" x14ac:dyDescent="0.3">
      <c r="I120" s="142"/>
      <c r="J120" s="142"/>
      <c r="K120" s="142"/>
      <c r="L120" s="144"/>
      <c r="M120" s="144"/>
      <c r="AT120" s="69"/>
    </row>
    <row r="121" spans="9:46" s="70" customFormat="1" x14ac:dyDescent="0.3">
      <c r="I121" s="142"/>
      <c r="J121" s="142"/>
      <c r="K121" s="142"/>
      <c r="L121" s="144"/>
      <c r="M121" s="144"/>
      <c r="AT121" s="69"/>
    </row>
    <row r="122" spans="9:46" s="70" customFormat="1" x14ac:dyDescent="0.3">
      <c r="I122" s="142"/>
      <c r="J122" s="142"/>
      <c r="K122" s="142"/>
      <c r="L122" s="144"/>
      <c r="M122" s="144"/>
      <c r="AT122" s="69"/>
    </row>
    <row r="123" spans="9:46" s="70" customFormat="1" x14ac:dyDescent="0.3">
      <c r="I123" s="142"/>
      <c r="J123" s="142"/>
      <c r="K123" s="142"/>
      <c r="L123" s="144"/>
      <c r="M123" s="144"/>
      <c r="AT123" s="69"/>
    </row>
    <row r="124" spans="9:46" s="70" customFormat="1" x14ac:dyDescent="0.3">
      <c r="I124" s="142"/>
      <c r="J124" s="142"/>
      <c r="K124" s="142"/>
      <c r="L124" s="144"/>
      <c r="M124" s="144"/>
      <c r="AT124" s="69"/>
    </row>
    <row r="125" spans="9:46" s="70" customFormat="1" x14ac:dyDescent="0.3">
      <c r="I125" s="142"/>
      <c r="J125" s="142"/>
      <c r="K125" s="142"/>
      <c r="L125" s="144"/>
      <c r="M125" s="144"/>
      <c r="AT125" s="69"/>
    </row>
    <row r="126" spans="9:46" s="70" customFormat="1" x14ac:dyDescent="0.3">
      <c r="I126" s="142"/>
      <c r="J126" s="142"/>
      <c r="K126" s="142"/>
      <c r="L126" s="144"/>
      <c r="M126" s="144"/>
      <c r="AT126" s="69"/>
    </row>
    <row r="127" spans="9:46" s="70" customFormat="1" x14ac:dyDescent="0.3">
      <c r="I127" s="142"/>
      <c r="J127" s="142"/>
      <c r="K127" s="142"/>
      <c r="L127" s="144"/>
      <c r="M127" s="144"/>
      <c r="AT127" s="69"/>
    </row>
    <row r="128" spans="9:46" s="70" customFormat="1" x14ac:dyDescent="0.3">
      <c r="I128" s="142"/>
      <c r="J128" s="142"/>
      <c r="K128" s="142"/>
      <c r="L128" s="144"/>
      <c r="M128" s="144"/>
      <c r="AT128" s="69"/>
    </row>
    <row r="129" spans="9:46" s="70" customFormat="1" x14ac:dyDescent="0.3">
      <c r="I129" s="142"/>
      <c r="J129" s="142"/>
      <c r="K129" s="142"/>
      <c r="L129" s="144"/>
      <c r="M129" s="144"/>
      <c r="AT129" s="69"/>
    </row>
    <row r="130" spans="9:46" s="70" customFormat="1" x14ac:dyDescent="0.3">
      <c r="I130" s="142"/>
      <c r="J130" s="142"/>
      <c r="K130" s="142"/>
      <c r="L130" s="144"/>
      <c r="M130" s="144"/>
      <c r="AT130" s="69"/>
    </row>
    <row r="131" spans="9:46" s="70" customFormat="1" x14ac:dyDescent="0.3">
      <c r="I131" s="142"/>
      <c r="J131" s="142"/>
      <c r="K131" s="142"/>
      <c r="L131" s="144"/>
      <c r="M131" s="144"/>
      <c r="AT131" s="69"/>
    </row>
    <row r="132" spans="9:46" s="70" customFormat="1" x14ac:dyDescent="0.3">
      <c r="I132" s="142"/>
      <c r="J132" s="142"/>
      <c r="K132" s="142"/>
      <c r="L132" s="144"/>
      <c r="M132" s="144"/>
      <c r="AT132" s="69"/>
    </row>
    <row r="133" spans="9:46" s="70" customFormat="1" x14ac:dyDescent="0.3">
      <c r="I133" s="142"/>
      <c r="J133" s="142"/>
      <c r="K133" s="142"/>
      <c r="L133" s="144"/>
      <c r="M133" s="144"/>
      <c r="AT133" s="69"/>
    </row>
    <row r="134" spans="9:46" s="70" customFormat="1" x14ac:dyDescent="0.3">
      <c r="I134" s="142"/>
      <c r="J134" s="142"/>
      <c r="K134" s="142"/>
      <c r="L134" s="144"/>
      <c r="M134" s="144"/>
      <c r="AT134" s="69"/>
    </row>
    <row r="135" spans="9:46" s="70" customFormat="1" x14ac:dyDescent="0.3">
      <c r="I135" s="142"/>
      <c r="J135" s="142"/>
      <c r="K135" s="142"/>
      <c r="L135" s="144"/>
      <c r="M135" s="144"/>
      <c r="AT135" s="69"/>
    </row>
    <row r="136" spans="9:46" s="70" customFormat="1" x14ac:dyDescent="0.3">
      <c r="I136" s="142"/>
      <c r="J136" s="142"/>
      <c r="K136" s="142"/>
      <c r="L136" s="144"/>
      <c r="M136" s="144"/>
      <c r="AT136" s="69"/>
    </row>
    <row r="137" spans="9:46" s="70" customFormat="1" x14ac:dyDescent="0.3">
      <c r="I137" s="142"/>
      <c r="J137" s="142"/>
      <c r="K137" s="142"/>
      <c r="L137" s="144"/>
      <c r="M137" s="144"/>
      <c r="AT137" s="69"/>
    </row>
    <row r="138" spans="9:46" s="70" customFormat="1" x14ac:dyDescent="0.3">
      <c r="I138" s="142"/>
      <c r="J138" s="142"/>
      <c r="K138" s="142"/>
      <c r="L138" s="144"/>
      <c r="M138" s="144"/>
      <c r="AT138" s="69"/>
    </row>
    <row r="139" spans="9:46" s="70" customFormat="1" x14ac:dyDescent="0.3">
      <c r="I139" s="142"/>
      <c r="J139" s="142"/>
      <c r="K139" s="142"/>
      <c r="L139" s="144"/>
      <c r="M139" s="144"/>
      <c r="AT139" s="69"/>
    </row>
    <row r="140" spans="9:46" s="70" customFormat="1" x14ac:dyDescent="0.3">
      <c r="I140" s="142"/>
      <c r="J140" s="142"/>
      <c r="K140" s="142"/>
      <c r="L140" s="144"/>
      <c r="M140" s="144"/>
      <c r="AT140" s="69"/>
    </row>
    <row r="141" spans="9:46" s="70" customFormat="1" x14ac:dyDescent="0.3">
      <c r="I141" s="142"/>
      <c r="J141" s="142"/>
      <c r="K141" s="142"/>
      <c r="L141" s="144"/>
      <c r="M141" s="144"/>
      <c r="AT141" s="69"/>
    </row>
    <row r="142" spans="9:46" s="70" customFormat="1" x14ac:dyDescent="0.3">
      <c r="I142" s="142"/>
      <c r="J142" s="142"/>
      <c r="K142" s="142"/>
      <c r="L142" s="144"/>
      <c r="M142" s="144"/>
      <c r="AT142" s="69"/>
    </row>
    <row r="143" spans="9:46" s="70" customFormat="1" x14ac:dyDescent="0.3">
      <c r="I143" s="142"/>
      <c r="J143" s="142"/>
      <c r="K143" s="142"/>
      <c r="L143" s="144"/>
      <c r="M143" s="144"/>
      <c r="AT143" s="69"/>
    </row>
    <row r="144" spans="9:46" s="70" customFormat="1" x14ac:dyDescent="0.3">
      <c r="I144" s="142"/>
      <c r="J144" s="142"/>
      <c r="K144" s="142"/>
      <c r="L144" s="144"/>
      <c r="M144" s="144"/>
      <c r="AT144" s="69"/>
    </row>
    <row r="145" spans="9:46" s="70" customFormat="1" x14ac:dyDescent="0.3">
      <c r="I145" s="142"/>
      <c r="J145" s="142"/>
      <c r="K145" s="142"/>
      <c r="L145" s="144"/>
      <c r="M145" s="144"/>
      <c r="AT145" s="69"/>
    </row>
    <row r="146" spans="9:46" s="70" customFormat="1" x14ac:dyDescent="0.3">
      <c r="I146" s="142"/>
      <c r="J146" s="142"/>
      <c r="K146" s="142"/>
      <c r="L146" s="144"/>
      <c r="M146" s="144"/>
      <c r="AT146" s="69"/>
    </row>
    <row r="147" spans="9:46" s="70" customFormat="1" x14ac:dyDescent="0.3">
      <c r="I147" s="142"/>
      <c r="J147" s="142"/>
      <c r="K147" s="142"/>
      <c r="L147" s="144"/>
      <c r="M147" s="144"/>
      <c r="AT147" s="69"/>
    </row>
    <row r="148" spans="9:46" s="70" customFormat="1" x14ac:dyDescent="0.3">
      <c r="I148" s="142"/>
      <c r="J148" s="142"/>
      <c r="K148" s="142"/>
      <c r="L148" s="144"/>
      <c r="M148" s="144"/>
      <c r="AT148" s="69"/>
    </row>
    <row r="149" spans="9:46" s="70" customFormat="1" x14ac:dyDescent="0.3">
      <c r="I149" s="142"/>
      <c r="J149" s="142"/>
      <c r="K149" s="142"/>
      <c r="L149" s="144"/>
      <c r="M149" s="144"/>
      <c r="AT149" s="69"/>
    </row>
    <row r="150" spans="9:46" s="70" customFormat="1" x14ac:dyDescent="0.3">
      <c r="I150" s="142"/>
      <c r="J150" s="142"/>
      <c r="K150" s="142"/>
      <c r="L150" s="144"/>
      <c r="M150" s="144"/>
      <c r="AT150" s="69"/>
    </row>
    <row r="151" spans="9:46" s="70" customFormat="1" x14ac:dyDescent="0.3">
      <c r="I151" s="142"/>
      <c r="J151" s="142"/>
      <c r="K151" s="142"/>
      <c r="L151" s="144"/>
      <c r="M151" s="144"/>
      <c r="AT151" s="69"/>
    </row>
    <row r="152" spans="9:46" s="70" customFormat="1" x14ac:dyDescent="0.3">
      <c r="I152" s="142"/>
      <c r="J152" s="142"/>
      <c r="K152" s="142"/>
      <c r="L152" s="144"/>
      <c r="M152" s="144"/>
      <c r="AT152" s="69"/>
    </row>
    <row r="153" spans="9:46" s="70" customFormat="1" x14ac:dyDescent="0.3">
      <c r="I153" s="142"/>
      <c r="J153" s="142"/>
      <c r="K153" s="142"/>
      <c r="L153" s="144"/>
      <c r="M153" s="144"/>
      <c r="AT153" s="69"/>
    </row>
    <row r="154" spans="9:46" s="70" customFormat="1" x14ac:dyDescent="0.3">
      <c r="I154" s="142"/>
      <c r="J154" s="142"/>
      <c r="K154" s="142"/>
      <c r="L154" s="144"/>
      <c r="M154" s="144"/>
      <c r="AT154" s="69"/>
    </row>
    <row r="155" spans="9:46" s="70" customFormat="1" x14ac:dyDescent="0.3">
      <c r="I155" s="142"/>
      <c r="J155" s="142"/>
      <c r="K155" s="142"/>
      <c r="L155" s="144"/>
      <c r="M155" s="144"/>
      <c r="AT155" s="69"/>
    </row>
    <row r="156" spans="9:46" s="70" customFormat="1" x14ac:dyDescent="0.3">
      <c r="I156" s="142"/>
      <c r="J156" s="142"/>
      <c r="K156" s="142"/>
      <c r="L156" s="144"/>
      <c r="M156" s="144"/>
      <c r="AT156" s="69"/>
    </row>
    <row r="157" spans="9:46" s="70" customFormat="1" x14ac:dyDescent="0.3">
      <c r="I157" s="142"/>
      <c r="J157" s="142"/>
      <c r="K157" s="142"/>
      <c r="L157" s="144"/>
      <c r="M157" s="144"/>
      <c r="AT157" s="69"/>
    </row>
    <row r="158" spans="9:46" s="70" customFormat="1" x14ac:dyDescent="0.3">
      <c r="I158" s="142"/>
      <c r="J158" s="142"/>
      <c r="K158" s="142"/>
      <c r="L158" s="144"/>
      <c r="M158" s="144"/>
      <c r="AT158" s="69"/>
    </row>
    <row r="159" spans="9:46" s="70" customFormat="1" x14ac:dyDescent="0.3">
      <c r="I159" s="142"/>
      <c r="J159" s="142"/>
      <c r="K159" s="142"/>
      <c r="L159" s="144"/>
      <c r="M159" s="144"/>
      <c r="AT159" s="69"/>
    </row>
    <row r="160" spans="9:46" s="70" customFormat="1" x14ac:dyDescent="0.3">
      <c r="I160" s="142"/>
      <c r="J160" s="142"/>
      <c r="K160" s="142"/>
      <c r="L160" s="144"/>
      <c r="M160" s="144"/>
      <c r="AT160" s="69"/>
    </row>
    <row r="161" spans="1:47" s="70" customFormat="1" x14ac:dyDescent="0.3">
      <c r="I161" s="142"/>
      <c r="J161" s="142"/>
      <c r="K161" s="142"/>
      <c r="L161" s="144"/>
      <c r="M161" s="144"/>
      <c r="AT161" s="69"/>
    </row>
    <row r="162" spans="1:47" s="70" customFormat="1" x14ac:dyDescent="0.3">
      <c r="I162" s="142"/>
      <c r="J162" s="142"/>
      <c r="K162" s="142"/>
      <c r="L162" s="144"/>
      <c r="M162" s="144"/>
      <c r="AT162" s="69"/>
    </row>
    <row r="163" spans="1:47" s="70" customFormat="1" x14ac:dyDescent="0.3">
      <c r="I163" s="142"/>
      <c r="J163" s="142"/>
      <c r="K163" s="142"/>
      <c r="L163" s="144"/>
      <c r="M163" s="144"/>
      <c r="AT163" s="69"/>
    </row>
    <row r="164" spans="1:47" s="70" customFormat="1" x14ac:dyDescent="0.3">
      <c r="I164" s="142"/>
      <c r="J164" s="142"/>
      <c r="K164" s="142"/>
      <c r="L164" s="144"/>
      <c r="M164" s="144"/>
      <c r="AT164" s="69"/>
    </row>
    <row r="165" spans="1:47" s="145" customFormat="1" x14ac:dyDescent="0.3">
      <c r="A165" s="70"/>
      <c r="B165" s="70"/>
      <c r="C165" s="70"/>
      <c r="D165" s="70"/>
      <c r="E165" s="70"/>
      <c r="F165" s="70"/>
      <c r="G165" s="70"/>
      <c r="H165" s="70"/>
      <c r="I165" s="142"/>
      <c r="J165" s="142"/>
      <c r="K165" s="142"/>
      <c r="L165" s="144"/>
      <c r="M165" s="144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69"/>
      <c r="AU165" s="70"/>
    </row>
    <row r="166" spans="1:47" s="145" customFormat="1" x14ac:dyDescent="0.3">
      <c r="A166" s="70"/>
      <c r="B166" s="70"/>
      <c r="C166" s="70"/>
      <c r="D166" s="70"/>
      <c r="E166" s="70"/>
      <c r="F166" s="70"/>
      <c r="G166" s="70"/>
      <c r="H166" s="70"/>
      <c r="I166" s="142"/>
      <c r="J166" s="142"/>
      <c r="K166" s="142"/>
      <c r="L166" s="144"/>
      <c r="M166" s="144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69"/>
      <c r="AU166" s="70"/>
    </row>
    <row r="167" spans="1:47" s="145" customFormat="1" x14ac:dyDescent="0.3">
      <c r="A167" s="70"/>
      <c r="B167" s="70"/>
      <c r="C167" s="70"/>
      <c r="D167" s="70"/>
      <c r="E167" s="70"/>
      <c r="F167" s="70"/>
      <c r="G167" s="70"/>
      <c r="H167" s="70"/>
      <c r="I167" s="142"/>
      <c r="J167" s="142"/>
      <c r="K167" s="142"/>
      <c r="L167" s="144"/>
      <c r="M167" s="144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69"/>
      <c r="AU167" s="70"/>
    </row>
    <row r="168" spans="1:47" s="145" customFormat="1" x14ac:dyDescent="0.3">
      <c r="A168" s="70"/>
      <c r="B168" s="70"/>
      <c r="C168" s="70"/>
      <c r="D168" s="70"/>
      <c r="E168" s="70"/>
      <c r="F168" s="70"/>
      <c r="G168" s="70"/>
      <c r="H168" s="70"/>
      <c r="I168" s="142"/>
      <c r="J168" s="142"/>
      <c r="K168" s="142"/>
      <c r="L168" s="144"/>
      <c r="M168" s="144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69"/>
      <c r="AU168" s="70"/>
    </row>
    <row r="169" spans="1:47" s="145" customFormat="1" x14ac:dyDescent="0.3">
      <c r="A169" s="70"/>
      <c r="B169" s="70"/>
      <c r="C169" s="70"/>
      <c r="D169" s="70"/>
      <c r="E169" s="70"/>
      <c r="F169" s="70"/>
      <c r="G169" s="70"/>
      <c r="H169" s="70"/>
      <c r="I169" s="142"/>
      <c r="J169" s="142"/>
      <c r="K169" s="142"/>
      <c r="L169" s="144"/>
      <c r="M169" s="144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69"/>
      <c r="AU169" s="70"/>
    </row>
    <row r="170" spans="1:47" s="145" customFormat="1" x14ac:dyDescent="0.3">
      <c r="A170" s="70"/>
      <c r="B170" s="70"/>
      <c r="C170" s="70"/>
      <c r="D170" s="70"/>
      <c r="E170" s="70"/>
      <c r="F170" s="70"/>
      <c r="G170" s="70"/>
      <c r="H170" s="70"/>
      <c r="I170" s="142"/>
      <c r="J170" s="142"/>
      <c r="K170" s="142"/>
      <c r="L170" s="144"/>
      <c r="M170" s="144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69"/>
      <c r="AU170" s="70"/>
    </row>
    <row r="171" spans="1:47" s="145" customFormat="1" x14ac:dyDescent="0.3">
      <c r="A171" s="70"/>
      <c r="B171" s="70"/>
      <c r="C171" s="70"/>
      <c r="D171" s="70"/>
      <c r="E171" s="70"/>
      <c r="F171" s="70"/>
      <c r="G171" s="70"/>
      <c r="H171" s="70"/>
      <c r="I171" s="142"/>
      <c r="J171" s="142"/>
      <c r="K171" s="142"/>
      <c r="L171" s="144"/>
      <c r="M171" s="144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69"/>
      <c r="AU171" s="70"/>
    </row>
    <row r="172" spans="1:47" s="145" customFormat="1" x14ac:dyDescent="0.3">
      <c r="A172" s="70"/>
      <c r="B172" s="70"/>
      <c r="C172" s="70"/>
      <c r="D172" s="70"/>
      <c r="E172" s="70"/>
      <c r="F172" s="70"/>
      <c r="G172" s="70"/>
      <c r="H172" s="70"/>
      <c r="I172" s="142"/>
      <c r="J172" s="142"/>
      <c r="K172" s="142"/>
      <c r="L172" s="144"/>
      <c r="M172" s="144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69"/>
      <c r="AU172" s="70"/>
    </row>
    <row r="173" spans="1:47" s="145" customFormat="1" x14ac:dyDescent="0.3">
      <c r="A173" s="70"/>
      <c r="B173" s="70"/>
      <c r="C173" s="70"/>
      <c r="D173" s="70"/>
      <c r="E173" s="70"/>
      <c r="F173" s="70"/>
      <c r="G173" s="70"/>
      <c r="H173" s="70"/>
      <c r="I173" s="142"/>
      <c r="J173" s="142"/>
      <c r="K173" s="142"/>
      <c r="L173" s="144"/>
      <c r="M173" s="144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69"/>
      <c r="AU173" s="70"/>
    </row>
    <row r="174" spans="1:47" s="145" customFormat="1" x14ac:dyDescent="0.3">
      <c r="A174" s="70"/>
      <c r="B174" s="70"/>
      <c r="C174" s="70"/>
      <c r="D174" s="70"/>
      <c r="E174" s="70"/>
      <c r="F174" s="70"/>
      <c r="G174" s="70"/>
      <c r="H174" s="70"/>
      <c r="I174" s="142"/>
      <c r="J174" s="142"/>
      <c r="K174" s="142"/>
      <c r="L174" s="144"/>
      <c r="M174" s="144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69"/>
      <c r="AU174" s="70"/>
    </row>
    <row r="175" spans="1:47" s="145" customFormat="1" x14ac:dyDescent="0.3">
      <c r="A175" s="70"/>
      <c r="B175" s="70"/>
      <c r="C175" s="70"/>
      <c r="D175" s="70"/>
      <c r="E175" s="70"/>
      <c r="F175" s="70"/>
      <c r="G175" s="70"/>
      <c r="H175" s="70"/>
      <c r="I175" s="142"/>
      <c r="J175" s="142"/>
      <c r="K175" s="142"/>
      <c r="L175" s="144"/>
      <c r="M175" s="144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69"/>
      <c r="AU175" s="70"/>
    </row>
    <row r="176" spans="1:47" s="145" customFormat="1" x14ac:dyDescent="0.3">
      <c r="A176" s="70"/>
      <c r="B176" s="70"/>
      <c r="C176" s="70"/>
      <c r="D176" s="70"/>
      <c r="E176" s="70"/>
      <c r="F176" s="70"/>
      <c r="G176" s="70"/>
      <c r="H176" s="70"/>
      <c r="I176" s="142"/>
      <c r="J176" s="142"/>
      <c r="K176" s="142"/>
      <c r="L176" s="144"/>
      <c r="M176" s="144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69"/>
      <c r="AU176" s="70"/>
    </row>
    <row r="177" spans="1:47" s="145" customFormat="1" x14ac:dyDescent="0.3">
      <c r="A177" s="70"/>
      <c r="B177" s="70"/>
      <c r="C177" s="70"/>
      <c r="D177" s="70"/>
      <c r="E177" s="70"/>
      <c r="F177" s="70"/>
      <c r="G177" s="70"/>
      <c r="H177" s="70"/>
      <c r="I177" s="146"/>
      <c r="J177" s="146"/>
      <c r="K177" s="146"/>
      <c r="L177" s="144"/>
      <c r="M177" s="144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69"/>
      <c r="AU177" s="70"/>
    </row>
    <row r="178" spans="1:47" s="145" customFormat="1" x14ac:dyDescent="0.3">
      <c r="A178" s="70"/>
      <c r="B178" s="70"/>
      <c r="C178" s="70"/>
      <c r="D178" s="70"/>
      <c r="E178" s="70"/>
      <c r="F178" s="70"/>
      <c r="G178" s="70"/>
      <c r="H178" s="70"/>
      <c r="I178" s="146"/>
      <c r="J178" s="146"/>
      <c r="K178" s="146"/>
      <c r="L178" s="144"/>
      <c r="M178" s="144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69"/>
      <c r="AU178" s="70"/>
    </row>
    <row r="179" spans="1:47" s="145" customFormat="1" x14ac:dyDescent="0.3">
      <c r="A179" s="70"/>
      <c r="B179" s="70"/>
      <c r="C179" s="70"/>
      <c r="D179" s="70"/>
      <c r="E179" s="70"/>
      <c r="F179" s="70"/>
      <c r="G179" s="70"/>
      <c r="H179" s="70"/>
      <c r="I179" s="146"/>
      <c r="J179" s="146"/>
      <c r="K179" s="146"/>
      <c r="L179" s="144"/>
      <c r="M179" s="144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69"/>
      <c r="AU179" s="70"/>
    </row>
    <row r="180" spans="1:47" s="145" customFormat="1" x14ac:dyDescent="0.3">
      <c r="A180" s="70"/>
      <c r="B180" s="70"/>
      <c r="C180" s="70"/>
      <c r="D180" s="70"/>
      <c r="E180" s="70"/>
      <c r="F180" s="70"/>
      <c r="G180" s="70"/>
      <c r="H180" s="70"/>
      <c r="I180" s="146"/>
      <c r="J180" s="146"/>
      <c r="K180" s="146"/>
      <c r="L180" s="144"/>
      <c r="M180" s="144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69"/>
      <c r="AU180" s="70"/>
    </row>
    <row r="181" spans="1:47" s="145" customFormat="1" x14ac:dyDescent="0.3">
      <c r="A181" s="70"/>
      <c r="B181" s="70"/>
      <c r="C181" s="70"/>
      <c r="D181" s="70"/>
      <c r="E181" s="70"/>
      <c r="F181" s="70"/>
      <c r="G181" s="70"/>
      <c r="H181" s="70"/>
      <c r="I181" s="146"/>
      <c r="J181" s="146"/>
      <c r="K181" s="146"/>
      <c r="L181" s="144"/>
      <c r="M181" s="144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69"/>
      <c r="AU181" s="70"/>
    </row>
    <row r="182" spans="1:47" x14ac:dyDescent="0.3">
      <c r="A182" s="70"/>
      <c r="B182" s="70"/>
      <c r="C182" s="70"/>
      <c r="D182" s="70"/>
      <c r="E182" s="70"/>
      <c r="F182" s="70"/>
      <c r="G182" s="70"/>
      <c r="H182" s="70"/>
      <c r="I182" s="146"/>
      <c r="J182" s="146"/>
      <c r="K182" s="146"/>
      <c r="L182" s="144"/>
      <c r="M182" s="144"/>
      <c r="N182" s="70"/>
      <c r="AT182" s="148"/>
      <c r="AU182" s="148"/>
    </row>
    <row r="183" spans="1:47" x14ac:dyDescent="0.3">
      <c r="A183" s="70"/>
      <c r="B183" s="70"/>
      <c r="C183" s="70"/>
      <c r="D183" s="70"/>
      <c r="E183" s="70"/>
      <c r="F183" s="70"/>
      <c r="G183" s="70"/>
      <c r="H183" s="70"/>
      <c r="I183" s="146"/>
      <c r="J183" s="146"/>
      <c r="K183" s="146"/>
      <c r="L183" s="144"/>
      <c r="M183" s="144"/>
      <c r="N183" s="70"/>
      <c r="AT183" s="148"/>
      <c r="AU183" s="148"/>
    </row>
    <row r="184" spans="1:47" x14ac:dyDescent="0.3">
      <c r="A184" s="70"/>
      <c r="B184" s="70"/>
      <c r="C184" s="70"/>
      <c r="D184" s="70"/>
      <c r="E184" s="70"/>
      <c r="F184" s="70"/>
      <c r="G184" s="70"/>
      <c r="H184" s="70"/>
      <c r="I184" s="146"/>
      <c r="J184" s="146"/>
      <c r="K184" s="146"/>
      <c r="L184" s="144"/>
      <c r="M184" s="144"/>
      <c r="N184" s="70"/>
      <c r="AT184" s="148"/>
      <c r="AU184" s="148"/>
    </row>
    <row r="185" spans="1:47" x14ac:dyDescent="0.3">
      <c r="A185" s="70"/>
      <c r="B185" s="70"/>
      <c r="C185" s="70"/>
      <c r="D185" s="70"/>
      <c r="E185" s="70"/>
      <c r="F185" s="70"/>
      <c r="G185" s="70"/>
      <c r="H185" s="70"/>
      <c r="I185" s="146"/>
      <c r="J185" s="146"/>
      <c r="K185" s="146"/>
      <c r="L185" s="144"/>
      <c r="M185" s="144"/>
      <c r="N185" s="70"/>
      <c r="AT185" s="148"/>
      <c r="AU185" s="148"/>
    </row>
    <row r="186" spans="1:47" x14ac:dyDescent="0.3">
      <c r="A186" s="70"/>
      <c r="B186" s="70"/>
      <c r="C186" s="70"/>
      <c r="D186" s="70"/>
      <c r="E186" s="70"/>
      <c r="F186" s="70"/>
      <c r="G186" s="70"/>
      <c r="H186" s="70"/>
      <c r="I186" s="146"/>
      <c r="J186" s="146"/>
      <c r="K186" s="146"/>
      <c r="L186" s="144"/>
      <c r="M186" s="144"/>
      <c r="N186" s="70"/>
      <c r="AT186" s="148"/>
      <c r="AU186" s="148"/>
    </row>
    <row r="187" spans="1:47" x14ac:dyDescent="0.3">
      <c r="A187" s="70"/>
      <c r="B187" s="70"/>
      <c r="C187" s="70"/>
      <c r="D187" s="70"/>
      <c r="E187" s="70"/>
      <c r="F187" s="70"/>
      <c r="G187" s="149"/>
      <c r="H187" s="149"/>
      <c r="I187" s="146"/>
      <c r="J187" s="146"/>
      <c r="K187" s="146"/>
      <c r="L187" s="144"/>
      <c r="M187" s="144"/>
      <c r="N187" s="70"/>
      <c r="AT187" s="148"/>
      <c r="AU187" s="148"/>
    </row>
    <row r="188" spans="1:47" x14ac:dyDescent="0.3">
      <c r="A188" s="149"/>
      <c r="B188" s="149"/>
      <c r="C188" s="149"/>
      <c r="D188" s="149"/>
      <c r="E188" s="149"/>
      <c r="F188" s="149"/>
      <c r="G188" s="149"/>
      <c r="H188" s="149"/>
      <c r="I188" s="146"/>
      <c r="J188" s="146"/>
      <c r="K188" s="146"/>
      <c r="L188" s="144"/>
      <c r="M188" s="144"/>
      <c r="N188" s="70"/>
      <c r="AT188" s="148"/>
      <c r="AU188" s="148"/>
    </row>
    <row r="189" spans="1:47" x14ac:dyDescent="0.3">
      <c r="A189" s="149"/>
      <c r="B189" s="149"/>
      <c r="C189" s="149"/>
      <c r="D189" s="149"/>
      <c r="E189" s="149"/>
      <c r="F189" s="149"/>
      <c r="G189" s="149"/>
      <c r="H189" s="149"/>
      <c r="I189" s="146"/>
      <c r="J189" s="146"/>
      <c r="K189" s="146"/>
      <c r="L189" s="147"/>
      <c r="M189" s="144"/>
      <c r="N189" s="70"/>
      <c r="AT189" s="148"/>
      <c r="AU189" s="148"/>
    </row>
    <row r="190" spans="1:47" x14ac:dyDescent="0.3">
      <c r="A190" s="149"/>
      <c r="B190" s="149"/>
      <c r="C190" s="149"/>
      <c r="D190" s="149"/>
      <c r="E190" s="149"/>
      <c r="F190" s="149"/>
      <c r="G190" s="149"/>
      <c r="H190" s="149"/>
      <c r="I190" s="146"/>
      <c r="J190" s="146"/>
      <c r="K190" s="146"/>
      <c r="L190" s="147"/>
      <c r="M190" s="144"/>
      <c r="N190" s="70"/>
      <c r="AT190" s="148"/>
      <c r="AU190" s="148"/>
    </row>
    <row r="191" spans="1:47" x14ac:dyDescent="0.3">
      <c r="A191" s="149"/>
      <c r="B191" s="149"/>
      <c r="C191" s="149"/>
      <c r="D191" s="149"/>
      <c r="E191" s="149"/>
      <c r="F191" s="149"/>
      <c r="G191" s="149"/>
      <c r="H191" s="149"/>
      <c r="I191" s="146"/>
      <c r="J191" s="146"/>
      <c r="K191" s="146"/>
      <c r="L191" s="147"/>
      <c r="M191" s="144"/>
      <c r="N191" s="70"/>
      <c r="AT191" s="148"/>
      <c r="AU191" s="148"/>
    </row>
    <row r="192" spans="1:47" x14ac:dyDescent="0.3">
      <c r="A192" s="149"/>
      <c r="B192" s="149"/>
      <c r="C192" s="149"/>
      <c r="D192" s="149"/>
      <c r="E192" s="149"/>
      <c r="F192" s="149"/>
      <c r="G192" s="149"/>
      <c r="H192" s="149"/>
      <c r="I192" s="146"/>
      <c r="J192" s="146"/>
      <c r="K192" s="146"/>
      <c r="L192" s="147"/>
      <c r="M192" s="144"/>
      <c r="N192" s="149"/>
      <c r="AT192" s="148"/>
      <c r="AU192" s="148"/>
    </row>
    <row r="193" spans="1:47" x14ac:dyDescent="0.3">
      <c r="A193" s="149"/>
      <c r="B193" s="149"/>
      <c r="C193" s="149"/>
      <c r="D193" s="149"/>
      <c r="E193" s="149"/>
      <c r="F193" s="149"/>
      <c r="G193" s="149"/>
      <c r="H193" s="149"/>
      <c r="I193" s="146"/>
      <c r="J193" s="146"/>
      <c r="K193" s="146"/>
      <c r="L193" s="147"/>
      <c r="M193" s="144"/>
      <c r="N193" s="149"/>
      <c r="AT193" s="148"/>
      <c r="AU193" s="148"/>
    </row>
    <row r="194" spans="1:47" x14ac:dyDescent="0.3">
      <c r="A194" s="149"/>
      <c r="B194" s="149"/>
      <c r="C194" s="149"/>
      <c r="D194" s="149"/>
      <c r="E194" s="149"/>
      <c r="F194" s="149"/>
      <c r="G194" s="149"/>
      <c r="H194" s="149"/>
      <c r="L194" s="147"/>
      <c r="M194" s="147"/>
      <c r="N194" s="149"/>
    </row>
    <row r="195" spans="1:47" x14ac:dyDescent="0.3">
      <c r="A195" s="149"/>
      <c r="B195" s="149"/>
      <c r="C195" s="149"/>
      <c r="D195" s="149"/>
      <c r="E195" s="149"/>
      <c r="F195" s="149"/>
      <c r="G195" s="149"/>
      <c r="H195" s="149"/>
      <c r="L195" s="147"/>
      <c r="M195" s="147"/>
      <c r="N195" s="14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/>
      <c r="AO195" s="69"/>
      <c r="AP195" s="69"/>
      <c r="AQ195" s="69"/>
      <c r="AR195" s="69"/>
      <c r="AS195" s="69"/>
      <c r="AT195" s="148"/>
      <c r="AU195" s="148"/>
    </row>
    <row r="196" spans="1:47" x14ac:dyDescent="0.3">
      <c r="A196" s="149"/>
      <c r="B196" s="149"/>
      <c r="C196" s="149"/>
      <c r="D196" s="149"/>
      <c r="E196" s="149"/>
      <c r="F196" s="149"/>
      <c r="G196" s="149"/>
      <c r="H196" s="149"/>
      <c r="L196" s="147"/>
      <c r="M196" s="147"/>
      <c r="N196" s="149"/>
    </row>
    <row r="197" spans="1:47" x14ac:dyDescent="0.3">
      <c r="A197" s="149"/>
      <c r="B197" s="149"/>
      <c r="C197" s="149"/>
      <c r="D197" s="149"/>
      <c r="E197" s="149"/>
      <c r="F197" s="149"/>
      <c r="G197" s="149"/>
      <c r="H197" s="149"/>
      <c r="L197" s="147"/>
      <c r="M197" s="147"/>
      <c r="N197" s="149"/>
    </row>
    <row r="198" spans="1:47" x14ac:dyDescent="0.3">
      <c r="A198" s="149"/>
      <c r="B198" s="149"/>
      <c r="C198" s="149"/>
      <c r="D198" s="149"/>
      <c r="E198" s="149"/>
      <c r="F198" s="149"/>
      <c r="G198" s="149"/>
      <c r="H198" s="149"/>
      <c r="L198" s="147"/>
      <c r="M198" s="147"/>
      <c r="N198" s="149"/>
    </row>
    <row r="199" spans="1:47" x14ac:dyDescent="0.3">
      <c r="A199" s="149"/>
      <c r="B199" s="149"/>
      <c r="C199" s="149"/>
      <c r="D199" s="149"/>
      <c r="E199" s="149"/>
      <c r="F199" s="149"/>
      <c r="G199" s="149"/>
      <c r="H199" s="149"/>
      <c r="L199" s="147"/>
      <c r="M199" s="147"/>
      <c r="N199" s="149"/>
    </row>
    <row r="200" spans="1:47" x14ac:dyDescent="0.3">
      <c r="A200" s="149"/>
      <c r="B200" s="149"/>
      <c r="C200" s="149"/>
      <c r="D200" s="149"/>
      <c r="E200" s="149"/>
      <c r="F200" s="149"/>
      <c r="G200" s="149"/>
      <c r="H200" s="149"/>
      <c r="L200" s="147"/>
      <c r="M200" s="147"/>
      <c r="N200" s="149"/>
    </row>
    <row r="201" spans="1:47" x14ac:dyDescent="0.3">
      <c r="A201" s="149"/>
      <c r="B201" s="149"/>
      <c r="C201" s="149"/>
      <c r="D201" s="149"/>
      <c r="E201" s="149"/>
      <c r="F201" s="149"/>
      <c r="G201" s="149"/>
      <c r="H201" s="149"/>
      <c r="L201" s="147"/>
      <c r="M201" s="147"/>
      <c r="N201" s="149"/>
    </row>
    <row r="202" spans="1:47" x14ac:dyDescent="0.3">
      <c r="A202" s="149"/>
      <c r="B202" s="149"/>
      <c r="C202" s="149"/>
      <c r="D202" s="149"/>
      <c r="E202" s="149"/>
      <c r="F202" s="149"/>
      <c r="G202" s="149"/>
      <c r="H202" s="149"/>
      <c r="L202" s="147"/>
      <c r="M202" s="147"/>
      <c r="N202" s="149"/>
    </row>
    <row r="203" spans="1:47" x14ac:dyDescent="0.3">
      <c r="A203" s="149"/>
      <c r="B203" s="149"/>
      <c r="C203" s="149"/>
      <c r="D203" s="149"/>
      <c r="E203" s="149"/>
      <c r="F203" s="149"/>
      <c r="G203" s="149"/>
      <c r="H203" s="149"/>
      <c r="L203" s="147"/>
      <c r="M203" s="147"/>
      <c r="N203" s="149"/>
    </row>
    <row r="204" spans="1:47" x14ac:dyDescent="0.3">
      <c r="A204" s="149"/>
      <c r="B204" s="149"/>
      <c r="C204" s="149"/>
      <c r="D204" s="149"/>
      <c r="E204" s="149"/>
      <c r="F204" s="149"/>
      <c r="L204" s="147"/>
      <c r="M204" s="147"/>
    </row>
    <row r="205" spans="1:47" x14ac:dyDescent="0.3">
      <c r="L205" s="147"/>
      <c r="M205" s="147"/>
    </row>
    <row r="206" spans="1:47" x14ac:dyDescent="0.3">
      <c r="M206" s="147"/>
    </row>
    <row r="207" spans="1:47" x14ac:dyDescent="0.3">
      <c r="I207" s="148"/>
      <c r="J207" s="148"/>
      <c r="K207" s="148"/>
      <c r="M207" s="147"/>
    </row>
    <row r="208" spans="1:47" x14ac:dyDescent="0.3">
      <c r="M208" s="147"/>
    </row>
    <row r="209" spans="12:13" x14ac:dyDescent="0.3">
      <c r="M209" s="147"/>
    </row>
    <row r="210" spans="12:13" x14ac:dyDescent="0.3">
      <c r="L210" s="148"/>
      <c r="M210" s="147"/>
    </row>
    <row r="1048539" spans="1:58" s="70" customFormat="1" x14ac:dyDescent="0.3">
      <c r="A1048539" s="148"/>
      <c r="B1048539" s="148"/>
      <c r="C1048539" s="148"/>
      <c r="D1048539" s="148"/>
      <c r="E1048539" s="148"/>
      <c r="F1048539" s="148"/>
      <c r="G1048539" s="148"/>
      <c r="H1048539" s="148"/>
      <c r="I1048539" s="150"/>
      <c r="J1048539" s="150"/>
      <c r="K1048539" s="150"/>
      <c r="L1048539" s="150"/>
      <c r="M1048539" s="150"/>
      <c r="N1048539" s="148"/>
      <c r="AT1048539" s="69"/>
      <c r="AU1048539" s="69"/>
      <c r="AV1048539" s="148"/>
      <c r="AW1048539" s="148"/>
      <c r="AX1048539" s="148"/>
      <c r="AY1048539" s="148"/>
      <c r="AZ1048539" s="148"/>
      <c r="BA1048539" s="148"/>
      <c r="BB1048539" s="148"/>
      <c r="BC1048539" s="148"/>
      <c r="BD1048539" s="148"/>
      <c r="BE1048539" s="148"/>
      <c r="BF1048539" s="148"/>
    </row>
    <row r="1048548" spans="14:14" x14ac:dyDescent="0.3">
      <c r="N1048548" s="57"/>
    </row>
  </sheetData>
  <mergeCells count="56">
    <mergeCell ref="L83:M83"/>
    <mergeCell ref="L84:M84"/>
    <mergeCell ref="L85:N85"/>
    <mergeCell ref="L86:M86"/>
    <mergeCell ref="L77:M77"/>
    <mergeCell ref="L78:M78"/>
    <mergeCell ref="L79:M79"/>
    <mergeCell ref="L80:M80"/>
    <mergeCell ref="L81:M81"/>
    <mergeCell ref="L82:M82"/>
    <mergeCell ref="L76:M76"/>
    <mergeCell ref="L65:M65"/>
    <mergeCell ref="L66:M66"/>
    <mergeCell ref="L67:M67"/>
    <mergeCell ref="L68:M68"/>
    <mergeCell ref="L69:M69"/>
    <mergeCell ref="L70:M70"/>
    <mergeCell ref="L71:M71"/>
    <mergeCell ref="L72:M72"/>
    <mergeCell ref="L73:M73"/>
    <mergeCell ref="L74:M74"/>
    <mergeCell ref="L75:M75"/>
    <mergeCell ref="L64:M64"/>
    <mergeCell ref="L52:M52"/>
    <mergeCell ref="L53:M53"/>
    <mergeCell ref="L54:M54"/>
    <mergeCell ref="L55:M55"/>
    <mergeCell ref="L57:M57"/>
    <mergeCell ref="L58:M58"/>
    <mergeCell ref="L59:M59"/>
    <mergeCell ref="L60:M60"/>
    <mergeCell ref="L61:M61"/>
    <mergeCell ref="L63:M63"/>
    <mergeCell ref="L56:M56"/>
    <mergeCell ref="L62:M62"/>
    <mergeCell ref="L51:N51"/>
    <mergeCell ref="A40:N40"/>
    <mergeCell ref="D41:H41"/>
    <mergeCell ref="D42:H42"/>
    <mergeCell ref="D43:H43"/>
    <mergeCell ref="A44:H44"/>
    <mergeCell ref="A46:F46"/>
    <mergeCell ref="L46:N46"/>
    <mergeCell ref="L47:M47"/>
    <mergeCell ref="L48:M48"/>
    <mergeCell ref="L49:N50"/>
    <mergeCell ref="A39:L39"/>
    <mergeCell ref="A1:N1"/>
    <mergeCell ref="A2:N2"/>
    <mergeCell ref="A32:B32"/>
    <mergeCell ref="A34:N34"/>
    <mergeCell ref="D35:H35"/>
    <mergeCell ref="D36:H36"/>
    <mergeCell ref="A38:H38"/>
    <mergeCell ref="L38:N38"/>
    <mergeCell ref="D37:H3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5F0D7-E5A7-47BF-A664-32608EC9810B}">
  <sheetPr>
    <pageSetUpPr fitToPage="1"/>
  </sheetPr>
  <dimension ref="A1:BG1048544"/>
  <sheetViews>
    <sheetView zoomScale="60" zoomScaleNormal="60" workbookViewId="0">
      <selection activeCell="K4" sqref="K4"/>
    </sheetView>
  </sheetViews>
  <sheetFormatPr defaultColWidth="9.109375" defaultRowHeight="13.8" x14ac:dyDescent="0.3"/>
  <cols>
    <col min="1" max="1" width="32" style="148" bestFit="1" customWidth="1"/>
    <col min="2" max="2" width="11.5546875" style="148" bestFit="1" customWidth="1"/>
    <col min="3" max="3" width="19.88671875" style="148" customWidth="1"/>
    <col min="4" max="4" width="19.44140625" style="148" customWidth="1"/>
    <col min="5" max="5" width="21.33203125" style="148" customWidth="1"/>
    <col min="6" max="7" width="19.109375" style="148" customWidth="1"/>
    <col min="8" max="8" width="17.5546875" style="148" customWidth="1"/>
    <col min="9" max="9" width="15.5546875" style="148" bestFit="1" customWidth="1"/>
    <col min="10" max="10" width="21.44140625" style="150" customWidth="1"/>
    <col min="11" max="11" width="17.109375" style="150" bestFit="1" customWidth="1"/>
    <col min="12" max="12" width="18" style="150" bestFit="1" customWidth="1"/>
    <col min="13" max="13" width="121.44140625" style="150" bestFit="1" customWidth="1"/>
    <col min="14" max="14" width="9.5546875" style="150" customWidth="1"/>
    <col min="15" max="15" width="18.5546875" style="148" customWidth="1"/>
    <col min="16" max="16" width="40.109375" style="70" bestFit="1" customWidth="1"/>
    <col min="17" max="17" width="13.109375" style="70" bestFit="1" customWidth="1"/>
    <col min="18" max="46" width="9.109375" style="70"/>
    <col min="47" max="48" width="9.109375" style="69"/>
    <col min="49" max="16384" width="9.109375" style="148"/>
  </cols>
  <sheetData>
    <row r="1" spans="1:46" s="10" customForma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</row>
    <row r="2" spans="1:46" s="10" customFormat="1" ht="28.5" customHeight="1" x14ac:dyDescent="0.3">
      <c r="A2" s="521" t="s">
        <v>582</v>
      </c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</row>
    <row r="3" spans="1:46" s="10" customFormat="1" ht="28.5" customHeight="1" x14ac:dyDescent="0.3">
      <c r="A3" s="83" t="s">
        <v>3</v>
      </c>
      <c r="B3" s="83" t="s">
        <v>0</v>
      </c>
      <c r="C3" s="84" t="s">
        <v>1</v>
      </c>
      <c r="D3" s="84" t="s">
        <v>68</v>
      </c>
      <c r="E3" s="84" t="s">
        <v>69</v>
      </c>
      <c r="F3" s="85" t="s">
        <v>2</v>
      </c>
      <c r="G3" s="85" t="s">
        <v>592</v>
      </c>
      <c r="H3" s="84" t="s">
        <v>6</v>
      </c>
      <c r="I3" s="84" t="s">
        <v>7</v>
      </c>
      <c r="J3" s="84" t="s">
        <v>4</v>
      </c>
      <c r="K3" s="84" t="s">
        <v>5</v>
      </c>
      <c r="L3" s="84" t="s">
        <v>70</v>
      </c>
      <c r="M3" s="83" t="s">
        <v>59</v>
      </c>
      <c r="N3" s="86" t="s">
        <v>8</v>
      </c>
      <c r="O3" s="86" t="s">
        <v>10</v>
      </c>
    </row>
    <row r="4" spans="1:46" s="11" customFormat="1" x14ac:dyDescent="0.3">
      <c r="A4" s="90" t="s">
        <v>552</v>
      </c>
      <c r="B4" s="90">
        <v>6</v>
      </c>
      <c r="C4" s="5">
        <f>'GERAL 2022'!G36</f>
        <v>680</v>
      </c>
      <c r="D4" s="5">
        <v>0</v>
      </c>
      <c r="E4" s="5">
        <f>C4-D4</f>
        <v>680</v>
      </c>
      <c r="F4" s="2">
        <f>25</f>
        <v>25</v>
      </c>
      <c r="G4" s="2">
        <f>1639.44/27</f>
        <v>60.72</v>
      </c>
      <c r="H4" s="2">
        <f>D63</f>
        <v>3.9786666666666668</v>
      </c>
      <c r="I4" s="2">
        <f>D62</f>
        <v>19.893333333333334</v>
      </c>
      <c r="J4" s="109">
        <f>SUM(E4:I4)</f>
        <v>789.59199999999998</v>
      </c>
      <c r="K4" s="2">
        <f>60%*(C4+F4)</f>
        <v>423</v>
      </c>
      <c r="L4" s="2">
        <f>J4-K4</f>
        <v>366.59199999999998</v>
      </c>
      <c r="M4" s="90" t="s">
        <v>583</v>
      </c>
      <c r="N4" s="3">
        <v>10</v>
      </c>
      <c r="O4" s="3">
        <v>11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</row>
    <row r="5" spans="1:46" s="69" customFormat="1" x14ac:dyDescent="0.3">
      <c r="A5" s="4" t="s">
        <v>559</v>
      </c>
      <c r="B5" s="4">
        <v>14</v>
      </c>
      <c r="C5" s="2">
        <f>'GERAL 2022'!G39</f>
        <v>580</v>
      </c>
      <c r="D5" s="2">
        <v>0</v>
      </c>
      <c r="E5" s="5">
        <f>C5-D5</f>
        <v>580</v>
      </c>
      <c r="F5" s="2">
        <f>50</f>
        <v>50</v>
      </c>
      <c r="G5" s="2">
        <f>1639.44/27</f>
        <v>60.72</v>
      </c>
      <c r="H5" s="2">
        <f>D81</f>
        <v>2.8368085106382979</v>
      </c>
      <c r="I5" s="2">
        <f>D80</f>
        <v>19.696666666666669</v>
      </c>
      <c r="J5" s="109">
        <f>SUM(E5:I5)</f>
        <v>713.25347517730506</v>
      </c>
      <c r="K5" s="2">
        <f>60%*(C5+F5)</f>
        <v>378</v>
      </c>
      <c r="L5" s="2">
        <f>J5-K5</f>
        <v>335.25347517730506</v>
      </c>
      <c r="M5" s="90" t="s">
        <v>583</v>
      </c>
      <c r="N5" s="3">
        <v>10</v>
      </c>
      <c r="O5" s="4">
        <v>11</v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</row>
    <row r="6" spans="1:46" s="6" customFormat="1" x14ac:dyDescent="0.3">
      <c r="A6" s="11" t="s">
        <v>563</v>
      </c>
      <c r="B6" s="90">
        <v>25</v>
      </c>
      <c r="C6" s="2">
        <f>'GERAL 2022'!G44</f>
        <v>610</v>
      </c>
      <c r="D6" s="2">
        <v>0</v>
      </c>
      <c r="E6" s="5">
        <f>C6-D6</f>
        <v>610</v>
      </c>
      <c r="F6" s="2">
        <v>0</v>
      </c>
      <c r="G6" s="2">
        <f>1639.44/27</f>
        <v>60.72</v>
      </c>
      <c r="H6" s="2">
        <f>D103</f>
        <v>2.8368085106382979</v>
      </c>
      <c r="I6" s="2">
        <f>D102</f>
        <v>19.754999999999999</v>
      </c>
      <c r="J6" s="109">
        <f>SUM(E6:I6)</f>
        <v>693.31180851063834</v>
      </c>
      <c r="K6" s="2">
        <f>60%*(C6+F6)</f>
        <v>366</v>
      </c>
      <c r="L6" s="2">
        <f>J6-K6</f>
        <v>327.31180851063834</v>
      </c>
      <c r="M6" s="90" t="s">
        <v>583</v>
      </c>
      <c r="N6" s="125">
        <v>10</v>
      </c>
      <c r="O6" s="3">
        <v>11</v>
      </c>
      <c r="P6" s="9"/>
      <c r="Q6" s="9"/>
      <c r="R6" s="9"/>
      <c r="S6" s="9"/>
      <c r="T6" s="9"/>
      <c r="U6" s="9"/>
      <c r="V6" s="9"/>
      <c r="W6" s="9"/>
      <c r="X6" s="9"/>
    </row>
    <row r="7" spans="1:46" s="10" customFormat="1" x14ac:dyDescent="0.3">
      <c r="A7" s="518" t="s">
        <v>4</v>
      </c>
      <c r="B7" s="518"/>
      <c r="C7" s="109">
        <f>SUM(C4:C6)</f>
        <v>1870</v>
      </c>
      <c r="D7" s="109">
        <f t="shared" ref="D7:L7" si="0">SUM(D4:D6)</f>
        <v>0</v>
      </c>
      <c r="E7" s="109">
        <f t="shared" si="0"/>
        <v>1870</v>
      </c>
      <c r="F7" s="109">
        <f t="shared" si="0"/>
        <v>75</v>
      </c>
      <c r="G7" s="109">
        <f t="shared" si="0"/>
        <v>182.16</v>
      </c>
      <c r="H7" s="109">
        <f t="shared" si="0"/>
        <v>9.6522836879432621</v>
      </c>
      <c r="I7" s="109">
        <f t="shared" si="0"/>
        <v>59.344999999999999</v>
      </c>
      <c r="J7" s="109">
        <f t="shared" si="0"/>
        <v>2196.1572836879436</v>
      </c>
      <c r="K7" s="109">
        <f t="shared" si="0"/>
        <v>1167</v>
      </c>
      <c r="L7" s="109">
        <f t="shared" si="0"/>
        <v>1029.1572836879434</v>
      </c>
      <c r="M7" s="90"/>
      <c r="N7" s="3"/>
      <c r="O7" s="3"/>
    </row>
    <row r="8" spans="1:46" s="11" customFormat="1" ht="24" customHeight="1" x14ac:dyDescent="0.3">
      <c r="A8" s="521" t="s">
        <v>581</v>
      </c>
      <c r="B8" s="521"/>
      <c r="C8" s="521"/>
      <c r="D8" s="521"/>
      <c r="E8" s="521"/>
      <c r="F8" s="521"/>
      <c r="G8" s="521"/>
      <c r="H8" s="521"/>
      <c r="I8" s="521"/>
      <c r="J8" s="521"/>
      <c r="K8" s="521"/>
      <c r="L8" s="521"/>
      <c r="M8" s="521"/>
      <c r="N8" s="521"/>
      <c r="O8" s="521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46" s="11" customFormat="1" ht="24" customHeight="1" x14ac:dyDescent="0.3">
      <c r="A9" s="83" t="s">
        <v>3</v>
      </c>
      <c r="B9" s="83" t="s">
        <v>0</v>
      </c>
      <c r="C9" s="84" t="s">
        <v>1</v>
      </c>
      <c r="D9" s="84" t="s">
        <v>68</v>
      </c>
      <c r="E9" s="84" t="s">
        <v>69</v>
      </c>
      <c r="F9" s="85" t="s">
        <v>2</v>
      </c>
      <c r="G9" s="85" t="s">
        <v>592</v>
      </c>
      <c r="H9" s="84" t="s">
        <v>6</v>
      </c>
      <c r="I9" s="84" t="s">
        <v>7</v>
      </c>
      <c r="J9" s="84" t="s">
        <v>4</v>
      </c>
      <c r="K9" s="84" t="s">
        <v>5</v>
      </c>
      <c r="L9" s="84" t="s">
        <v>70</v>
      </c>
      <c r="M9" s="83" t="s">
        <v>59</v>
      </c>
      <c r="N9" s="86" t="s">
        <v>8</v>
      </c>
      <c r="O9" s="86" t="s">
        <v>10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</row>
    <row r="10" spans="1:46" s="15" customFormat="1" x14ac:dyDescent="0.3">
      <c r="A10" s="88" t="s">
        <v>397</v>
      </c>
      <c r="B10" s="90">
        <v>1</v>
      </c>
      <c r="C10" s="2">
        <f>'GERAL 2022'!G35</f>
        <v>580</v>
      </c>
      <c r="D10" s="2">
        <v>0</v>
      </c>
      <c r="E10" s="2">
        <f t="shared" ref="E10:E27" si="1">C10-D10</f>
        <v>580</v>
      </c>
      <c r="F10" s="5">
        <v>50</v>
      </c>
      <c r="G10" s="2">
        <f>1639.44/27</f>
        <v>60.72</v>
      </c>
      <c r="H10" s="2">
        <v>0</v>
      </c>
      <c r="I10" s="2">
        <f>D52</f>
        <v>19.696666666666669</v>
      </c>
      <c r="J10" s="109">
        <f>SUM(E10:I10)</f>
        <v>710.41666666666674</v>
      </c>
      <c r="K10" s="2">
        <f t="shared" ref="K10:K36" si="2">7%*J10</f>
        <v>49.729166666666679</v>
      </c>
      <c r="L10" s="2">
        <f>J10-K10</f>
        <v>660.68750000000011</v>
      </c>
      <c r="M10" s="5" t="s">
        <v>585</v>
      </c>
      <c r="N10" s="3">
        <v>10</v>
      </c>
      <c r="O10" s="3">
        <v>11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</row>
    <row r="11" spans="1:46" s="96" customFormat="1" x14ac:dyDescent="0.3">
      <c r="A11" s="90" t="s">
        <v>434</v>
      </c>
      <c r="B11" s="4">
        <v>2</v>
      </c>
      <c r="C11" s="5">
        <f>'GERAL 2022'!G4</f>
        <v>580</v>
      </c>
      <c r="D11" s="5">
        <v>0</v>
      </c>
      <c r="E11" s="5">
        <f t="shared" si="1"/>
        <v>580</v>
      </c>
      <c r="F11" s="5">
        <v>50</v>
      </c>
      <c r="G11" s="2">
        <f t="shared" ref="G11:G36" si="3">1639.44/27</f>
        <v>60.72</v>
      </c>
      <c r="H11" s="2">
        <f>D55</f>
        <v>2.8368085106382979</v>
      </c>
      <c r="I11" s="5">
        <f>D54</f>
        <v>19.696666666666669</v>
      </c>
      <c r="J11" s="109">
        <f t="shared" ref="J11:J36" si="4">SUM(E11:I11)</f>
        <v>713.25347517730506</v>
      </c>
      <c r="K11" s="2">
        <f t="shared" si="2"/>
        <v>49.927743262411362</v>
      </c>
      <c r="L11" s="2">
        <f t="shared" ref="L11:L35" si="5">J11-K11</f>
        <v>663.32573191489371</v>
      </c>
      <c r="M11" s="90" t="s">
        <v>430</v>
      </c>
      <c r="N11" s="3">
        <v>10</v>
      </c>
      <c r="O11" s="3">
        <v>11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16"/>
      <c r="AL11" s="17"/>
      <c r="AM11" s="17"/>
      <c r="AN11" s="17"/>
      <c r="AO11" s="17"/>
    </row>
    <row r="12" spans="1:46" s="6" customFormat="1" x14ac:dyDescent="0.3">
      <c r="A12" s="90" t="s">
        <v>438</v>
      </c>
      <c r="B12" s="4">
        <v>3</v>
      </c>
      <c r="C12" s="5">
        <f>'GERAL 2022'!G5</f>
        <v>550</v>
      </c>
      <c r="D12" s="5">
        <v>0</v>
      </c>
      <c r="E12" s="5">
        <f t="shared" si="1"/>
        <v>550</v>
      </c>
      <c r="F12" s="5">
        <v>0</v>
      </c>
      <c r="G12" s="2">
        <f t="shared" si="3"/>
        <v>60.72</v>
      </c>
      <c r="H12" s="2">
        <f>D57</f>
        <v>2.8368085106382979</v>
      </c>
      <c r="I12" s="5">
        <f>D56</f>
        <v>19.641666666666666</v>
      </c>
      <c r="J12" s="109">
        <f t="shared" si="4"/>
        <v>633.198475177305</v>
      </c>
      <c r="K12" s="2">
        <f t="shared" si="2"/>
        <v>44.323893262411353</v>
      </c>
      <c r="L12" s="2">
        <f t="shared" si="5"/>
        <v>588.87458191489361</v>
      </c>
      <c r="M12" s="90" t="s">
        <v>430</v>
      </c>
      <c r="N12" s="3">
        <v>10</v>
      </c>
      <c r="O12" s="3">
        <v>11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</row>
    <row r="13" spans="1:46" s="15" customFormat="1" x14ac:dyDescent="0.3">
      <c r="A13" s="90" t="s">
        <v>263</v>
      </c>
      <c r="B13" s="90">
        <v>4</v>
      </c>
      <c r="C13" s="2">
        <f>'GERAL 2022'!G16</f>
        <v>550</v>
      </c>
      <c r="D13" s="2">
        <v>0</v>
      </c>
      <c r="E13" s="2">
        <f t="shared" si="1"/>
        <v>550</v>
      </c>
      <c r="F13" s="2">
        <v>50</v>
      </c>
      <c r="G13" s="2">
        <f t="shared" si="3"/>
        <v>60.72</v>
      </c>
      <c r="H13" s="2">
        <v>0</v>
      </c>
      <c r="I13" s="2">
        <v>0</v>
      </c>
      <c r="J13" s="109">
        <f t="shared" si="4"/>
        <v>660.72</v>
      </c>
      <c r="K13" s="2">
        <f t="shared" si="2"/>
        <v>46.250400000000006</v>
      </c>
      <c r="L13" s="2">
        <f t="shared" si="5"/>
        <v>614.46960000000001</v>
      </c>
      <c r="M13" s="90" t="s">
        <v>470</v>
      </c>
      <c r="N13" s="3">
        <v>10</v>
      </c>
      <c r="O13" s="4">
        <v>11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</row>
    <row r="14" spans="1:46" s="15" customFormat="1" x14ac:dyDescent="0.3">
      <c r="A14" s="90" t="s">
        <v>440</v>
      </c>
      <c r="B14" s="90">
        <v>5</v>
      </c>
      <c r="C14" s="2">
        <f>'GERAL 2022'!G7/30*1</f>
        <v>19.333333333333332</v>
      </c>
      <c r="D14" s="2">
        <v>0</v>
      </c>
      <c r="E14" s="2">
        <f t="shared" si="1"/>
        <v>19.333333333333332</v>
      </c>
      <c r="F14" s="2">
        <f>50/30*1</f>
        <v>1.6666666666666667</v>
      </c>
      <c r="G14" s="2">
        <f>(1639.44/27)/30*1</f>
        <v>2.024</v>
      </c>
      <c r="H14" s="2">
        <f>D61/30*1</f>
        <v>9.4560283687943267E-2</v>
      </c>
      <c r="I14" s="2">
        <f>D60</f>
        <v>19.696666666666669</v>
      </c>
      <c r="J14" s="109">
        <f t="shared" si="4"/>
        <v>42.815226950354614</v>
      </c>
      <c r="K14" s="2">
        <f t="shared" si="2"/>
        <v>2.9970658865248234</v>
      </c>
      <c r="L14" s="2">
        <f t="shared" si="5"/>
        <v>39.818161063829791</v>
      </c>
      <c r="M14" s="90" t="s">
        <v>586</v>
      </c>
      <c r="N14" s="3">
        <v>10</v>
      </c>
      <c r="O14" s="3">
        <v>11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</row>
    <row r="15" spans="1:46" s="11" customFormat="1" x14ac:dyDescent="0.3">
      <c r="A15" s="90" t="s">
        <v>552</v>
      </c>
      <c r="B15" s="90">
        <v>6</v>
      </c>
      <c r="C15" s="5">
        <v>0</v>
      </c>
      <c r="D15" s="5">
        <v>0</v>
      </c>
      <c r="E15" s="5">
        <f t="shared" si="1"/>
        <v>0</v>
      </c>
      <c r="F15" s="2">
        <v>0</v>
      </c>
      <c r="G15" s="2">
        <v>0</v>
      </c>
      <c r="H15" s="2">
        <v>0</v>
      </c>
      <c r="I15" s="2">
        <v>0</v>
      </c>
      <c r="J15" s="109">
        <f t="shared" si="4"/>
        <v>0</v>
      </c>
      <c r="K15" s="2">
        <f t="shared" si="2"/>
        <v>0</v>
      </c>
      <c r="L15" s="2">
        <f t="shared" si="5"/>
        <v>0</v>
      </c>
      <c r="M15" s="90" t="s">
        <v>108</v>
      </c>
      <c r="N15" s="3">
        <v>10</v>
      </c>
      <c r="O15" s="3">
        <v>11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</row>
    <row r="16" spans="1:46" s="15" customFormat="1" ht="14.25" customHeight="1" x14ac:dyDescent="0.3">
      <c r="A16" s="90" t="s">
        <v>442</v>
      </c>
      <c r="B16" s="90">
        <v>7</v>
      </c>
      <c r="C16" s="2">
        <f>'GERAL 2022'!G9</f>
        <v>580</v>
      </c>
      <c r="D16" s="2">
        <v>0</v>
      </c>
      <c r="E16" s="5">
        <f t="shared" si="1"/>
        <v>580</v>
      </c>
      <c r="F16" s="2">
        <v>50</v>
      </c>
      <c r="G16" s="2">
        <f t="shared" si="3"/>
        <v>60.72</v>
      </c>
      <c r="H16" s="2">
        <f>D65</f>
        <v>2.8368085106382979</v>
      </c>
      <c r="I16" s="2">
        <f>D64</f>
        <v>19.696666666666669</v>
      </c>
      <c r="J16" s="109">
        <f t="shared" si="4"/>
        <v>713.25347517730506</v>
      </c>
      <c r="K16" s="2">
        <f t="shared" si="2"/>
        <v>49.927743262411362</v>
      </c>
      <c r="L16" s="2">
        <f t="shared" si="5"/>
        <v>663.32573191489371</v>
      </c>
      <c r="M16" s="90" t="s">
        <v>430</v>
      </c>
      <c r="N16" s="3">
        <v>10</v>
      </c>
      <c r="O16" s="3">
        <v>11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</row>
    <row r="17" spans="1:46" s="15" customFormat="1" x14ac:dyDescent="0.3">
      <c r="A17" s="90" t="s">
        <v>493</v>
      </c>
      <c r="B17" s="90">
        <v>8</v>
      </c>
      <c r="C17" s="2">
        <f>'GERAL 2022'!G37</f>
        <v>580</v>
      </c>
      <c r="D17" s="2">
        <v>0</v>
      </c>
      <c r="E17" s="5">
        <f t="shared" si="1"/>
        <v>580</v>
      </c>
      <c r="F17" s="2">
        <v>50</v>
      </c>
      <c r="G17" s="2">
        <f t="shared" si="3"/>
        <v>60.72</v>
      </c>
      <c r="H17" s="2">
        <f>D67</f>
        <v>2.8368085106382979</v>
      </c>
      <c r="I17" s="2">
        <f>D66</f>
        <v>19.696666666666669</v>
      </c>
      <c r="J17" s="109">
        <f t="shared" si="4"/>
        <v>713.25347517730506</v>
      </c>
      <c r="K17" s="2">
        <f t="shared" si="2"/>
        <v>49.927743262411362</v>
      </c>
      <c r="L17" s="2">
        <f t="shared" si="5"/>
        <v>663.32573191489371</v>
      </c>
      <c r="M17" s="90" t="s">
        <v>388</v>
      </c>
      <c r="N17" s="125">
        <v>10</v>
      </c>
      <c r="O17" s="3">
        <v>11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 spans="1:46" s="15" customFormat="1" ht="14.25" customHeight="1" x14ac:dyDescent="0.3">
      <c r="A18" s="90" t="s">
        <v>246</v>
      </c>
      <c r="B18" s="90">
        <v>9</v>
      </c>
      <c r="C18" s="2">
        <f>'GERAL 2022'!G11</f>
        <v>580</v>
      </c>
      <c r="D18" s="2">
        <v>0</v>
      </c>
      <c r="E18" s="5">
        <f t="shared" si="1"/>
        <v>580</v>
      </c>
      <c r="F18" s="2">
        <f>25</f>
        <v>25</v>
      </c>
      <c r="G18" s="2">
        <f t="shared" si="3"/>
        <v>60.72</v>
      </c>
      <c r="H18" s="2">
        <v>0</v>
      </c>
      <c r="I18" s="2">
        <v>0</v>
      </c>
      <c r="J18" s="109">
        <f t="shared" si="4"/>
        <v>665.72</v>
      </c>
      <c r="K18" s="2">
        <f t="shared" si="2"/>
        <v>46.600400000000008</v>
      </c>
      <c r="L18" s="2">
        <f t="shared" si="5"/>
        <v>619.11959999999999</v>
      </c>
      <c r="M18" s="90" t="s">
        <v>470</v>
      </c>
      <c r="N18" s="125">
        <v>10</v>
      </c>
      <c r="O18" s="3">
        <v>11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</row>
    <row r="19" spans="1:46" s="69" customFormat="1" x14ac:dyDescent="0.3">
      <c r="A19" s="4" t="s">
        <v>402</v>
      </c>
      <c r="B19" s="4">
        <v>10</v>
      </c>
      <c r="C19" s="2">
        <f>'GERAL 2022'!G38</f>
        <v>550</v>
      </c>
      <c r="D19" s="2">
        <v>0</v>
      </c>
      <c r="E19" s="5">
        <f t="shared" si="1"/>
        <v>550</v>
      </c>
      <c r="F19" s="2">
        <v>50</v>
      </c>
      <c r="G19" s="2">
        <f t="shared" si="3"/>
        <v>60.72</v>
      </c>
      <c r="H19" s="2">
        <v>0</v>
      </c>
      <c r="I19" s="2">
        <f>D70</f>
        <v>19.641666666666666</v>
      </c>
      <c r="J19" s="109">
        <f t="shared" si="4"/>
        <v>680.36166666666668</v>
      </c>
      <c r="K19" s="2">
        <f t="shared" si="2"/>
        <v>47.62531666666667</v>
      </c>
      <c r="L19" s="2">
        <f t="shared" si="5"/>
        <v>632.73635000000002</v>
      </c>
      <c r="M19" s="90" t="s">
        <v>390</v>
      </c>
      <c r="N19" s="3">
        <v>10</v>
      </c>
      <c r="O19" s="4">
        <v>11</v>
      </c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</row>
    <row r="20" spans="1:46" s="69" customFormat="1" x14ac:dyDescent="0.3">
      <c r="A20" s="4" t="s">
        <v>321</v>
      </c>
      <c r="B20" s="4">
        <v>11</v>
      </c>
      <c r="C20" s="2">
        <f>'GERAL 2022'!G13</f>
        <v>550</v>
      </c>
      <c r="D20" s="2">
        <v>0</v>
      </c>
      <c r="E20" s="5">
        <f t="shared" si="1"/>
        <v>550</v>
      </c>
      <c r="F20" s="2">
        <v>0</v>
      </c>
      <c r="G20" s="2">
        <f t="shared" si="3"/>
        <v>60.72</v>
      </c>
      <c r="H20" s="2">
        <v>0</v>
      </c>
      <c r="I20" s="2">
        <v>0</v>
      </c>
      <c r="J20" s="109">
        <f t="shared" si="4"/>
        <v>610.72</v>
      </c>
      <c r="K20" s="2">
        <f t="shared" si="2"/>
        <v>42.750400000000006</v>
      </c>
      <c r="L20" s="2">
        <f t="shared" si="5"/>
        <v>567.96960000000001</v>
      </c>
      <c r="M20" s="5" t="s">
        <v>470</v>
      </c>
      <c r="N20" s="3">
        <v>10</v>
      </c>
      <c r="O20" s="4">
        <v>11</v>
      </c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</row>
    <row r="21" spans="1:46" s="15" customFormat="1" x14ac:dyDescent="0.3">
      <c r="A21" s="90" t="s">
        <v>566</v>
      </c>
      <c r="B21" s="90">
        <v>12</v>
      </c>
      <c r="C21" s="2">
        <f>'GERAL 2022'!G14</f>
        <v>550</v>
      </c>
      <c r="D21" s="2">
        <v>0</v>
      </c>
      <c r="E21" s="5">
        <f t="shared" si="1"/>
        <v>550</v>
      </c>
      <c r="F21" s="5">
        <v>25</v>
      </c>
      <c r="G21" s="2">
        <f t="shared" si="3"/>
        <v>60.72</v>
      </c>
      <c r="H21" s="2">
        <v>0</v>
      </c>
      <c r="I21" s="5">
        <v>19.64</v>
      </c>
      <c r="J21" s="109">
        <f t="shared" si="4"/>
        <v>655.36</v>
      </c>
      <c r="K21" s="2">
        <f t="shared" si="2"/>
        <v>45.875200000000007</v>
      </c>
      <c r="L21" s="2">
        <f t="shared" si="5"/>
        <v>609.48479999999995</v>
      </c>
      <c r="M21" s="90" t="s">
        <v>390</v>
      </c>
      <c r="N21" s="3">
        <v>10</v>
      </c>
      <c r="O21" s="3">
        <v>11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</row>
    <row r="22" spans="1:46" s="11" customFormat="1" x14ac:dyDescent="0.3">
      <c r="A22" s="90" t="s">
        <v>362</v>
      </c>
      <c r="B22" s="90">
        <v>13</v>
      </c>
      <c r="C22" s="5">
        <f>'GERAL 2022'!G15</f>
        <v>550</v>
      </c>
      <c r="D22" s="5">
        <v>0</v>
      </c>
      <c r="E22" s="5">
        <f t="shared" si="1"/>
        <v>550</v>
      </c>
      <c r="F22" s="2">
        <v>0</v>
      </c>
      <c r="G22" s="2">
        <f t="shared" si="3"/>
        <v>60.72</v>
      </c>
      <c r="H22" s="2">
        <v>0</v>
      </c>
      <c r="I22" s="2">
        <v>0</v>
      </c>
      <c r="J22" s="109">
        <f t="shared" si="4"/>
        <v>610.72</v>
      </c>
      <c r="K22" s="2">
        <f t="shared" si="2"/>
        <v>42.750400000000006</v>
      </c>
      <c r="L22" s="2">
        <f t="shared" si="5"/>
        <v>567.96960000000001</v>
      </c>
      <c r="M22" s="90" t="s">
        <v>470</v>
      </c>
      <c r="N22" s="3">
        <v>10</v>
      </c>
      <c r="O22" s="3">
        <v>11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</row>
    <row r="23" spans="1:46" s="69" customFormat="1" x14ac:dyDescent="0.3">
      <c r="A23" s="4" t="s">
        <v>559</v>
      </c>
      <c r="B23" s="4">
        <v>14</v>
      </c>
      <c r="C23" s="2">
        <v>0</v>
      </c>
      <c r="D23" s="2">
        <v>0</v>
      </c>
      <c r="E23" s="5">
        <f t="shared" si="1"/>
        <v>0</v>
      </c>
      <c r="F23" s="2">
        <v>0</v>
      </c>
      <c r="G23" s="2">
        <v>0</v>
      </c>
      <c r="H23" s="2">
        <v>0</v>
      </c>
      <c r="I23" s="2">
        <v>0</v>
      </c>
      <c r="J23" s="109">
        <f t="shared" si="4"/>
        <v>0</v>
      </c>
      <c r="K23" s="2">
        <f t="shared" si="2"/>
        <v>0</v>
      </c>
      <c r="L23" s="2">
        <f t="shared" si="5"/>
        <v>0</v>
      </c>
      <c r="M23" s="90" t="s">
        <v>108</v>
      </c>
      <c r="N23" s="3">
        <v>10</v>
      </c>
      <c r="O23" s="4">
        <v>11</v>
      </c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</row>
    <row r="24" spans="1:46" s="6" customFormat="1" x14ac:dyDescent="0.3">
      <c r="A24" s="90" t="s">
        <v>272</v>
      </c>
      <c r="B24" s="90">
        <v>15</v>
      </c>
      <c r="C24" s="2">
        <f>'GERAL 2022'!G40</f>
        <v>650</v>
      </c>
      <c r="D24" s="2">
        <v>0</v>
      </c>
      <c r="E24" s="5">
        <f t="shared" si="1"/>
        <v>650</v>
      </c>
      <c r="F24" s="2">
        <v>25</v>
      </c>
      <c r="G24" s="2">
        <f t="shared" si="3"/>
        <v>60.72</v>
      </c>
      <c r="H24" s="2">
        <v>0</v>
      </c>
      <c r="I24" s="2">
        <v>0</v>
      </c>
      <c r="J24" s="109">
        <f t="shared" si="4"/>
        <v>735.72</v>
      </c>
      <c r="K24" s="2">
        <f t="shared" si="2"/>
        <v>51.500400000000006</v>
      </c>
      <c r="L24" s="2">
        <f t="shared" si="5"/>
        <v>684.21960000000001</v>
      </c>
      <c r="M24" s="90" t="s">
        <v>470</v>
      </c>
      <c r="N24" s="3">
        <v>10</v>
      </c>
      <c r="O24" s="3">
        <v>11</v>
      </c>
      <c r="P24" s="9"/>
      <c r="Q24" s="9"/>
      <c r="R24" s="9"/>
      <c r="S24" s="9"/>
      <c r="T24" s="9"/>
      <c r="U24" s="9"/>
      <c r="V24" s="9"/>
      <c r="W24" s="9"/>
      <c r="X24" s="9"/>
    </row>
    <row r="25" spans="1:46" s="11" customFormat="1" x14ac:dyDescent="0.3">
      <c r="A25" s="3" t="s">
        <v>100</v>
      </c>
      <c r="B25" s="3">
        <v>16</v>
      </c>
      <c r="C25" s="2">
        <f>'GERAL 2022'!G18+(10.72339%*640)</f>
        <v>708.62969599999997</v>
      </c>
      <c r="D25" s="2">
        <v>0</v>
      </c>
      <c r="E25" s="5">
        <f t="shared" si="1"/>
        <v>708.62969599999997</v>
      </c>
      <c r="F25" s="2">
        <f>60</f>
        <v>60</v>
      </c>
      <c r="G25" s="2">
        <f t="shared" si="3"/>
        <v>60.72</v>
      </c>
      <c r="H25" s="2">
        <v>0</v>
      </c>
      <c r="I25" s="2">
        <v>19.82</v>
      </c>
      <c r="J25" s="109">
        <f t="shared" si="4"/>
        <v>849.16969600000004</v>
      </c>
      <c r="K25" s="2">
        <f t="shared" si="2"/>
        <v>59.441878720000005</v>
      </c>
      <c r="L25" s="2">
        <f t="shared" si="5"/>
        <v>789.72781728000007</v>
      </c>
      <c r="M25" s="90" t="s">
        <v>589</v>
      </c>
      <c r="N25" s="3">
        <v>10</v>
      </c>
      <c r="O25" s="3">
        <v>11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</row>
    <row r="26" spans="1:46" s="11" customFormat="1" x14ac:dyDescent="0.3">
      <c r="A26" s="88" t="s">
        <v>392</v>
      </c>
      <c r="B26" s="88">
        <v>17</v>
      </c>
      <c r="C26" s="2">
        <f>'GERAL 2022'!G41</f>
        <v>580</v>
      </c>
      <c r="D26" s="2">
        <v>0</v>
      </c>
      <c r="E26" s="5">
        <f t="shared" si="1"/>
        <v>580</v>
      </c>
      <c r="F26" s="2">
        <v>0</v>
      </c>
      <c r="G26" s="2">
        <f t="shared" si="3"/>
        <v>60.72</v>
      </c>
      <c r="H26" s="2">
        <v>0</v>
      </c>
      <c r="I26" s="2">
        <f>D86</f>
        <v>19.696666666666669</v>
      </c>
      <c r="J26" s="109">
        <f t="shared" si="4"/>
        <v>660.41666666666674</v>
      </c>
      <c r="K26" s="2">
        <f t="shared" si="2"/>
        <v>46.229166666666679</v>
      </c>
      <c r="L26" s="2">
        <f t="shared" si="5"/>
        <v>614.18750000000011</v>
      </c>
      <c r="M26" s="5" t="s">
        <v>390</v>
      </c>
      <c r="N26" s="3">
        <v>10</v>
      </c>
      <c r="O26" s="3">
        <v>11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</row>
    <row r="27" spans="1:46" s="11" customFormat="1" x14ac:dyDescent="0.3">
      <c r="A27" s="88" t="s">
        <v>103</v>
      </c>
      <c r="B27" s="90">
        <v>18</v>
      </c>
      <c r="C27" s="2">
        <f>('GERAL 2022'!G20+(10.72339%*650))/30*10</f>
        <v>239.90067833333336</v>
      </c>
      <c r="D27" s="2">
        <v>0</v>
      </c>
      <c r="E27" s="5">
        <f t="shared" si="1"/>
        <v>239.90067833333336</v>
      </c>
      <c r="F27" s="2">
        <f>30/30*10</f>
        <v>10</v>
      </c>
      <c r="G27" s="2">
        <f>(1639.44/27)/30*10</f>
        <v>20.240000000000002</v>
      </c>
      <c r="H27" s="2">
        <v>0</v>
      </c>
      <c r="I27" s="2">
        <f>D88</f>
        <v>19.836666666666666</v>
      </c>
      <c r="J27" s="109">
        <f t="shared" si="4"/>
        <v>289.97734500000001</v>
      </c>
      <c r="K27" s="2">
        <f t="shared" si="2"/>
        <v>20.298414150000003</v>
      </c>
      <c r="L27" s="2">
        <f t="shared" si="5"/>
        <v>269.67893085000003</v>
      </c>
      <c r="M27" s="90" t="s">
        <v>598</v>
      </c>
      <c r="N27" s="3">
        <v>10</v>
      </c>
      <c r="O27" s="3">
        <v>11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</row>
    <row r="28" spans="1:46" s="11" customFormat="1" x14ac:dyDescent="0.3">
      <c r="A28" s="90" t="s">
        <v>500</v>
      </c>
      <c r="B28" s="90">
        <v>19</v>
      </c>
      <c r="C28" s="2">
        <f>'GERAL 2022'!G43</f>
        <v>550</v>
      </c>
      <c r="D28" s="2">
        <v>0</v>
      </c>
      <c r="E28" s="5">
        <f>(C28-D28)</f>
        <v>550</v>
      </c>
      <c r="F28" s="2">
        <v>50</v>
      </c>
      <c r="G28" s="2">
        <f t="shared" si="3"/>
        <v>60.72</v>
      </c>
      <c r="H28" s="2">
        <f>D91</f>
        <v>2.8368085106382979</v>
      </c>
      <c r="I28" s="2">
        <f>D90</f>
        <v>19.641666666666666</v>
      </c>
      <c r="J28" s="109">
        <f t="shared" si="4"/>
        <v>683.198475177305</v>
      </c>
      <c r="K28" s="2">
        <f t="shared" si="2"/>
        <v>47.823893262411353</v>
      </c>
      <c r="L28" s="2">
        <f t="shared" si="5"/>
        <v>635.37458191489361</v>
      </c>
      <c r="M28" s="90" t="s">
        <v>388</v>
      </c>
      <c r="N28" s="3">
        <v>10</v>
      </c>
      <c r="O28" s="3">
        <v>11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</row>
    <row r="29" spans="1:46" s="11" customFormat="1" x14ac:dyDescent="0.3">
      <c r="A29" s="88" t="s">
        <v>345</v>
      </c>
      <c r="B29" s="90">
        <v>20</v>
      </c>
      <c r="C29" s="2">
        <f>'GERAL 2022'!G22</f>
        <v>660</v>
      </c>
      <c r="D29" s="2">
        <v>0</v>
      </c>
      <c r="E29" s="5">
        <f t="shared" ref="E29:E36" si="6">C29-D29</f>
        <v>660</v>
      </c>
      <c r="F29" s="2">
        <v>50</v>
      </c>
      <c r="G29" s="2">
        <f t="shared" si="3"/>
        <v>60.72</v>
      </c>
      <c r="H29" s="2">
        <v>0</v>
      </c>
      <c r="I29" s="2">
        <v>0</v>
      </c>
      <c r="J29" s="109">
        <f t="shared" si="4"/>
        <v>770.72</v>
      </c>
      <c r="K29" s="2">
        <f>7%*J29</f>
        <v>53.950400000000009</v>
      </c>
      <c r="L29" s="2">
        <f t="shared" si="5"/>
        <v>716.76959999999997</v>
      </c>
      <c r="M29" s="90" t="s">
        <v>470</v>
      </c>
      <c r="N29" s="125">
        <v>10</v>
      </c>
      <c r="O29" s="3">
        <v>11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</row>
    <row r="30" spans="1:46" s="11" customFormat="1" x14ac:dyDescent="0.3">
      <c r="A30" s="88" t="s">
        <v>346</v>
      </c>
      <c r="B30" s="90">
        <v>21</v>
      </c>
      <c r="C30" s="2">
        <f>'GERAL 2022'!G23</f>
        <v>500</v>
      </c>
      <c r="D30" s="2">
        <v>0</v>
      </c>
      <c r="E30" s="5">
        <f t="shared" si="6"/>
        <v>500</v>
      </c>
      <c r="F30" s="2">
        <v>25</v>
      </c>
      <c r="G30" s="2">
        <f t="shared" si="3"/>
        <v>60.72</v>
      </c>
      <c r="H30" s="2">
        <v>0</v>
      </c>
      <c r="I30" s="2">
        <v>0</v>
      </c>
      <c r="J30" s="109">
        <f t="shared" si="4"/>
        <v>585.72</v>
      </c>
      <c r="K30" s="2">
        <f>7%*J30</f>
        <v>41.000400000000006</v>
      </c>
      <c r="L30" s="2">
        <f t="shared" si="5"/>
        <v>544.71960000000001</v>
      </c>
      <c r="M30" s="90" t="s">
        <v>470</v>
      </c>
      <c r="N30" s="125">
        <v>10</v>
      </c>
      <c r="O30" s="3">
        <v>11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</row>
    <row r="31" spans="1:46" s="11" customFormat="1" ht="15.75" customHeight="1" x14ac:dyDescent="0.3">
      <c r="A31" s="88" t="s">
        <v>119</v>
      </c>
      <c r="B31" s="90">
        <v>22</v>
      </c>
      <c r="C31" s="2">
        <f>'GERAL 2022'!G24</f>
        <v>500</v>
      </c>
      <c r="D31" s="2">
        <v>0</v>
      </c>
      <c r="E31" s="5">
        <f t="shared" si="6"/>
        <v>500</v>
      </c>
      <c r="F31" s="2">
        <v>25</v>
      </c>
      <c r="G31" s="2">
        <f t="shared" si="3"/>
        <v>60.72</v>
      </c>
      <c r="H31" s="2">
        <v>0</v>
      </c>
      <c r="I31" s="2">
        <v>0</v>
      </c>
      <c r="J31" s="109">
        <f t="shared" si="4"/>
        <v>585.72</v>
      </c>
      <c r="K31" s="2">
        <f t="shared" si="2"/>
        <v>41.000400000000006</v>
      </c>
      <c r="L31" s="2">
        <f t="shared" si="5"/>
        <v>544.71960000000001</v>
      </c>
      <c r="M31" s="90" t="s">
        <v>470</v>
      </c>
      <c r="N31" s="125">
        <v>10</v>
      </c>
      <c r="O31" s="3">
        <v>11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</row>
    <row r="32" spans="1:46" s="11" customFormat="1" x14ac:dyDescent="0.3">
      <c r="A32" s="88" t="s">
        <v>379</v>
      </c>
      <c r="B32" s="90">
        <v>23</v>
      </c>
      <c r="C32" s="2">
        <f>'GERAL 2022'!G25</f>
        <v>550</v>
      </c>
      <c r="D32" s="2">
        <v>0</v>
      </c>
      <c r="E32" s="5">
        <f t="shared" si="6"/>
        <v>550</v>
      </c>
      <c r="F32" s="2">
        <v>0</v>
      </c>
      <c r="G32" s="2">
        <f t="shared" si="3"/>
        <v>60.72</v>
      </c>
      <c r="H32" s="2">
        <v>0</v>
      </c>
      <c r="I32" s="2">
        <v>0</v>
      </c>
      <c r="J32" s="109">
        <f t="shared" si="4"/>
        <v>610.72</v>
      </c>
      <c r="K32" s="2">
        <f t="shared" si="2"/>
        <v>42.750400000000006</v>
      </c>
      <c r="L32" s="2">
        <f t="shared" si="5"/>
        <v>567.96960000000001</v>
      </c>
      <c r="M32" s="90" t="s">
        <v>470</v>
      </c>
      <c r="N32" s="3">
        <v>10</v>
      </c>
      <c r="O32" s="3">
        <v>11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</row>
    <row r="33" spans="1:41" s="6" customFormat="1" x14ac:dyDescent="0.3">
      <c r="A33" s="90" t="s">
        <v>267</v>
      </c>
      <c r="B33" s="90">
        <v>24</v>
      </c>
      <c r="C33" s="2">
        <f>'GERAL 2022'!G26</f>
        <v>650</v>
      </c>
      <c r="D33" s="2">
        <v>0</v>
      </c>
      <c r="E33" s="5">
        <f t="shared" si="6"/>
        <v>650</v>
      </c>
      <c r="F33" s="2">
        <v>50</v>
      </c>
      <c r="G33" s="2">
        <f t="shared" si="3"/>
        <v>60.72</v>
      </c>
      <c r="H33" s="2">
        <v>0</v>
      </c>
      <c r="I33" s="2">
        <v>0</v>
      </c>
      <c r="J33" s="109">
        <f t="shared" si="4"/>
        <v>760.72</v>
      </c>
      <c r="K33" s="2">
        <f>7%*J33</f>
        <v>53.250400000000006</v>
      </c>
      <c r="L33" s="2">
        <f t="shared" si="5"/>
        <v>707.46960000000001</v>
      </c>
      <c r="M33" s="90" t="s">
        <v>470</v>
      </c>
      <c r="N33" s="125">
        <v>10</v>
      </c>
      <c r="O33" s="3">
        <v>11</v>
      </c>
      <c r="P33" s="9"/>
      <c r="Q33" s="9"/>
      <c r="R33" s="9"/>
      <c r="S33" s="9"/>
      <c r="T33" s="9"/>
      <c r="U33" s="9"/>
      <c r="V33" s="9"/>
      <c r="W33" s="9"/>
      <c r="X33" s="9"/>
    </row>
    <row r="34" spans="1:41" s="6" customFormat="1" x14ac:dyDescent="0.3">
      <c r="A34" s="11" t="s">
        <v>563</v>
      </c>
      <c r="B34" s="90">
        <v>25</v>
      </c>
      <c r="C34" s="2">
        <v>0</v>
      </c>
      <c r="D34" s="2">
        <v>0</v>
      </c>
      <c r="E34" s="5">
        <f t="shared" si="6"/>
        <v>0</v>
      </c>
      <c r="F34" s="2">
        <v>0</v>
      </c>
      <c r="G34" s="2">
        <v>0</v>
      </c>
      <c r="H34" s="2">
        <v>0</v>
      </c>
      <c r="I34" s="2">
        <v>0</v>
      </c>
      <c r="J34" s="109">
        <f t="shared" si="4"/>
        <v>0</v>
      </c>
      <c r="K34" s="2">
        <f>7%*J34</f>
        <v>0</v>
      </c>
      <c r="L34" s="2">
        <f t="shared" si="5"/>
        <v>0</v>
      </c>
      <c r="M34" s="90" t="s">
        <v>108</v>
      </c>
      <c r="N34" s="125">
        <v>10</v>
      </c>
      <c r="O34" s="3">
        <v>11</v>
      </c>
      <c r="P34" s="9"/>
      <c r="Q34" s="9"/>
      <c r="R34" s="9"/>
      <c r="S34" s="9"/>
      <c r="T34" s="9"/>
      <c r="U34" s="9"/>
      <c r="V34" s="9"/>
      <c r="W34" s="9"/>
      <c r="X34" s="9"/>
    </row>
    <row r="35" spans="1:41" s="11" customFormat="1" x14ac:dyDescent="0.3">
      <c r="A35" s="88" t="s">
        <v>348</v>
      </c>
      <c r="B35" s="90">
        <v>26</v>
      </c>
      <c r="C35" s="2">
        <f>'GERAL 2022'!G28</f>
        <v>560</v>
      </c>
      <c r="D35" s="2">
        <v>0</v>
      </c>
      <c r="E35" s="5">
        <f t="shared" si="6"/>
        <v>560</v>
      </c>
      <c r="F35" s="2">
        <v>25</v>
      </c>
      <c r="G35" s="2">
        <f t="shared" si="3"/>
        <v>60.72</v>
      </c>
      <c r="H35" s="2">
        <v>0</v>
      </c>
      <c r="I35" s="2">
        <v>0</v>
      </c>
      <c r="J35" s="109">
        <f t="shared" si="4"/>
        <v>645.72</v>
      </c>
      <c r="K35" s="2">
        <f t="shared" si="2"/>
        <v>45.200400000000009</v>
      </c>
      <c r="L35" s="2">
        <f t="shared" si="5"/>
        <v>600.51959999999997</v>
      </c>
      <c r="M35" s="90" t="s">
        <v>470</v>
      </c>
      <c r="N35" s="3">
        <v>10</v>
      </c>
      <c r="O35" s="3">
        <v>11</v>
      </c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</row>
    <row r="36" spans="1:41" s="11" customFormat="1" x14ac:dyDescent="0.3">
      <c r="A36" s="88" t="s">
        <v>349</v>
      </c>
      <c r="B36" s="90">
        <v>27</v>
      </c>
      <c r="C36" s="72">
        <f>'GERAL 2022'!G45</f>
        <v>580</v>
      </c>
      <c r="D36" s="72">
        <v>0</v>
      </c>
      <c r="E36" s="5">
        <f t="shared" si="6"/>
        <v>580</v>
      </c>
      <c r="F36" s="72">
        <v>0</v>
      </c>
      <c r="G36" s="2">
        <f t="shared" si="3"/>
        <v>60.72</v>
      </c>
      <c r="H36" s="72">
        <v>0</v>
      </c>
      <c r="I36" s="72">
        <v>0</v>
      </c>
      <c r="J36" s="109">
        <f t="shared" si="4"/>
        <v>640.72</v>
      </c>
      <c r="K36" s="2">
        <f t="shared" si="2"/>
        <v>44.850400000000008</v>
      </c>
      <c r="L36" s="2">
        <f>J36-K36</f>
        <v>595.86959999999999</v>
      </c>
      <c r="M36" s="90" t="s">
        <v>470</v>
      </c>
      <c r="N36" s="3">
        <v>10</v>
      </c>
      <c r="O36" s="3">
        <v>11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</row>
    <row r="37" spans="1:41" s="11" customFormat="1" x14ac:dyDescent="0.3">
      <c r="A37" s="518" t="s">
        <v>4</v>
      </c>
      <c r="B37" s="518"/>
      <c r="C37" s="109">
        <f>SUM(C10:C36)</f>
        <v>12947.863707666667</v>
      </c>
      <c r="D37" s="109">
        <f t="shared" ref="D37:L37" si="7">SUM(D10:D36)</f>
        <v>0</v>
      </c>
      <c r="E37" s="109">
        <f t="shared" si="7"/>
        <v>12947.863707666667</v>
      </c>
      <c r="F37" s="109">
        <f t="shared" si="7"/>
        <v>671.66666666666663</v>
      </c>
      <c r="G37" s="109">
        <f t="shared" si="7"/>
        <v>1358.1040000000005</v>
      </c>
      <c r="H37" s="109">
        <f t="shared" si="7"/>
        <v>14.278602836879431</v>
      </c>
      <c r="I37" s="109">
        <f t="shared" si="7"/>
        <v>236.4016666666667</v>
      </c>
      <c r="J37" s="109">
        <f t="shared" si="7"/>
        <v>15228.314643836877</v>
      </c>
      <c r="K37" s="109">
        <f t="shared" si="7"/>
        <v>1065.9820250685818</v>
      </c>
      <c r="L37" s="109">
        <f t="shared" si="7"/>
        <v>14162.3326187683</v>
      </c>
      <c r="M37" s="90"/>
      <c r="N37" s="3"/>
      <c r="O37" s="3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</row>
    <row r="38" spans="1:41" s="11" customFormat="1" x14ac:dyDescent="0.3">
      <c r="A38" s="95"/>
      <c r="B38" s="95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90"/>
      <c r="N38" s="3"/>
      <c r="O38" s="3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</row>
    <row r="39" spans="1:41" s="11" customFormat="1" ht="28.5" customHeight="1" x14ac:dyDescent="0.3">
      <c r="A39" s="521" t="s">
        <v>584</v>
      </c>
      <c r="B39" s="521"/>
      <c r="C39" s="521"/>
      <c r="D39" s="521"/>
      <c r="E39" s="521"/>
      <c r="F39" s="521"/>
      <c r="G39" s="521"/>
      <c r="H39" s="521"/>
      <c r="I39" s="521"/>
      <c r="J39" s="521"/>
      <c r="K39" s="521"/>
      <c r="L39" s="521"/>
      <c r="M39" s="521"/>
      <c r="N39" s="521"/>
      <c r="O39" s="521"/>
      <c r="P39" s="10"/>
      <c r="Q39" s="10"/>
      <c r="R39" s="10"/>
      <c r="S39" s="10"/>
      <c r="T39" s="10"/>
      <c r="U39" s="10"/>
      <c r="V39" s="10"/>
      <c r="W39" s="10"/>
      <c r="X39" s="10"/>
    </row>
    <row r="40" spans="1:41" s="11" customFormat="1" ht="27.75" customHeight="1" x14ac:dyDescent="0.3">
      <c r="A40" s="127" t="s">
        <v>3</v>
      </c>
      <c r="B40" s="127" t="s">
        <v>0</v>
      </c>
      <c r="C40" s="128" t="s">
        <v>174</v>
      </c>
      <c r="D40" s="555" t="s">
        <v>175</v>
      </c>
      <c r="E40" s="556"/>
      <c r="F40" s="556"/>
      <c r="G40" s="556"/>
      <c r="H40" s="556"/>
      <c r="I40" s="557"/>
      <c r="J40" s="128" t="s">
        <v>4</v>
      </c>
      <c r="K40" s="128" t="s">
        <v>5</v>
      </c>
      <c r="L40" s="128" t="s">
        <v>70</v>
      </c>
      <c r="M40" s="127" t="s">
        <v>59</v>
      </c>
      <c r="N40" s="130" t="s">
        <v>8</v>
      </c>
      <c r="O40" s="130" t="s">
        <v>10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41" s="15" customFormat="1" x14ac:dyDescent="0.3">
      <c r="A41" s="90" t="s">
        <v>440</v>
      </c>
      <c r="B41" s="90">
        <v>5</v>
      </c>
      <c r="C41" s="2">
        <v>1508</v>
      </c>
      <c r="D41" s="546" t="s">
        <v>587</v>
      </c>
      <c r="E41" s="547"/>
      <c r="F41" s="547"/>
      <c r="G41" s="547"/>
      <c r="H41" s="547"/>
      <c r="I41" s="548"/>
      <c r="J41" s="2">
        <v>1508</v>
      </c>
      <c r="K41" s="2">
        <f>7%*J41</f>
        <v>105.56000000000002</v>
      </c>
      <c r="L41" s="2">
        <f>J41-K41</f>
        <v>1402.44</v>
      </c>
      <c r="M41" s="90" t="s">
        <v>588</v>
      </c>
      <c r="N41" s="3">
        <v>10</v>
      </c>
      <c r="O41" s="3">
        <v>11</v>
      </c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</row>
    <row r="42" spans="1:41" s="69" customFormat="1" x14ac:dyDescent="0.3">
      <c r="A42" s="88" t="s">
        <v>103</v>
      </c>
      <c r="B42" s="90">
        <v>18</v>
      </c>
      <c r="C42" s="72">
        <v>187.12</v>
      </c>
      <c r="D42" s="546" t="s">
        <v>590</v>
      </c>
      <c r="E42" s="547"/>
      <c r="F42" s="547"/>
      <c r="G42" s="547"/>
      <c r="H42" s="547"/>
      <c r="I42" s="548"/>
      <c r="J42" s="72">
        <v>187.12</v>
      </c>
      <c r="K42" s="2">
        <f>7%*J42</f>
        <v>13.098400000000002</v>
      </c>
      <c r="L42" s="2">
        <f>J42-K42</f>
        <v>174.02160000000001</v>
      </c>
      <c r="M42" s="90" t="s">
        <v>591</v>
      </c>
      <c r="N42" s="140">
        <v>10</v>
      </c>
      <c r="O42" s="4">
        <v>11</v>
      </c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</row>
    <row r="43" spans="1:41" s="11" customFormat="1" x14ac:dyDescent="0.3">
      <c r="A43" s="518" t="s">
        <v>4</v>
      </c>
      <c r="B43" s="518"/>
      <c r="C43" s="518"/>
      <c r="D43" s="518"/>
      <c r="E43" s="518"/>
      <c r="F43" s="518"/>
      <c r="G43" s="518"/>
      <c r="H43" s="518"/>
      <c r="I43" s="518"/>
      <c r="J43" s="109">
        <f>SUM(J41:J42)</f>
        <v>1695.12</v>
      </c>
      <c r="K43" s="109">
        <f>SUM(K41:K42)</f>
        <v>118.65840000000001</v>
      </c>
      <c r="L43" s="109">
        <f>SUM(L41:L42)</f>
        <v>1576.4616000000001</v>
      </c>
      <c r="M43" s="527"/>
      <c r="N43" s="527"/>
      <c r="O43" s="527"/>
      <c r="P43" s="10"/>
      <c r="Q43" s="10"/>
      <c r="R43" s="10"/>
      <c r="S43" s="10"/>
      <c r="T43" s="10"/>
      <c r="U43" s="10"/>
      <c r="V43" s="10"/>
      <c r="W43" s="10"/>
      <c r="X43" s="10"/>
    </row>
    <row r="44" spans="1:41" s="11" customFormat="1" x14ac:dyDescent="0.3">
      <c r="A44" s="518"/>
      <c r="B44" s="518"/>
      <c r="C44" s="518"/>
      <c r="D44" s="518"/>
      <c r="E44" s="518"/>
      <c r="F44" s="518"/>
      <c r="G44" s="518"/>
      <c r="H44" s="518"/>
      <c r="I44" s="518"/>
      <c r="J44" s="518"/>
      <c r="K44" s="518"/>
      <c r="L44" s="518"/>
      <c r="M44" s="518"/>
      <c r="N44" s="109"/>
      <c r="O44" s="109"/>
      <c r="P44" s="10"/>
      <c r="Q44" s="10"/>
      <c r="R44" s="10"/>
      <c r="S44" s="10"/>
      <c r="T44" s="10"/>
      <c r="U44" s="10"/>
      <c r="V44" s="10"/>
      <c r="W44" s="10"/>
      <c r="X44" s="10"/>
    </row>
    <row r="45" spans="1:41" s="11" customFormat="1" ht="28.5" customHeight="1" x14ac:dyDescent="0.3">
      <c r="A45" s="521" t="s">
        <v>177</v>
      </c>
      <c r="B45" s="521"/>
      <c r="C45" s="521"/>
      <c r="D45" s="521"/>
      <c r="E45" s="521"/>
      <c r="F45" s="521"/>
      <c r="G45" s="521"/>
      <c r="H45" s="521"/>
      <c r="I45" s="521"/>
      <c r="J45" s="521"/>
      <c r="K45" s="521"/>
      <c r="L45" s="521"/>
      <c r="M45" s="521"/>
      <c r="N45" s="521"/>
      <c r="O45" s="521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 spans="1:41" s="11" customFormat="1" ht="25.5" customHeight="1" x14ac:dyDescent="0.3">
      <c r="A46" s="126" t="s">
        <v>173</v>
      </c>
      <c r="B46" s="126" t="s">
        <v>0</v>
      </c>
      <c r="C46" s="126" t="s">
        <v>174</v>
      </c>
      <c r="D46" s="521" t="s">
        <v>175</v>
      </c>
      <c r="E46" s="521"/>
      <c r="F46" s="521"/>
      <c r="G46" s="521"/>
      <c r="H46" s="521"/>
      <c r="I46" s="521"/>
      <c r="J46" s="129" t="s">
        <v>4</v>
      </c>
      <c r="K46" s="128"/>
      <c r="L46" s="128"/>
      <c r="M46" s="127" t="s">
        <v>59</v>
      </c>
      <c r="N46" s="130" t="s">
        <v>8</v>
      </c>
      <c r="O46" s="130" t="s">
        <v>10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 spans="1:41" s="69" customFormat="1" ht="15" customHeight="1" x14ac:dyDescent="0.3">
      <c r="A47" s="4" t="s">
        <v>132</v>
      </c>
      <c r="B47" s="4">
        <v>1</v>
      </c>
      <c r="C47" s="5">
        <f>4977.59-1520</f>
        <v>3457.59</v>
      </c>
      <c r="D47" s="546" t="s">
        <v>284</v>
      </c>
      <c r="E47" s="547"/>
      <c r="F47" s="547"/>
      <c r="G47" s="547"/>
      <c r="H47" s="547"/>
      <c r="I47" s="548"/>
      <c r="J47" s="5">
        <f>4977.59-1520</f>
        <v>3457.59</v>
      </c>
      <c r="K47" s="5"/>
      <c r="L47" s="5"/>
      <c r="M47" s="5" t="s">
        <v>510</v>
      </c>
      <c r="N47" s="140">
        <v>10</v>
      </c>
      <c r="O47" s="4">
        <v>11</v>
      </c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</row>
    <row r="48" spans="1:41" s="11" customFormat="1" x14ac:dyDescent="0.3">
      <c r="A48" s="90" t="s">
        <v>87</v>
      </c>
      <c r="B48" s="90">
        <v>25</v>
      </c>
      <c r="C48" s="5">
        <v>3013.33</v>
      </c>
      <c r="D48" s="546" t="s">
        <v>543</v>
      </c>
      <c r="E48" s="547"/>
      <c r="F48" s="547"/>
      <c r="G48" s="547"/>
      <c r="H48" s="547"/>
      <c r="I48" s="548"/>
      <c r="J48" s="5">
        <v>3040.58</v>
      </c>
      <c r="K48" s="2"/>
      <c r="L48" s="2"/>
      <c r="M48" s="5" t="s">
        <v>545</v>
      </c>
      <c r="N48" s="98">
        <v>10</v>
      </c>
      <c r="O48" s="3">
        <v>11</v>
      </c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</row>
    <row r="49" spans="1:59" s="40" customFormat="1" ht="15" customHeight="1" thickBot="1" x14ac:dyDescent="0.35">
      <c r="A49" s="534" t="s">
        <v>4</v>
      </c>
      <c r="B49" s="549"/>
      <c r="C49" s="549"/>
      <c r="D49" s="549"/>
      <c r="E49" s="549"/>
      <c r="F49" s="549"/>
      <c r="G49" s="549"/>
      <c r="H49" s="549"/>
      <c r="I49" s="535"/>
      <c r="J49" s="114">
        <f>SUM(J47:J48)</f>
        <v>6498.17</v>
      </c>
      <c r="K49" s="90"/>
      <c r="L49" s="90"/>
      <c r="M49" s="90"/>
      <c r="N49" s="90"/>
      <c r="O49" s="9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1"/>
      <c r="AT49" s="11"/>
      <c r="AU49" s="11"/>
      <c r="AV49" s="11"/>
    </row>
    <row r="50" spans="1:59" s="19" customFormat="1" x14ac:dyDescent="0.3">
      <c r="A50" s="179"/>
      <c r="B50" s="180"/>
      <c r="C50" s="180"/>
      <c r="D50" s="180"/>
      <c r="E50" s="180"/>
      <c r="F50" s="180"/>
      <c r="G50" s="180"/>
      <c r="H50" s="180"/>
      <c r="I50" s="180"/>
      <c r="J50" s="180"/>
      <c r="K50" s="180"/>
      <c r="L50" s="180"/>
      <c r="M50" s="180"/>
      <c r="N50" s="181"/>
      <c r="O50" s="182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</row>
    <row r="51" spans="1:59" s="40" customFormat="1" x14ac:dyDescent="0.3">
      <c r="A51" s="543" t="s">
        <v>9</v>
      </c>
      <c r="B51" s="543"/>
      <c r="C51" s="543"/>
      <c r="D51" s="543"/>
      <c r="E51" s="543"/>
      <c r="F51" s="543"/>
      <c r="G51" s="15"/>
      <c r="H51" s="46"/>
      <c r="I51" s="46"/>
      <c r="J51" s="46"/>
      <c r="K51" s="46"/>
      <c r="L51" s="46"/>
      <c r="M51" s="544" t="s">
        <v>315</v>
      </c>
      <c r="N51" s="544"/>
      <c r="O51" s="545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1"/>
      <c r="AT51" s="11"/>
      <c r="AU51" s="11"/>
      <c r="AV51" s="11"/>
    </row>
    <row r="52" spans="1:59" s="40" customFormat="1" x14ac:dyDescent="0.3">
      <c r="A52" s="76" t="s">
        <v>40</v>
      </c>
      <c r="B52" s="77">
        <f>'GERAL 2022'!J35</f>
        <v>118.18</v>
      </c>
      <c r="C52" s="78">
        <v>6</v>
      </c>
      <c r="D52" s="77">
        <f t="shared" ref="D52:D107" si="8">B52/C52</f>
        <v>19.696666666666669</v>
      </c>
      <c r="E52" s="78"/>
      <c r="F52" s="77"/>
      <c r="G52" s="186"/>
      <c r="H52" s="11"/>
      <c r="I52" s="11"/>
      <c r="J52" s="87"/>
      <c r="K52" s="87"/>
      <c r="L52" s="87"/>
      <c r="M52" s="527" t="s">
        <v>94</v>
      </c>
      <c r="N52" s="527"/>
      <c r="O52" s="114">
        <f>K37+K43</f>
        <v>1184.6404250685819</v>
      </c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1"/>
      <c r="AT52" s="11"/>
      <c r="AU52" s="11"/>
      <c r="AV52" s="11"/>
    </row>
    <row r="53" spans="1:59" s="40" customFormat="1" x14ac:dyDescent="0.3">
      <c r="A53" s="12" t="s">
        <v>46</v>
      </c>
      <c r="B53" s="2">
        <f>'GERAL 2022'!H35</f>
        <v>14.184042553191489</v>
      </c>
      <c r="C53" s="88">
        <v>5</v>
      </c>
      <c r="D53" s="2">
        <f t="shared" si="8"/>
        <v>2.8368085106382979</v>
      </c>
      <c r="E53" s="88"/>
      <c r="F53" s="88"/>
      <c r="G53" s="63"/>
      <c r="H53" s="11"/>
      <c r="I53" s="11"/>
      <c r="J53" s="14"/>
      <c r="K53" s="14"/>
      <c r="L53" s="14"/>
      <c r="M53" s="518" t="s">
        <v>260</v>
      </c>
      <c r="N53" s="518"/>
      <c r="O53" s="114">
        <f>K7</f>
        <v>1167</v>
      </c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1"/>
      <c r="AT53" s="11"/>
      <c r="AU53" s="11"/>
      <c r="AV53" s="11"/>
    </row>
    <row r="54" spans="1:59" s="40" customFormat="1" x14ac:dyDescent="0.3">
      <c r="A54" s="79" t="s">
        <v>29</v>
      </c>
      <c r="B54" s="80">
        <f>'GERAL 2022'!J4</f>
        <v>118.18</v>
      </c>
      <c r="C54" s="82">
        <v>6</v>
      </c>
      <c r="D54" s="80">
        <f t="shared" si="8"/>
        <v>19.696666666666669</v>
      </c>
      <c r="E54" s="78"/>
      <c r="F54" s="77"/>
      <c r="G54" s="186"/>
      <c r="H54" s="11"/>
      <c r="I54" s="11"/>
      <c r="J54" s="14"/>
      <c r="K54" s="14"/>
      <c r="L54" s="14"/>
      <c r="M54" s="520"/>
      <c r="N54" s="520"/>
      <c r="O54" s="52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1"/>
      <c r="AT54" s="11"/>
      <c r="AU54" s="11"/>
      <c r="AV54" s="11"/>
    </row>
    <row r="55" spans="1:59" s="40" customFormat="1" x14ac:dyDescent="0.3">
      <c r="A55" s="12" t="s">
        <v>30</v>
      </c>
      <c r="B55" s="2">
        <f>'GERAL 2022'!H4</f>
        <v>14.184042553191489</v>
      </c>
      <c r="C55" s="88">
        <v>5</v>
      </c>
      <c r="D55" s="2">
        <f t="shared" si="8"/>
        <v>2.8368085106382979</v>
      </c>
      <c r="E55" s="53"/>
      <c r="F55" s="53"/>
      <c r="G55" s="62"/>
      <c r="H55" s="11"/>
      <c r="I55" s="11"/>
      <c r="J55" s="62"/>
      <c r="K55" s="62"/>
      <c r="L55" s="62"/>
      <c r="M55" s="520"/>
      <c r="N55" s="520"/>
      <c r="O55" s="52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1"/>
      <c r="AT55" s="11"/>
      <c r="AU55" s="11"/>
      <c r="AV55" s="11"/>
    </row>
    <row r="56" spans="1:59" s="40" customFormat="1" ht="14.4" x14ac:dyDescent="0.3">
      <c r="A56" s="79" t="s">
        <v>65</v>
      </c>
      <c r="B56" s="80">
        <f>'GERAL 2022'!J5</f>
        <v>117.85</v>
      </c>
      <c r="C56" s="82">
        <v>6</v>
      </c>
      <c r="D56" s="80">
        <f t="shared" si="8"/>
        <v>19.641666666666666</v>
      </c>
      <c r="E56" s="78"/>
      <c r="F56" s="77"/>
      <c r="G56" s="186"/>
      <c r="H56" s="11"/>
      <c r="I56" s="11"/>
      <c r="J56" s="14"/>
      <c r="K56" s="14"/>
      <c r="L56" s="14"/>
      <c r="M56" s="529" t="s">
        <v>12</v>
      </c>
      <c r="N56" s="529"/>
      <c r="O56" s="529"/>
      <c r="P56" s="175"/>
      <c r="Q56" s="178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1"/>
      <c r="AT56" s="11"/>
      <c r="AU56" s="11"/>
      <c r="AV56" s="11"/>
    </row>
    <row r="57" spans="1:59" s="11" customFormat="1" ht="15" customHeight="1" x14ac:dyDescent="0.3">
      <c r="A57" s="12" t="s">
        <v>62</v>
      </c>
      <c r="B57" s="2">
        <f>'GERAL 2022'!H5</f>
        <v>14.184042553191489</v>
      </c>
      <c r="C57" s="88">
        <v>5</v>
      </c>
      <c r="D57" s="2">
        <f t="shared" si="8"/>
        <v>2.8368085106382979</v>
      </c>
      <c r="E57" s="88"/>
      <c r="F57" s="88"/>
      <c r="G57" s="63"/>
      <c r="J57" s="63"/>
      <c r="K57" s="63"/>
      <c r="L57" s="63"/>
      <c r="M57" s="514" t="s">
        <v>236</v>
      </c>
      <c r="N57" s="514"/>
      <c r="O57" s="2">
        <v>19.7</v>
      </c>
      <c r="P57" s="175"/>
      <c r="Q57" s="178"/>
    </row>
    <row r="58" spans="1:59" s="11" customFormat="1" ht="14.4" x14ac:dyDescent="0.3">
      <c r="A58" s="79" t="s">
        <v>60</v>
      </c>
      <c r="B58" s="80">
        <f>'GERAL 2022'!J6</f>
        <v>117.85</v>
      </c>
      <c r="C58" s="82">
        <v>6</v>
      </c>
      <c r="D58" s="80">
        <f t="shared" si="8"/>
        <v>19.641666666666666</v>
      </c>
      <c r="E58" s="78"/>
      <c r="F58" s="77"/>
      <c r="G58" s="186"/>
      <c r="J58" s="14"/>
      <c r="K58" s="14"/>
      <c r="L58" s="14"/>
      <c r="M58" s="514" t="s">
        <v>593</v>
      </c>
      <c r="N58" s="514"/>
      <c r="O58" s="2">
        <v>19.7</v>
      </c>
      <c r="P58" s="175"/>
      <c r="Q58" s="178"/>
    </row>
    <row r="59" spans="1:59" s="11" customFormat="1" ht="15" customHeight="1" x14ac:dyDescent="0.3">
      <c r="A59" s="12" t="s">
        <v>61</v>
      </c>
      <c r="B59" s="2">
        <f>'GERAL 2022'!H6</f>
        <v>14.184042553191489</v>
      </c>
      <c r="C59" s="88">
        <v>5</v>
      </c>
      <c r="D59" s="2">
        <f t="shared" si="8"/>
        <v>2.8368085106382979</v>
      </c>
      <c r="E59" s="88"/>
      <c r="F59" s="88"/>
      <c r="G59" s="63"/>
      <c r="J59" s="63"/>
      <c r="K59" s="63"/>
      <c r="L59" s="63"/>
      <c r="M59" s="514" t="s">
        <v>594</v>
      </c>
      <c r="N59" s="514"/>
      <c r="O59" s="2">
        <v>19.64</v>
      </c>
      <c r="P59" s="175"/>
      <c r="Q59" s="178"/>
    </row>
    <row r="60" spans="1:59" s="11" customFormat="1" ht="14.4" x14ac:dyDescent="0.3">
      <c r="A60" s="79" t="s">
        <v>31</v>
      </c>
      <c r="B60" s="80">
        <f>'GERAL 2022'!J7</f>
        <v>118.18</v>
      </c>
      <c r="C60" s="82">
        <v>6</v>
      </c>
      <c r="D60" s="80">
        <f t="shared" si="8"/>
        <v>19.696666666666669</v>
      </c>
      <c r="E60" s="78"/>
      <c r="F60" s="77"/>
      <c r="G60" s="186"/>
      <c r="J60" s="14"/>
      <c r="K60" s="14"/>
      <c r="L60" s="14"/>
      <c r="M60" s="514" t="s">
        <v>325</v>
      </c>
      <c r="N60" s="514"/>
      <c r="O60" s="2">
        <v>19.89</v>
      </c>
      <c r="P60" s="175"/>
      <c r="Q60" s="178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</row>
    <row r="61" spans="1:59" s="11" customFormat="1" ht="14.4" x14ac:dyDescent="0.3">
      <c r="A61" s="12" t="s">
        <v>32</v>
      </c>
      <c r="B61" s="2">
        <f>'GERAL 2022'!H7</f>
        <v>14.184042553191489</v>
      </c>
      <c r="C61" s="88">
        <v>5</v>
      </c>
      <c r="D61" s="2">
        <f t="shared" si="8"/>
        <v>2.8368085106382979</v>
      </c>
      <c r="E61" s="88"/>
      <c r="F61" s="88"/>
      <c r="G61" s="63"/>
      <c r="J61" s="63"/>
      <c r="K61" s="63"/>
      <c r="L61" s="63"/>
      <c r="M61" s="514" t="s">
        <v>595</v>
      </c>
      <c r="N61" s="514"/>
      <c r="O61" s="2">
        <v>19.7</v>
      </c>
      <c r="P61" s="175"/>
      <c r="Q61" s="178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</row>
    <row r="62" spans="1:59" s="11" customFormat="1" ht="14.4" x14ac:dyDescent="0.3">
      <c r="A62" s="79" t="s">
        <v>57</v>
      </c>
      <c r="B62" s="80">
        <f>'GERAL 2022'!J36</f>
        <v>119.36</v>
      </c>
      <c r="C62" s="82">
        <v>6</v>
      </c>
      <c r="D62" s="80">
        <f t="shared" si="8"/>
        <v>19.893333333333334</v>
      </c>
      <c r="E62" s="78"/>
      <c r="F62" s="77"/>
      <c r="G62" s="186"/>
      <c r="J62" s="14"/>
      <c r="K62" s="14"/>
      <c r="L62" s="14"/>
      <c r="M62" s="514" t="s">
        <v>366</v>
      </c>
      <c r="N62" s="514"/>
      <c r="O62" s="2">
        <v>19.7</v>
      </c>
      <c r="P62" s="175"/>
      <c r="Q62" s="185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</row>
    <row r="63" spans="1:59" s="11" customFormat="1" ht="12.75" customHeight="1" x14ac:dyDescent="0.3">
      <c r="A63" s="12" t="s">
        <v>58</v>
      </c>
      <c r="B63" s="2">
        <f>'GERAL 2022'!K36</f>
        <v>19.893333333333334</v>
      </c>
      <c r="C63" s="88">
        <v>5</v>
      </c>
      <c r="D63" s="2">
        <f t="shared" si="8"/>
        <v>3.9786666666666668</v>
      </c>
      <c r="E63" s="88"/>
      <c r="F63" s="88"/>
      <c r="G63" s="63"/>
      <c r="J63" s="63"/>
      <c r="K63" s="63"/>
      <c r="L63" s="63"/>
      <c r="M63" s="514" t="s">
        <v>201</v>
      </c>
      <c r="N63" s="514"/>
      <c r="O63" s="2">
        <v>19.64</v>
      </c>
      <c r="P63" s="175"/>
      <c r="Q63" s="178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</row>
    <row r="64" spans="1:59" s="11" customFormat="1" ht="14.4" x14ac:dyDescent="0.3">
      <c r="A64" s="79" t="s">
        <v>63</v>
      </c>
      <c r="B64" s="80">
        <f>'GERAL 2022'!J9</f>
        <v>118.18</v>
      </c>
      <c r="C64" s="82">
        <v>6</v>
      </c>
      <c r="D64" s="80">
        <f t="shared" si="8"/>
        <v>19.696666666666669</v>
      </c>
      <c r="E64" s="78"/>
      <c r="F64" s="77"/>
      <c r="G64" s="186"/>
      <c r="J64" s="14"/>
      <c r="K64" s="14"/>
      <c r="L64" s="14"/>
      <c r="M64" s="514" t="s">
        <v>596</v>
      </c>
      <c r="N64" s="514"/>
      <c r="O64" s="2">
        <v>19.64</v>
      </c>
      <c r="P64" s="175"/>
      <c r="Q64" s="178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</row>
    <row r="65" spans="1:47" s="11" customFormat="1" ht="15" customHeight="1" x14ac:dyDescent="0.3">
      <c r="A65" s="12" t="s">
        <v>64</v>
      </c>
      <c r="B65" s="2">
        <f>'GERAL 2022'!H9</f>
        <v>14.184042553191489</v>
      </c>
      <c r="C65" s="88">
        <v>5</v>
      </c>
      <c r="D65" s="2">
        <f t="shared" si="8"/>
        <v>2.8368085106382979</v>
      </c>
      <c r="E65" s="88"/>
      <c r="F65" s="88"/>
      <c r="G65" s="63"/>
      <c r="J65" s="63"/>
      <c r="K65" s="63"/>
      <c r="L65" s="63"/>
      <c r="M65" s="514" t="s">
        <v>328</v>
      </c>
      <c r="N65" s="514"/>
      <c r="O65" s="2">
        <v>19.7</v>
      </c>
      <c r="Q65" s="14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</row>
    <row r="66" spans="1:47" s="11" customFormat="1" ht="14.4" x14ac:dyDescent="0.3">
      <c r="A66" s="79" t="s">
        <v>33</v>
      </c>
      <c r="B66" s="80">
        <f>'GERAL 2022'!J37</f>
        <v>118.18</v>
      </c>
      <c r="C66" s="82">
        <v>6</v>
      </c>
      <c r="D66" s="80">
        <f t="shared" si="8"/>
        <v>19.696666666666669</v>
      </c>
      <c r="E66" s="78"/>
      <c r="F66" s="77"/>
      <c r="G66" s="186"/>
      <c r="J66" s="14"/>
      <c r="K66" s="14"/>
      <c r="L66" s="14"/>
      <c r="M66" s="514" t="s">
        <v>203</v>
      </c>
      <c r="N66" s="514"/>
      <c r="O66" s="2">
        <v>19.809999999999999</v>
      </c>
      <c r="P66" s="175"/>
      <c r="Q66" s="178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</row>
    <row r="67" spans="1:47" s="11" customFormat="1" ht="13.5" customHeight="1" x14ac:dyDescent="0.3">
      <c r="A67" s="12" t="s">
        <v>34</v>
      </c>
      <c r="B67" s="2">
        <f>'GERAL 2022'!H37</f>
        <v>14.184042553191489</v>
      </c>
      <c r="C67" s="88">
        <v>5</v>
      </c>
      <c r="D67" s="2">
        <f t="shared" si="8"/>
        <v>2.8368085106382979</v>
      </c>
      <c r="E67" s="88"/>
      <c r="F67" s="88"/>
      <c r="G67" s="63"/>
      <c r="J67" s="63"/>
      <c r="K67" s="63"/>
      <c r="L67" s="63"/>
      <c r="M67" s="514" t="s">
        <v>224</v>
      </c>
      <c r="N67" s="514"/>
      <c r="O67" s="2">
        <v>19.7</v>
      </c>
      <c r="P67" s="175"/>
      <c r="Q67" s="178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</row>
    <row r="68" spans="1:47" s="11" customFormat="1" ht="14.4" x14ac:dyDescent="0.3">
      <c r="A68" s="79" t="s">
        <v>41</v>
      </c>
      <c r="B68" s="80">
        <f>'GERAL 2022'!J11</f>
        <v>118.18</v>
      </c>
      <c r="C68" s="82">
        <v>6</v>
      </c>
      <c r="D68" s="80">
        <f t="shared" si="8"/>
        <v>19.696666666666669</v>
      </c>
      <c r="E68" s="78"/>
      <c r="F68" s="77"/>
      <c r="G68" s="186"/>
      <c r="M68" s="514" t="s">
        <v>206</v>
      </c>
      <c r="N68" s="514"/>
      <c r="O68" s="2">
        <v>19.64</v>
      </c>
      <c r="P68" s="175"/>
      <c r="Q68" s="178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</row>
    <row r="69" spans="1:47" s="11" customFormat="1" ht="14.4" x14ac:dyDescent="0.3">
      <c r="A69" s="12" t="s">
        <v>42</v>
      </c>
      <c r="B69" s="2">
        <f>'GERAL 2022'!H11</f>
        <v>14.184042553191489</v>
      </c>
      <c r="C69" s="88">
        <v>5</v>
      </c>
      <c r="D69" s="2">
        <f t="shared" si="8"/>
        <v>2.8368085106382979</v>
      </c>
      <c r="E69" s="88"/>
      <c r="F69" s="88"/>
      <c r="G69" s="63"/>
      <c r="J69" s="63"/>
      <c r="K69" s="63"/>
      <c r="L69" s="63"/>
      <c r="M69" s="514" t="s">
        <v>124</v>
      </c>
      <c r="N69" s="514"/>
      <c r="O69" s="2">
        <v>19.760000000000002</v>
      </c>
      <c r="P69" s="175"/>
      <c r="Q69" s="178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</row>
    <row r="70" spans="1:47" s="11" customFormat="1" ht="14.4" x14ac:dyDescent="0.3">
      <c r="A70" s="79" t="s">
        <v>66</v>
      </c>
      <c r="B70" s="80">
        <f>'GERAL 2022'!J38</f>
        <v>117.85</v>
      </c>
      <c r="C70" s="81">
        <v>6</v>
      </c>
      <c r="D70" s="80">
        <f t="shared" si="8"/>
        <v>19.641666666666666</v>
      </c>
      <c r="E70" s="82"/>
      <c r="F70" s="80"/>
      <c r="G70" s="186"/>
      <c r="J70" s="14"/>
      <c r="K70" s="14"/>
      <c r="L70" s="14"/>
      <c r="M70" s="542" t="s">
        <v>597</v>
      </c>
      <c r="N70" s="542"/>
      <c r="O70" s="5">
        <f>120*4</f>
        <v>480</v>
      </c>
      <c r="P70" s="175"/>
      <c r="Q70" s="185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</row>
    <row r="71" spans="1:47" s="11" customFormat="1" ht="14.4" x14ac:dyDescent="0.3">
      <c r="A71" s="12" t="s">
        <v>67</v>
      </c>
      <c r="B71" s="2">
        <f>'GERAL 2022'!H38</f>
        <v>14.184042553191489</v>
      </c>
      <c r="C71" s="88">
        <v>5</v>
      </c>
      <c r="D71" s="2">
        <f t="shared" si="8"/>
        <v>2.8368085106382979</v>
      </c>
      <c r="E71" s="88"/>
      <c r="F71" s="88"/>
      <c r="G71" s="63"/>
      <c r="J71" s="63"/>
      <c r="K71" s="63"/>
      <c r="L71" s="63"/>
      <c r="M71" s="520" t="s">
        <v>126</v>
      </c>
      <c r="N71" s="520"/>
      <c r="O71" s="5">
        <v>148.93</v>
      </c>
      <c r="P71" s="175"/>
      <c r="Q71" s="176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</row>
    <row r="72" spans="1:47" s="11" customFormat="1" ht="14.4" x14ac:dyDescent="0.3">
      <c r="A72" s="79" t="s">
        <v>14</v>
      </c>
      <c r="B72" s="80">
        <f>'GERAL 2022'!J13</f>
        <v>117.85</v>
      </c>
      <c r="C72" s="82">
        <v>6</v>
      </c>
      <c r="D72" s="80">
        <f t="shared" si="8"/>
        <v>19.641666666666666</v>
      </c>
      <c r="E72" s="82"/>
      <c r="F72" s="80"/>
      <c r="G72" s="186"/>
      <c r="J72" s="14"/>
      <c r="K72" s="14"/>
      <c r="L72" s="14"/>
      <c r="M72" s="520" t="s">
        <v>599</v>
      </c>
      <c r="N72" s="520"/>
      <c r="O72" s="2">
        <v>120</v>
      </c>
      <c r="P72" s="175"/>
      <c r="Q72" s="176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</row>
    <row r="73" spans="1:47" s="11" customFormat="1" ht="14.4" x14ac:dyDescent="0.3">
      <c r="A73" s="12" t="s">
        <v>15</v>
      </c>
      <c r="B73" s="2">
        <f>'GERAL 2022'!H13</f>
        <v>14.184042553191489</v>
      </c>
      <c r="C73" s="88">
        <v>5</v>
      </c>
      <c r="D73" s="2">
        <f t="shared" si="8"/>
        <v>2.8368085106382979</v>
      </c>
      <c r="E73" s="88"/>
      <c r="F73" s="88"/>
      <c r="G73" s="63"/>
      <c r="J73" s="87"/>
      <c r="K73" s="87"/>
      <c r="L73" s="87"/>
      <c r="M73" s="570"/>
      <c r="N73" s="570"/>
      <c r="O73" s="5"/>
      <c r="P73" s="175"/>
      <c r="Q73" s="176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</row>
    <row r="74" spans="1:47" s="11" customFormat="1" ht="14.4" x14ac:dyDescent="0.3">
      <c r="A74" s="79" t="s">
        <v>55</v>
      </c>
      <c r="B74" s="80">
        <f>'GERAL 2022'!J14</f>
        <v>117.85</v>
      </c>
      <c r="C74" s="82">
        <v>6</v>
      </c>
      <c r="D74" s="80">
        <f t="shared" si="8"/>
        <v>19.641666666666666</v>
      </c>
      <c r="E74" s="82"/>
      <c r="F74" s="80"/>
      <c r="G74" s="186"/>
      <c r="M74" s="563"/>
      <c r="N74" s="563"/>
      <c r="O74" s="141"/>
      <c r="P74" s="175"/>
      <c r="Q74" s="176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</row>
    <row r="75" spans="1:47" s="11" customFormat="1" ht="14.4" x14ac:dyDescent="0.3">
      <c r="A75" s="12" t="s">
        <v>56</v>
      </c>
      <c r="B75" s="2">
        <f>'GERAL 2022'!H14</f>
        <v>14.184042553191489</v>
      </c>
      <c r="C75" s="88">
        <v>5</v>
      </c>
      <c r="D75" s="2">
        <f t="shared" si="8"/>
        <v>2.8368085106382979</v>
      </c>
      <c r="E75" s="88"/>
      <c r="F75" s="88"/>
      <c r="G75" s="63"/>
      <c r="M75" s="520"/>
      <c r="N75" s="520"/>
      <c r="O75" s="5"/>
      <c r="P75" s="175"/>
      <c r="Q75" s="176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</row>
    <row r="76" spans="1:47" s="11" customFormat="1" ht="14.4" x14ac:dyDescent="0.3">
      <c r="A76" s="79" t="s">
        <v>35</v>
      </c>
      <c r="B76" s="80">
        <f>'GERAL 2022'!J15</f>
        <v>117.85</v>
      </c>
      <c r="C76" s="82">
        <v>6</v>
      </c>
      <c r="D76" s="80">
        <f t="shared" si="8"/>
        <v>19.641666666666666</v>
      </c>
      <c r="E76" s="82"/>
      <c r="F76" s="80"/>
      <c r="G76" s="186"/>
      <c r="M76" s="563"/>
      <c r="N76" s="563"/>
      <c r="O76" s="141"/>
      <c r="P76" s="175"/>
      <c r="Q76" s="178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</row>
    <row r="77" spans="1:47" s="11" customFormat="1" ht="14.4" x14ac:dyDescent="0.3">
      <c r="A77" s="12" t="s">
        <v>36</v>
      </c>
      <c r="B77" s="2">
        <f>'GERAL 2022'!H15</f>
        <v>14.184042553191489</v>
      </c>
      <c r="C77" s="88">
        <v>5</v>
      </c>
      <c r="D77" s="2">
        <f t="shared" si="8"/>
        <v>2.8368085106382979</v>
      </c>
      <c r="E77" s="88"/>
      <c r="F77" s="88"/>
      <c r="G77" s="63"/>
      <c r="J77" s="14"/>
      <c r="K77" s="14"/>
      <c r="L77" s="14"/>
      <c r="M77" s="520"/>
      <c r="N77" s="520"/>
      <c r="O77" s="165"/>
      <c r="P77" s="175"/>
      <c r="Q77" s="178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</row>
    <row r="78" spans="1:47" s="11" customFormat="1" ht="14.4" x14ac:dyDescent="0.3">
      <c r="A78" s="79" t="s">
        <v>47</v>
      </c>
      <c r="B78" s="80">
        <f>'GERAL 2022'!J16</f>
        <v>117.85</v>
      </c>
      <c r="C78" s="82">
        <v>6</v>
      </c>
      <c r="D78" s="80">
        <f t="shared" si="8"/>
        <v>19.641666666666666</v>
      </c>
      <c r="E78" s="82"/>
      <c r="F78" s="80"/>
      <c r="G78" s="186"/>
      <c r="J78" s="15"/>
      <c r="K78" s="15"/>
      <c r="L78" s="15"/>
      <c r="M78" s="518" t="s">
        <v>26</v>
      </c>
      <c r="N78" s="518"/>
      <c r="O78" s="109">
        <f>SUM(O52:O77)</f>
        <v>3356.7904250685801</v>
      </c>
      <c r="P78" s="175"/>
      <c r="Q78" s="178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</row>
    <row r="79" spans="1:47" s="11" customFormat="1" ht="14.4" x14ac:dyDescent="0.3">
      <c r="A79" s="12" t="s">
        <v>48</v>
      </c>
      <c r="B79" s="2">
        <f>'GERAL 2022'!H16</f>
        <v>14.184042553191489</v>
      </c>
      <c r="C79" s="88">
        <v>5</v>
      </c>
      <c r="D79" s="2">
        <f t="shared" si="8"/>
        <v>2.8368085106382979</v>
      </c>
      <c r="E79" s="88"/>
      <c r="F79" s="88"/>
      <c r="G79" s="63"/>
      <c r="J79" s="14"/>
      <c r="K79" s="14"/>
      <c r="L79" s="14"/>
      <c r="M79" s="543"/>
      <c r="N79" s="543"/>
      <c r="O79" s="135"/>
      <c r="P79" s="175"/>
      <c r="Q79" s="178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</row>
    <row r="80" spans="1:47" s="11" customFormat="1" ht="14.4" x14ac:dyDescent="0.3">
      <c r="A80" s="79" t="s">
        <v>560</v>
      </c>
      <c r="B80" s="80">
        <f>'GERAL 2022'!J39</f>
        <v>118.18</v>
      </c>
      <c r="C80" s="82">
        <v>6</v>
      </c>
      <c r="D80" s="80">
        <f t="shared" si="8"/>
        <v>19.696666666666669</v>
      </c>
      <c r="E80" s="82"/>
      <c r="F80" s="80"/>
      <c r="G80" s="186"/>
      <c r="J80" s="14"/>
      <c r="K80" s="14"/>
      <c r="L80" s="14"/>
      <c r="M80" s="564" t="s">
        <v>11</v>
      </c>
      <c r="N80" s="565"/>
      <c r="O80" s="153">
        <f>J7+J37+J43</f>
        <v>19119.59192752482</v>
      </c>
      <c r="P80" s="175"/>
      <c r="Q80" s="178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</row>
    <row r="81" spans="1:47" s="11" customFormat="1" ht="14.4" x14ac:dyDescent="0.3">
      <c r="A81" s="12" t="s">
        <v>561</v>
      </c>
      <c r="B81" s="2">
        <f>'GERAL 2022'!H39</f>
        <v>14.184042553191489</v>
      </c>
      <c r="C81" s="88">
        <v>5</v>
      </c>
      <c r="D81" s="2">
        <f t="shared" si="8"/>
        <v>2.8368085106382979</v>
      </c>
      <c r="E81" s="88"/>
      <c r="F81" s="88"/>
      <c r="G81" s="63"/>
      <c r="J81" s="14"/>
      <c r="K81" s="14"/>
      <c r="L81" s="14"/>
      <c r="M81" s="518"/>
      <c r="N81" s="518"/>
      <c r="O81" s="519"/>
      <c r="P81" s="175"/>
      <c r="Q81" s="178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</row>
    <row r="82" spans="1:47" s="11" customFormat="1" x14ac:dyDescent="0.3">
      <c r="A82" s="79" t="s">
        <v>16</v>
      </c>
      <c r="B82" s="80">
        <f>'GERAL 2022'!J40</f>
        <v>119.02</v>
      </c>
      <c r="C82" s="82">
        <v>6</v>
      </c>
      <c r="D82" s="80">
        <f t="shared" si="8"/>
        <v>19.836666666666666</v>
      </c>
      <c r="E82" s="81"/>
      <c r="F82" s="81"/>
      <c r="G82" s="187"/>
      <c r="J82" s="14"/>
      <c r="K82" s="14"/>
      <c r="L82" s="14"/>
      <c r="M82" s="513" t="s">
        <v>13</v>
      </c>
      <c r="N82" s="513"/>
      <c r="O82" s="151">
        <f>O80-O78</f>
        <v>15762.801502456239</v>
      </c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</row>
    <row r="83" spans="1:47" s="69" customFormat="1" x14ac:dyDescent="0.3">
      <c r="A83" s="12" t="s">
        <v>17</v>
      </c>
      <c r="B83" s="2">
        <f>'GERAL 2022'!H40</f>
        <v>19.857659574468084</v>
      </c>
      <c r="C83" s="88">
        <v>5</v>
      </c>
      <c r="D83" s="2">
        <f t="shared" si="8"/>
        <v>3.9715319148936166</v>
      </c>
      <c r="E83" s="88"/>
      <c r="F83" s="88"/>
      <c r="G83" s="63"/>
      <c r="H83" s="11"/>
      <c r="I83" s="11"/>
      <c r="J83" s="14"/>
      <c r="K83" s="14"/>
      <c r="L83" s="14"/>
      <c r="M83" s="124"/>
      <c r="N83" s="124"/>
      <c r="O83" s="57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</row>
    <row r="84" spans="1:47" s="69" customFormat="1" x14ac:dyDescent="0.3">
      <c r="A84" s="79" t="s">
        <v>27</v>
      </c>
      <c r="B84" s="80">
        <f>'GERAL 2022'!J18</f>
        <v>118.87</v>
      </c>
      <c r="C84" s="82">
        <v>6</v>
      </c>
      <c r="D84" s="80">
        <f t="shared" si="8"/>
        <v>19.811666666666667</v>
      </c>
      <c r="E84" s="81"/>
      <c r="F84" s="82"/>
      <c r="G84" s="188"/>
      <c r="H84" s="11"/>
      <c r="I84" s="11"/>
      <c r="J84" s="14"/>
      <c r="K84" s="14"/>
      <c r="L84" s="14"/>
      <c r="M84" s="124"/>
      <c r="N84" s="124"/>
      <c r="O84" s="57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</row>
    <row r="85" spans="1:47" s="69" customFormat="1" x14ac:dyDescent="0.3">
      <c r="A85" s="12" t="s">
        <v>28</v>
      </c>
      <c r="B85" s="2">
        <f>'GERAL 2022'!H18</f>
        <v>14.184042553191489</v>
      </c>
      <c r="C85" s="88">
        <v>5</v>
      </c>
      <c r="D85" s="2">
        <f t="shared" si="8"/>
        <v>2.8368085106382979</v>
      </c>
      <c r="E85" s="88"/>
      <c r="F85" s="90"/>
      <c r="G85" s="11"/>
      <c r="H85" s="11"/>
      <c r="I85" s="11"/>
      <c r="J85" s="14"/>
      <c r="K85" s="14"/>
      <c r="L85" s="14"/>
      <c r="M85" s="124"/>
      <c r="N85" s="124"/>
      <c r="O85" s="57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</row>
    <row r="86" spans="1:47" s="69" customFormat="1" x14ac:dyDescent="0.3">
      <c r="A86" s="79" t="s">
        <v>18</v>
      </c>
      <c r="B86" s="80">
        <f>'GERAL 2022'!J41</f>
        <v>118.18</v>
      </c>
      <c r="C86" s="82">
        <v>6</v>
      </c>
      <c r="D86" s="80">
        <f t="shared" si="8"/>
        <v>19.696666666666669</v>
      </c>
      <c r="E86" s="82"/>
      <c r="F86" s="80"/>
      <c r="G86" s="186"/>
      <c r="H86" s="11"/>
      <c r="I86" s="11"/>
      <c r="J86" s="14"/>
      <c r="K86" s="14"/>
      <c r="L86" s="14"/>
      <c r="M86" s="124"/>
      <c r="N86" s="124"/>
      <c r="O86" s="57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</row>
    <row r="87" spans="1:47" s="69" customFormat="1" x14ac:dyDescent="0.3">
      <c r="A87" s="12" t="s">
        <v>19</v>
      </c>
      <c r="B87" s="2">
        <f>'GERAL 2022'!H41</f>
        <v>14.184042553191489</v>
      </c>
      <c r="C87" s="88">
        <v>5</v>
      </c>
      <c r="D87" s="2">
        <f>B87/C87</f>
        <v>2.8368085106382979</v>
      </c>
      <c r="E87" s="88"/>
      <c r="F87" s="88"/>
      <c r="G87" s="63"/>
      <c r="H87" s="11"/>
      <c r="I87" s="11"/>
      <c r="J87" s="14"/>
      <c r="K87" s="14"/>
      <c r="L87" s="14"/>
      <c r="M87" s="15"/>
      <c r="N87" s="14"/>
      <c r="O87" s="57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</row>
    <row r="88" spans="1:47" s="69" customFormat="1" x14ac:dyDescent="0.3">
      <c r="A88" s="79" t="s">
        <v>37</v>
      </c>
      <c r="B88" s="80">
        <f>'GERAL 2022'!J20</f>
        <v>119.02</v>
      </c>
      <c r="C88" s="82">
        <v>6</v>
      </c>
      <c r="D88" s="80">
        <f t="shared" si="8"/>
        <v>19.836666666666666</v>
      </c>
      <c r="E88" s="81"/>
      <c r="F88" s="82"/>
      <c r="G88" s="188"/>
      <c r="H88" s="11"/>
      <c r="I88" s="11"/>
      <c r="J88" s="14"/>
      <c r="K88" s="14"/>
      <c r="L88" s="14"/>
      <c r="M88" s="11"/>
      <c r="N88" s="15"/>
      <c r="O88" s="57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</row>
    <row r="89" spans="1:47" s="69" customFormat="1" x14ac:dyDescent="0.3">
      <c r="A89" s="12" t="s">
        <v>38</v>
      </c>
      <c r="B89" s="2">
        <f>'GERAL 2022'!H20</f>
        <v>14.184042553191489</v>
      </c>
      <c r="C89" s="88">
        <v>5</v>
      </c>
      <c r="D89" s="2">
        <f t="shared" si="8"/>
        <v>2.8368085106382979</v>
      </c>
      <c r="E89" s="88"/>
      <c r="F89" s="88"/>
      <c r="G89" s="63"/>
      <c r="H89" s="11"/>
      <c r="I89" s="11"/>
      <c r="J89" s="14"/>
      <c r="K89" s="14"/>
      <c r="L89" s="14"/>
      <c r="M89" s="11"/>
      <c r="N89" s="11"/>
      <c r="O89" s="57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</row>
    <row r="90" spans="1:47" s="69" customFormat="1" x14ac:dyDescent="0.3">
      <c r="A90" s="79" t="s">
        <v>45</v>
      </c>
      <c r="B90" s="80">
        <f>'GERAL 2022'!J43</f>
        <v>117.85</v>
      </c>
      <c r="C90" s="82">
        <v>6</v>
      </c>
      <c r="D90" s="80">
        <f t="shared" si="8"/>
        <v>19.641666666666666</v>
      </c>
      <c r="E90" s="81"/>
      <c r="F90" s="82"/>
      <c r="G90" s="188"/>
      <c r="H90" s="11"/>
      <c r="I90" s="11"/>
      <c r="J90" s="14"/>
      <c r="K90" s="14"/>
      <c r="L90" s="14"/>
      <c r="M90" s="14"/>
      <c r="N90" s="14"/>
      <c r="O90" s="57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</row>
    <row r="91" spans="1:47" s="69" customFormat="1" x14ac:dyDescent="0.3">
      <c r="A91" s="12" t="s">
        <v>39</v>
      </c>
      <c r="B91" s="2">
        <f>'GERAL 2022'!H43</f>
        <v>14.184042553191489</v>
      </c>
      <c r="C91" s="88">
        <v>5</v>
      </c>
      <c r="D91" s="2">
        <f t="shared" si="8"/>
        <v>2.8368085106382979</v>
      </c>
      <c r="E91" s="88"/>
      <c r="F91" s="88"/>
      <c r="G91" s="63"/>
      <c r="H91" s="11"/>
      <c r="I91" s="11"/>
      <c r="J91" s="14"/>
      <c r="K91" s="14"/>
      <c r="L91" s="14"/>
      <c r="M91" s="14"/>
      <c r="N91" s="15"/>
      <c r="O91" s="57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</row>
    <row r="92" spans="1:47" s="69" customFormat="1" x14ac:dyDescent="0.3">
      <c r="A92" s="81" t="s">
        <v>49</v>
      </c>
      <c r="B92" s="80">
        <f>'GERAL 2022'!J22</f>
        <v>119.12</v>
      </c>
      <c r="C92" s="82">
        <v>6</v>
      </c>
      <c r="D92" s="80">
        <f t="shared" si="8"/>
        <v>19.853333333333335</v>
      </c>
      <c r="E92" s="81"/>
      <c r="F92" s="82"/>
      <c r="G92" s="188"/>
      <c r="H92" s="11"/>
      <c r="I92" s="11"/>
      <c r="J92" s="14"/>
      <c r="K92" s="14"/>
      <c r="L92" s="14"/>
      <c r="M92" s="14"/>
      <c r="N92" s="11"/>
      <c r="O92" s="57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</row>
    <row r="93" spans="1:47" s="69" customFormat="1" x14ac:dyDescent="0.3">
      <c r="A93" s="90" t="s">
        <v>50</v>
      </c>
      <c r="B93" s="2">
        <f>'GERAL 2022'!H22</f>
        <v>14.184042553191489</v>
      </c>
      <c r="C93" s="88">
        <v>5</v>
      </c>
      <c r="D93" s="2">
        <f t="shared" si="8"/>
        <v>2.8368085106382979</v>
      </c>
      <c r="E93" s="88"/>
      <c r="F93" s="88"/>
      <c r="G93" s="63"/>
      <c r="H93" s="11"/>
      <c r="I93" s="11"/>
      <c r="J93" s="14"/>
      <c r="K93" s="14"/>
      <c r="L93" s="14"/>
      <c r="M93" s="14"/>
      <c r="N93" s="11"/>
      <c r="O93" s="57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</row>
    <row r="94" spans="1:47" s="69" customFormat="1" x14ac:dyDescent="0.3">
      <c r="A94" s="81" t="s">
        <v>43</v>
      </c>
      <c r="B94" s="80">
        <f>'GERAL 2022'!J23</f>
        <v>117.26</v>
      </c>
      <c r="C94" s="82">
        <v>6</v>
      </c>
      <c r="D94" s="80">
        <f t="shared" si="8"/>
        <v>19.543333333333333</v>
      </c>
      <c r="E94" s="81"/>
      <c r="F94" s="82"/>
      <c r="G94" s="188"/>
      <c r="J94" s="142"/>
      <c r="K94" s="142"/>
      <c r="L94" s="142"/>
      <c r="M94" s="11"/>
      <c r="N94" s="11"/>
      <c r="O94" s="57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</row>
    <row r="95" spans="1:47" s="70" customFormat="1" x14ac:dyDescent="0.3">
      <c r="A95" s="90" t="s">
        <v>44</v>
      </c>
      <c r="B95" s="2">
        <f>'GERAL 2022'!H23</f>
        <v>14.184042553191489</v>
      </c>
      <c r="C95" s="88">
        <v>5</v>
      </c>
      <c r="D95" s="2">
        <f t="shared" si="8"/>
        <v>2.8368085106382979</v>
      </c>
      <c r="E95" s="88"/>
      <c r="F95" s="88"/>
      <c r="G95" s="63"/>
      <c r="H95" s="63"/>
      <c r="I95" s="63"/>
      <c r="J95" s="69"/>
      <c r="K95" s="69"/>
      <c r="L95" s="69"/>
      <c r="M95" s="11"/>
      <c r="N95" s="14"/>
      <c r="O95" s="57"/>
    </row>
    <row r="96" spans="1:47" s="70" customFormat="1" ht="15" customHeight="1" x14ac:dyDescent="0.3">
      <c r="A96" s="81" t="s">
        <v>51</v>
      </c>
      <c r="B96" s="80">
        <f>'GERAL 2022'!J24</f>
        <v>117.26</v>
      </c>
      <c r="C96" s="82">
        <v>6</v>
      </c>
      <c r="D96" s="80">
        <f t="shared" si="8"/>
        <v>19.543333333333333</v>
      </c>
      <c r="E96" s="82"/>
      <c r="F96" s="80"/>
      <c r="G96" s="186"/>
      <c r="H96" s="11"/>
      <c r="I96" s="63"/>
      <c r="J96" s="142"/>
      <c r="K96" s="142"/>
      <c r="L96" s="142"/>
      <c r="M96" s="11"/>
      <c r="N96" s="14"/>
      <c r="O96" s="57"/>
      <c r="AU96" s="69"/>
    </row>
    <row r="97" spans="1:47" s="70" customFormat="1" x14ac:dyDescent="0.3">
      <c r="A97" s="90" t="s">
        <v>52</v>
      </c>
      <c r="B97" s="2">
        <f>'GERAL 2022'!H24</f>
        <v>14.184042553191489</v>
      </c>
      <c r="C97" s="88">
        <v>5</v>
      </c>
      <c r="D97" s="2">
        <f t="shared" si="8"/>
        <v>2.8368085106382979</v>
      </c>
      <c r="E97" s="88"/>
      <c r="F97" s="4"/>
      <c r="G97" s="69"/>
      <c r="H97" s="142"/>
      <c r="I97" s="142"/>
      <c r="J97" s="142"/>
      <c r="K97" s="142"/>
      <c r="L97" s="142"/>
      <c r="M97" s="11"/>
      <c r="N97" s="14"/>
      <c r="O97" s="57"/>
      <c r="AU97" s="69"/>
    </row>
    <row r="98" spans="1:47" s="70" customFormat="1" x14ac:dyDescent="0.3">
      <c r="A98" s="81" t="s">
        <v>53</v>
      </c>
      <c r="B98" s="80">
        <f>'GERAL 2022'!J25</f>
        <v>117.85</v>
      </c>
      <c r="C98" s="82">
        <v>6</v>
      </c>
      <c r="D98" s="80">
        <f t="shared" si="8"/>
        <v>19.641666666666666</v>
      </c>
      <c r="E98" s="82"/>
      <c r="F98" s="82"/>
      <c r="G98" s="188"/>
      <c r="H98" s="11"/>
      <c r="I98" s="63"/>
      <c r="J98" s="142"/>
      <c r="K98" s="142"/>
      <c r="L98" s="142"/>
      <c r="M98" s="11"/>
      <c r="N98" s="14"/>
      <c r="O98" s="57"/>
      <c r="AU98" s="69"/>
    </row>
    <row r="99" spans="1:47" s="70" customFormat="1" x14ac:dyDescent="0.3">
      <c r="A99" s="90" t="s">
        <v>54</v>
      </c>
      <c r="B99" s="2">
        <f>'GERAL 2022'!H25</f>
        <v>14.184042553191489</v>
      </c>
      <c r="C99" s="88">
        <v>5</v>
      </c>
      <c r="D99" s="2">
        <f t="shared" si="8"/>
        <v>2.8368085106382979</v>
      </c>
      <c r="E99" s="88"/>
      <c r="F99" s="4"/>
      <c r="G99" s="69"/>
      <c r="H99" s="142"/>
      <c r="I99" s="142"/>
      <c r="J99" s="142"/>
      <c r="K99" s="142"/>
      <c r="L99" s="142"/>
      <c r="M99" s="11"/>
      <c r="N99" s="11"/>
      <c r="O99" s="57"/>
      <c r="AU99" s="69"/>
    </row>
    <row r="100" spans="1:47" s="70" customFormat="1" x14ac:dyDescent="0.3">
      <c r="A100" s="81" t="s">
        <v>78</v>
      </c>
      <c r="B100" s="80">
        <f>'GERAL 2022'!J26</f>
        <v>119.02</v>
      </c>
      <c r="C100" s="82">
        <v>6</v>
      </c>
      <c r="D100" s="80">
        <f t="shared" si="8"/>
        <v>19.836666666666666</v>
      </c>
      <c r="E100" s="82"/>
      <c r="F100" s="82"/>
      <c r="G100" s="188"/>
      <c r="H100" s="11"/>
      <c r="I100" s="63"/>
      <c r="J100" s="142"/>
      <c r="K100" s="142"/>
      <c r="L100" s="142"/>
      <c r="M100" s="11"/>
      <c r="N100" s="11"/>
      <c r="O100" s="57"/>
      <c r="AU100" s="69"/>
    </row>
    <row r="101" spans="1:47" s="70" customFormat="1" x14ac:dyDescent="0.3">
      <c r="A101" s="90" t="s">
        <v>79</v>
      </c>
      <c r="B101" s="2">
        <f>'GERAL 2022'!H26</f>
        <v>19.857659574468084</v>
      </c>
      <c r="C101" s="88">
        <v>5</v>
      </c>
      <c r="D101" s="2">
        <f t="shared" si="8"/>
        <v>3.9715319148936166</v>
      </c>
      <c r="E101" s="88"/>
      <c r="F101" s="4"/>
      <c r="G101" s="69"/>
      <c r="H101" s="142"/>
      <c r="I101" s="142"/>
      <c r="J101" s="142"/>
      <c r="K101" s="142"/>
      <c r="L101" s="142"/>
      <c r="M101" s="69"/>
      <c r="N101" s="69"/>
      <c r="O101" s="69"/>
      <c r="AU101" s="69"/>
    </row>
    <row r="102" spans="1:47" s="70" customFormat="1" x14ac:dyDescent="0.3">
      <c r="A102" s="81" t="s">
        <v>80</v>
      </c>
      <c r="B102" s="80">
        <f>'GERAL 2022'!J44</f>
        <v>118.53</v>
      </c>
      <c r="C102" s="82">
        <v>6</v>
      </c>
      <c r="D102" s="80">
        <f t="shared" si="8"/>
        <v>19.754999999999999</v>
      </c>
      <c r="E102" s="82"/>
      <c r="F102" s="82"/>
      <c r="G102" s="188"/>
      <c r="H102" s="11"/>
      <c r="I102" s="63"/>
      <c r="J102" s="142"/>
      <c r="K102" s="142"/>
      <c r="L102" s="142"/>
      <c r="M102" s="69"/>
      <c r="N102" s="69"/>
      <c r="O102" s="69"/>
      <c r="AU102" s="69"/>
    </row>
    <row r="103" spans="1:47" s="70" customFormat="1" x14ac:dyDescent="0.3">
      <c r="A103" s="90" t="s">
        <v>81</v>
      </c>
      <c r="B103" s="2">
        <f>'GERAL 2022'!H44</f>
        <v>14.184042553191489</v>
      </c>
      <c r="C103" s="88">
        <v>5</v>
      </c>
      <c r="D103" s="2">
        <f t="shared" si="8"/>
        <v>2.8368085106382979</v>
      </c>
      <c r="E103" s="88"/>
      <c r="F103" s="4"/>
      <c r="G103" s="69"/>
      <c r="H103" s="142"/>
      <c r="I103" s="142"/>
      <c r="J103" s="142"/>
      <c r="K103" s="142"/>
      <c r="L103" s="142"/>
      <c r="M103" s="69"/>
      <c r="N103" s="69"/>
      <c r="O103" s="69"/>
      <c r="AU103" s="69"/>
    </row>
    <row r="104" spans="1:47" s="70" customFormat="1" x14ac:dyDescent="0.3">
      <c r="A104" s="81" t="s">
        <v>82</v>
      </c>
      <c r="B104" s="80">
        <f>'GERAL 2022'!J28</f>
        <v>117.95</v>
      </c>
      <c r="C104" s="82">
        <v>6</v>
      </c>
      <c r="D104" s="80">
        <f t="shared" si="8"/>
        <v>19.658333333333335</v>
      </c>
      <c r="E104" s="82"/>
      <c r="F104" s="82"/>
      <c r="G104" s="188"/>
      <c r="H104" s="11"/>
      <c r="I104" s="63"/>
      <c r="J104" s="142"/>
      <c r="K104" s="142"/>
      <c r="L104" s="142"/>
      <c r="M104" s="69"/>
      <c r="N104" s="69"/>
      <c r="O104" s="69"/>
      <c r="AU104" s="69"/>
    </row>
    <row r="105" spans="1:47" s="70" customFormat="1" x14ac:dyDescent="0.3">
      <c r="A105" s="90" t="s">
        <v>83</v>
      </c>
      <c r="B105" s="2">
        <f>'GERAL 2022'!H28</f>
        <v>14.184042553191489</v>
      </c>
      <c r="C105" s="88">
        <v>5</v>
      </c>
      <c r="D105" s="2">
        <f t="shared" si="8"/>
        <v>2.8368085106382979</v>
      </c>
      <c r="E105" s="88"/>
      <c r="F105" s="4"/>
      <c r="G105" s="69"/>
      <c r="H105" s="142"/>
      <c r="I105" s="142"/>
      <c r="J105" s="142"/>
      <c r="K105" s="142"/>
      <c r="L105" s="142"/>
      <c r="M105" s="69"/>
      <c r="N105" s="69"/>
      <c r="O105" s="69"/>
      <c r="AU105" s="69"/>
    </row>
    <row r="106" spans="1:47" s="70" customFormat="1" x14ac:dyDescent="0.3">
      <c r="A106" s="81" t="s">
        <v>84</v>
      </c>
      <c r="B106" s="80">
        <f>'GERAL 2022'!J45</f>
        <v>118.18</v>
      </c>
      <c r="C106" s="82">
        <v>6</v>
      </c>
      <c r="D106" s="80">
        <f t="shared" si="8"/>
        <v>19.696666666666669</v>
      </c>
      <c r="E106" s="82"/>
      <c r="F106" s="82"/>
      <c r="G106" s="188"/>
      <c r="H106" s="142"/>
      <c r="I106" s="142"/>
      <c r="J106" s="142"/>
      <c r="K106" s="142"/>
      <c r="L106" s="142"/>
      <c r="M106" s="69"/>
      <c r="N106" s="69"/>
      <c r="O106" s="69"/>
      <c r="AU106" s="69"/>
    </row>
    <row r="107" spans="1:47" s="70" customFormat="1" x14ac:dyDescent="0.3">
      <c r="A107" s="90" t="s">
        <v>85</v>
      </c>
      <c r="B107" s="2">
        <f>'GERAL 2022'!H45</f>
        <v>14.184042553191489</v>
      </c>
      <c r="C107" s="88">
        <v>5</v>
      </c>
      <c r="D107" s="2">
        <f t="shared" si="8"/>
        <v>2.8368085106382979</v>
      </c>
      <c r="E107" s="88"/>
      <c r="F107" s="4"/>
      <c r="G107" s="69"/>
      <c r="H107" s="69"/>
      <c r="I107" s="69"/>
      <c r="J107" s="142"/>
      <c r="K107" s="142"/>
      <c r="L107" s="142"/>
      <c r="M107" s="69"/>
      <c r="N107" s="69"/>
      <c r="O107" s="69"/>
      <c r="AU107" s="69"/>
    </row>
    <row r="108" spans="1:47" s="70" customFormat="1" x14ac:dyDescent="0.3">
      <c r="A108" s="69"/>
      <c r="B108" s="69"/>
      <c r="C108" s="69"/>
      <c r="D108" s="69"/>
      <c r="E108" s="69"/>
      <c r="F108" s="69"/>
      <c r="G108" s="69"/>
      <c r="H108" s="69"/>
      <c r="I108" s="69"/>
      <c r="J108" s="142"/>
      <c r="K108" s="142"/>
      <c r="L108" s="142"/>
      <c r="M108" s="144"/>
      <c r="N108" s="69"/>
      <c r="O108" s="69"/>
      <c r="AU108" s="69"/>
    </row>
    <row r="109" spans="1:47" s="70" customFormat="1" x14ac:dyDescent="0.3">
      <c r="A109" s="69"/>
      <c r="B109" s="69"/>
      <c r="C109" s="69"/>
      <c r="D109" s="69"/>
      <c r="E109" s="69"/>
      <c r="F109" s="69"/>
      <c r="G109" s="69"/>
      <c r="H109" s="69"/>
      <c r="I109" s="69"/>
      <c r="J109" s="142"/>
      <c r="K109" s="142"/>
      <c r="L109" s="142"/>
      <c r="M109" s="144"/>
      <c r="N109" s="69"/>
      <c r="O109" s="69"/>
      <c r="AU109" s="69"/>
    </row>
    <row r="110" spans="1:47" s="70" customFormat="1" x14ac:dyDescent="0.3">
      <c r="A110" s="69"/>
      <c r="B110" s="69"/>
      <c r="C110" s="69"/>
      <c r="D110" s="69"/>
      <c r="E110" s="69"/>
      <c r="F110" s="69"/>
      <c r="G110" s="69"/>
      <c r="H110" s="69"/>
      <c r="I110" s="69"/>
      <c r="J110" s="142"/>
      <c r="K110" s="142"/>
      <c r="L110" s="142"/>
      <c r="M110" s="144"/>
      <c r="N110" s="69"/>
      <c r="AU110" s="69"/>
    </row>
    <row r="111" spans="1:47" s="70" customFormat="1" x14ac:dyDescent="0.3">
      <c r="A111" s="69"/>
      <c r="B111" s="69"/>
      <c r="C111" s="69"/>
      <c r="D111" s="69"/>
      <c r="E111" s="69"/>
      <c r="F111" s="69"/>
      <c r="G111" s="69"/>
      <c r="H111" s="69"/>
      <c r="I111" s="69"/>
      <c r="J111" s="142"/>
      <c r="K111" s="142"/>
      <c r="L111" s="142"/>
      <c r="M111" s="144"/>
      <c r="N111" s="69"/>
      <c r="AU111" s="69"/>
    </row>
    <row r="112" spans="1:47" s="70" customFormat="1" x14ac:dyDescent="0.3">
      <c r="A112" s="69"/>
      <c r="B112" s="69"/>
      <c r="C112" s="69"/>
      <c r="D112" s="69"/>
      <c r="E112" s="69"/>
      <c r="F112" s="69"/>
      <c r="G112" s="69"/>
      <c r="H112" s="69"/>
      <c r="I112" s="69"/>
      <c r="J112" s="142"/>
      <c r="K112" s="142"/>
      <c r="L112" s="142"/>
      <c r="M112" s="144"/>
      <c r="N112" s="69"/>
      <c r="AU112" s="69"/>
    </row>
    <row r="113" spans="1:47" s="70" customFormat="1" x14ac:dyDescent="0.3">
      <c r="A113" s="69"/>
      <c r="B113" s="69"/>
      <c r="C113" s="69"/>
      <c r="D113" s="69"/>
      <c r="E113" s="69"/>
      <c r="F113" s="69"/>
      <c r="G113" s="69"/>
      <c r="H113" s="69"/>
      <c r="I113" s="69"/>
      <c r="J113" s="142"/>
      <c r="K113" s="142"/>
      <c r="L113" s="142"/>
      <c r="M113" s="144"/>
      <c r="N113" s="144"/>
      <c r="AU113" s="69"/>
    </row>
    <row r="114" spans="1:47" s="70" customFormat="1" x14ac:dyDescent="0.3">
      <c r="A114" s="69"/>
      <c r="B114" s="69"/>
      <c r="C114" s="69"/>
      <c r="D114" s="69"/>
      <c r="E114" s="69"/>
      <c r="F114" s="69"/>
      <c r="G114" s="69"/>
      <c r="H114" s="69"/>
      <c r="I114" s="69"/>
      <c r="J114" s="142"/>
      <c r="K114" s="142"/>
      <c r="L114" s="142"/>
      <c r="M114" s="144"/>
      <c r="N114" s="144"/>
      <c r="AU114" s="69"/>
    </row>
    <row r="115" spans="1:47" s="70" customFormat="1" x14ac:dyDescent="0.3">
      <c r="A115" s="69"/>
      <c r="B115" s="69"/>
      <c r="C115" s="69"/>
      <c r="D115" s="69"/>
      <c r="E115" s="69"/>
      <c r="F115" s="69"/>
      <c r="G115" s="69"/>
      <c r="J115" s="142"/>
      <c r="K115" s="142"/>
      <c r="L115" s="142"/>
      <c r="M115" s="144"/>
      <c r="N115" s="144"/>
      <c r="AU115" s="69"/>
    </row>
    <row r="116" spans="1:47" s="70" customFormat="1" x14ac:dyDescent="0.3">
      <c r="J116" s="142"/>
      <c r="K116" s="142"/>
      <c r="L116" s="142"/>
      <c r="M116" s="144"/>
      <c r="N116" s="144"/>
      <c r="AU116" s="69"/>
    </row>
    <row r="117" spans="1:47" s="70" customFormat="1" x14ac:dyDescent="0.3">
      <c r="J117" s="142"/>
      <c r="K117" s="142"/>
      <c r="L117" s="142"/>
      <c r="M117" s="144"/>
      <c r="N117" s="144"/>
      <c r="AU117" s="69"/>
    </row>
    <row r="118" spans="1:47" s="70" customFormat="1" x14ac:dyDescent="0.3">
      <c r="J118" s="142"/>
      <c r="K118" s="142"/>
      <c r="L118" s="142"/>
      <c r="M118" s="144"/>
      <c r="N118" s="144"/>
      <c r="AU118" s="69"/>
    </row>
    <row r="119" spans="1:47" s="70" customFormat="1" x14ac:dyDescent="0.3">
      <c r="J119" s="142"/>
      <c r="K119" s="142"/>
      <c r="L119" s="142"/>
      <c r="M119" s="144"/>
      <c r="N119" s="144"/>
      <c r="AU119" s="69"/>
    </row>
    <row r="120" spans="1:47" s="70" customFormat="1" x14ac:dyDescent="0.3">
      <c r="J120" s="142"/>
      <c r="K120" s="142"/>
      <c r="L120" s="142"/>
      <c r="M120" s="144"/>
      <c r="N120" s="144"/>
      <c r="AU120" s="69"/>
    </row>
    <row r="121" spans="1:47" s="70" customFormat="1" x14ac:dyDescent="0.3">
      <c r="J121" s="142"/>
      <c r="K121" s="142"/>
      <c r="L121" s="142"/>
      <c r="M121" s="144"/>
      <c r="N121" s="144"/>
      <c r="AU121" s="69"/>
    </row>
    <row r="122" spans="1:47" s="70" customFormat="1" x14ac:dyDescent="0.3">
      <c r="J122" s="142"/>
      <c r="K122" s="142"/>
      <c r="L122" s="142"/>
      <c r="M122" s="144"/>
      <c r="N122" s="144"/>
      <c r="AU122" s="69"/>
    </row>
    <row r="123" spans="1:47" s="70" customFormat="1" x14ac:dyDescent="0.3">
      <c r="J123" s="142"/>
      <c r="K123" s="142"/>
      <c r="L123" s="142"/>
      <c r="M123" s="144"/>
      <c r="N123" s="144"/>
      <c r="AU123" s="69"/>
    </row>
    <row r="124" spans="1:47" s="70" customFormat="1" x14ac:dyDescent="0.3">
      <c r="J124" s="142"/>
      <c r="K124" s="142"/>
      <c r="L124" s="142"/>
      <c r="M124" s="144"/>
      <c r="N124" s="144"/>
      <c r="AU124" s="69"/>
    </row>
    <row r="125" spans="1:47" s="70" customFormat="1" x14ac:dyDescent="0.3">
      <c r="J125" s="142"/>
      <c r="K125" s="142"/>
      <c r="L125" s="142"/>
      <c r="M125" s="144"/>
      <c r="N125" s="144"/>
      <c r="AU125" s="69"/>
    </row>
    <row r="126" spans="1:47" s="70" customFormat="1" x14ac:dyDescent="0.3">
      <c r="J126" s="142"/>
      <c r="K126" s="142"/>
      <c r="L126" s="142"/>
      <c r="M126" s="144"/>
      <c r="N126" s="144"/>
      <c r="AU126" s="69"/>
    </row>
    <row r="127" spans="1:47" s="70" customFormat="1" x14ac:dyDescent="0.3">
      <c r="J127" s="142"/>
      <c r="K127" s="142"/>
      <c r="L127" s="142"/>
      <c r="M127" s="144"/>
      <c r="N127" s="144"/>
      <c r="AU127" s="69"/>
    </row>
    <row r="128" spans="1:47" s="70" customFormat="1" x14ac:dyDescent="0.3">
      <c r="J128" s="142"/>
      <c r="K128" s="142"/>
      <c r="L128" s="142"/>
      <c r="M128" s="144"/>
      <c r="N128" s="144"/>
      <c r="AU128" s="69"/>
    </row>
    <row r="129" spans="10:47" s="70" customFormat="1" x14ac:dyDescent="0.3">
      <c r="J129" s="142"/>
      <c r="K129" s="142"/>
      <c r="L129" s="142"/>
      <c r="M129" s="144"/>
      <c r="N129" s="144"/>
      <c r="AU129" s="69"/>
    </row>
    <row r="130" spans="10:47" s="70" customFormat="1" x14ac:dyDescent="0.3">
      <c r="J130" s="142"/>
      <c r="K130" s="142"/>
      <c r="L130" s="142"/>
      <c r="M130" s="144"/>
      <c r="N130" s="144"/>
      <c r="AU130" s="69"/>
    </row>
    <row r="131" spans="10:47" s="70" customFormat="1" x14ac:dyDescent="0.3">
      <c r="J131" s="142"/>
      <c r="K131" s="142"/>
      <c r="L131" s="142"/>
      <c r="M131" s="144"/>
      <c r="N131" s="144"/>
      <c r="AU131" s="69"/>
    </row>
    <row r="132" spans="10:47" s="70" customFormat="1" x14ac:dyDescent="0.3">
      <c r="J132" s="142"/>
      <c r="K132" s="142"/>
      <c r="L132" s="142"/>
      <c r="M132" s="144"/>
      <c r="N132" s="144"/>
      <c r="AU132" s="69"/>
    </row>
    <row r="133" spans="10:47" s="70" customFormat="1" x14ac:dyDescent="0.3">
      <c r="J133" s="142"/>
      <c r="K133" s="142"/>
      <c r="L133" s="142"/>
      <c r="M133" s="144"/>
      <c r="N133" s="144"/>
      <c r="AU133" s="69"/>
    </row>
    <row r="134" spans="10:47" s="70" customFormat="1" x14ac:dyDescent="0.3">
      <c r="J134" s="142"/>
      <c r="K134" s="142"/>
      <c r="L134" s="142"/>
      <c r="M134" s="144"/>
      <c r="N134" s="144"/>
      <c r="AU134" s="69"/>
    </row>
    <row r="135" spans="10:47" s="70" customFormat="1" x14ac:dyDescent="0.3">
      <c r="J135" s="142"/>
      <c r="K135" s="142"/>
      <c r="L135" s="142"/>
      <c r="M135" s="144"/>
      <c r="N135" s="144"/>
      <c r="AU135" s="69"/>
    </row>
    <row r="136" spans="10:47" s="70" customFormat="1" x14ac:dyDescent="0.3">
      <c r="J136" s="142"/>
      <c r="K136" s="142"/>
      <c r="L136" s="142"/>
      <c r="M136" s="144"/>
      <c r="N136" s="144"/>
      <c r="AU136" s="69"/>
    </row>
    <row r="137" spans="10:47" s="70" customFormat="1" x14ac:dyDescent="0.3">
      <c r="J137" s="142"/>
      <c r="K137" s="142"/>
      <c r="L137" s="142"/>
      <c r="M137" s="144"/>
      <c r="N137" s="144"/>
      <c r="AU137" s="69"/>
    </row>
    <row r="138" spans="10:47" s="70" customFormat="1" x14ac:dyDescent="0.3">
      <c r="J138" s="142"/>
      <c r="K138" s="142"/>
      <c r="L138" s="142"/>
      <c r="M138" s="144"/>
      <c r="N138" s="144"/>
      <c r="AU138" s="69"/>
    </row>
    <row r="139" spans="10:47" s="70" customFormat="1" x14ac:dyDescent="0.3">
      <c r="J139" s="142"/>
      <c r="K139" s="142"/>
      <c r="L139" s="142"/>
      <c r="M139" s="144"/>
      <c r="N139" s="144"/>
      <c r="AU139" s="69"/>
    </row>
    <row r="140" spans="10:47" s="70" customFormat="1" x14ac:dyDescent="0.3">
      <c r="J140" s="142"/>
      <c r="K140" s="142"/>
      <c r="L140" s="142"/>
      <c r="M140" s="144"/>
      <c r="N140" s="144"/>
      <c r="AU140" s="69"/>
    </row>
    <row r="141" spans="10:47" s="70" customFormat="1" x14ac:dyDescent="0.3">
      <c r="J141" s="142"/>
      <c r="K141" s="142"/>
      <c r="L141" s="142"/>
      <c r="M141" s="144"/>
      <c r="N141" s="144"/>
      <c r="AU141" s="69"/>
    </row>
    <row r="142" spans="10:47" s="70" customFormat="1" x14ac:dyDescent="0.3">
      <c r="J142" s="142"/>
      <c r="K142" s="142"/>
      <c r="L142" s="142"/>
      <c r="M142" s="144"/>
      <c r="N142" s="144"/>
      <c r="AU142" s="69"/>
    </row>
    <row r="143" spans="10:47" s="70" customFormat="1" x14ac:dyDescent="0.3">
      <c r="J143" s="142"/>
      <c r="K143" s="142"/>
      <c r="L143" s="142"/>
      <c r="M143" s="144"/>
      <c r="N143" s="144"/>
      <c r="AU143" s="69"/>
    </row>
    <row r="144" spans="10:47" s="70" customFormat="1" x14ac:dyDescent="0.3">
      <c r="J144" s="142"/>
      <c r="K144" s="142"/>
      <c r="L144" s="142"/>
      <c r="M144" s="144"/>
      <c r="N144" s="144"/>
      <c r="AU144" s="69"/>
    </row>
    <row r="145" spans="10:47" s="70" customFormat="1" x14ac:dyDescent="0.3">
      <c r="J145" s="142"/>
      <c r="K145" s="142"/>
      <c r="L145" s="142"/>
      <c r="M145" s="144"/>
      <c r="N145" s="144"/>
      <c r="AU145" s="69"/>
    </row>
    <row r="146" spans="10:47" s="70" customFormat="1" x14ac:dyDescent="0.3">
      <c r="J146" s="142"/>
      <c r="K146" s="142"/>
      <c r="L146" s="142"/>
      <c r="M146" s="144"/>
      <c r="N146" s="144"/>
      <c r="AU146" s="69"/>
    </row>
    <row r="147" spans="10:47" s="70" customFormat="1" x14ac:dyDescent="0.3">
      <c r="J147" s="142"/>
      <c r="K147" s="142"/>
      <c r="L147" s="142"/>
      <c r="M147" s="144"/>
      <c r="N147" s="144"/>
      <c r="AU147" s="69"/>
    </row>
    <row r="148" spans="10:47" s="70" customFormat="1" x14ac:dyDescent="0.3">
      <c r="J148" s="142"/>
      <c r="K148" s="142"/>
      <c r="L148" s="142"/>
      <c r="M148" s="144"/>
      <c r="N148" s="144"/>
      <c r="AU148" s="69"/>
    </row>
    <row r="149" spans="10:47" s="70" customFormat="1" x14ac:dyDescent="0.3">
      <c r="J149" s="142"/>
      <c r="K149" s="142"/>
      <c r="L149" s="142"/>
      <c r="M149" s="144"/>
      <c r="N149" s="144"/>
      <c r="AU149" s="69"/>
    </row>
    <row r="150" spans="10:47" s="70" customFormat="1" x14ac:dyDescent="0.3">
      <c r="J150" s="142"/>
      <c r="K150" s="142"/>
      <c r="L150" s="142"/>
      <c r="M150" s="144"/>
      <c r="N150" s="144"/>
      <c r="AU150" s="69"/>
    </row>
    <row r="151" spans="10:47" s="70" customFormat="1" x14ac:dyDescent="0.3">
      <c r="J151" s="142"/>
      <c r="K151" s="142"/>
      <c r="L151" s="142"/>
      <c r="M151" s="144"/>
      <c r="N151" s="144"/>
      <c r="AU151" s="69"/>
    </row>
    <row r="152" spans="10:47" s="70" customFormat="1" x14ac:dyDescent="0.3">
      <c r="J152" s="142"/>
      <c r="K152" s="142"/>
      <c r="L152" s="142"/>
      <c r="M152" s="144"/>
      <c r="N152" s="144"/>
      <c r="AU152" s="69"/>
    </row>
    <row r="153" spans="10:47" s="70" customFormat="1" x14ac:dyDescent="0.3">
      <c r="J153" s="142"/>
      <c r="K153" s="142"/>
      <c r="L153" s="142"/>
      <c r="M153" s="144"/>
      <c r="N153" s="144"/>
      <c r="AU153" s="69"/>
    </row>
    <row r="154" spans="10:47" s="70" customFormat="1" x14ac:dyDescent="0.3">
      <c r="J154" s="142"/>
      <c r="K154" s="142"/>
      <c r="L154" s="142"/>
      <c r="M154" s="144"/>
      <c r="N154" s="144"/>
      <c r="AU154" s="69"/>
    </row>
    <row r="155" spans="10:47" s="70" customFormat="1" x14ac:dyDescent="0.3">
      <c r="J155" s="142"/>
      <c r="K155" s="142"/>
      <c r="L155" s="142"/>
      <c r="M155" s="144"/>
      <c r="N155" s="144"/>
      <c r="AU155" s="69"/>
    </row>
    <row r="156" spans="10:47" s="70" customFormat="1" x14ac:dyDescent="0.3">
      <c r="J156" s="142"/>
      <c r="K156" s="142"/>
      <c r="L156" s="142"/>
      <c r="M156" s="144"/>
      <c r="N156" s="144"/>
      <c r="AU156" s="69"/>
    </row>
    <row r="157" spans="10:47" s="70" customFormat="1" x14ac:dyDescent="0.3">
      <c r="J157" s="142"/>
      <c r="K157" s="142"/>
      <c r="L157" s="142"/>
      <c r="M157" s="144"/>
      <c r="N157" s="144"/>
      <c r="AU157" s="69"/>
    </row>
    <row r="158" spans="10:47" s="70" customFormat="1" x14ac:dyDescent="0.3">
      <c r="J158" s="142"/>
      <c r="K158" s="142"/>
      <c r="L158" s="142"/>
      <c r="M158" s="144"/>
      <c r="N158" s="144"/>
      <c r="AU158" s="69"/>
    </row>
    <row r="159" spans="10:47" s="70" customFormat="1" x14ac:dyDescent="0.3">
      <c r="J159" s="142"/>
      <c r="K159" s="142"/>
      <c r="L159" s="142"/>
      <c r="M159" s="144"/>
      <c r="N159" s="144"/>
      <c r="AU159" s="69"/>
    </row>
    <row r="160" spans="10:47" s="70" customFormat="1" x14ac:dyDescent="0.3">
      <c r="J160" s="142"/>
      <c r="K160" s="142"/>
      <c r="L160" s="142"/>
      <c r="M160" s="144"/>
      <c r="N160" s="144"/>
      <c r="AU160" s="69"/>
    </row>
    <row r="161" spans="1:48" s="70" customFormat="1" x14ac:dyDescent="0.3">
      <c r="J161" s="142"/>
      <c r="K161" s="142"/>
      <c r="L161" s="142"/>
      <c r="M161" s="144"/>
      <c r="N161" s="144"/>
      <c r="AU161" s="69"/>
    </row>
    <row r="162" spans="1:48" s="70" customFormat="1" x14ac:dyDescent="0.3">
      <c r="J162" s="142"/>
      <c r="K162" s="142"/>
      <c r="L162" s="142"/>
      <c r="M162" s="144"/>
      <c r="N162" s="144"/>
      <c r="AU162" s="69"/>
    </row>
    <row r="163" spans="1:48" s="70" customFormat="1" x14ac:dyDescent="0.3">
      <c r="J163" s="142"/>
      <c r="K163" s="142"/>
      <c r="L163" s="142"/>
      <c r="M163" s="144"/>
      <c r="N163" s="144"/>
      <c r="AU163" s="69"/>
    </row>
    <row r="164" spans="1:48" s="70" customFormat="1" x14ac:dyDescent="0.3">
      <c r="J164" s="142"/>
      <c r="K164" s="142"/>
      <c r="L164" s="142"/>
      <c r="M164" s="144"/>
      <c r="N164" s="144"/>
      <c r="AU164" s="69"/>
    </row>
    <row r="165" spans="1:48" s="70" customFormat="1" x14ac:dyDescent="0.3">
      <c r="J165" s="142"/>
      <c r="K165" s="142"/>
      <c r="L165" s="142"/>
      <c r="M165" s="144"/>
      <c r="N165" s="144"/>
      <c r="AU165" s="69"/>
    </row>
    <row r="166" spans="1:48" s="70" customFormat="1" x14ac:dyDescent="0.3">
      <c r="J166" s="142"/>
      <c r="K166" s="142"/>
      <c r="L166" s="142"/>
      <c r="M166" s="144"/>
      <c r="N166" s="144"/>
      <c r="AU166" s="69"/>
    </row>
    <row r="167" spans="1:48" s="70" customFormat="1" x14ac:dyDescent="0.3">
      <c r="J167" s="142"/>
      <c r="K167" s="142"/>
      <c r="L167" s="142"/>
      <c r="M167" s="144"/>
      <c r="N167" s="144"/>
      <c r="AU167" s="69"/>
    </row>
    <row r="168" spans="1:48" s="70" customFormat="1" x14ac:dyDescent="0.3">
      <c r="J168" s="142"/>
      <c r="K168" s="142"/>
      <c r="L168" s="142"/>
      <c r="M168" s="144"/>
      <c r="N168" s="144"/>
      <c r="AU168" s="69"/>
    </row>
    <row r="169" spans="1:48" s="70" customFormat="1" x14ac:dyDescent="0.3">
      <c r="J169" s="142"/>
      <c r="K169" s="142"/>
      <c r="L169" s="142"/>
      <c r="M169" s="144"/>
      <c r="N169" s="144"/>
      <c r="AU169" s="69"/>
    </row>
    <row r="170" spans="1:48" s="145" customFormat="1" x14ac:dyDescent="0.3">
      <c r="A170" s="70"/>
      <c r="B170" s="70"/>
      <c r="C170" s="70"/>
      <c r="D170" s="70"/>
      <c r="E170" s="70"/>
      <c r="F170" s="70"/>
      <c r="G170" s="70"/>
      <c r="H170" s="70"/>
      <c r="I170" s="70"/>
      <c r="J170" s="142"/>
      <c r="K170" s="142"/>
      <c r="L170" s="142"/>
      <c r="M170" s="144"/>
      <c r="N170" s="144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69"/>
      <c r="AV170" s="70"/>
    </row>
    <row r="171" spans="1:48" s="145" customFormat="1" x14ac:dyDescent="0.3">
      <c r="A171" s="70"/>
      <c r="B171" s="70"/>
      <c r="C171" s="70"/>
      <c r="D171" s="70"/>
      <c r="E171" s="70"/>
      <c r="F171" s="70"/>
      <c r="G171" s="70"/>
      <c r="H171" s="70"/>
      <c r="I171" s="70"/>
      <c r="J171" s="142"/>
      <c r="K171" s="142"/>
      <c r="L171" s="142"/>
      <c r="M171" s="144"/>
      <c r="N171" s="144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69"/>
      <c r="AV171" s="70"/>
    </row>
    <row r="172" spans="1:48" s="145" customFormat="1" x14ac:dyDescent="0.3">
      <c r="A172" s="70"/>
      <c r="B172" s="70"/>
      <c r="C172" s="70"/>
      <c r="D172" s="70"/>
      <c r="E172" s="70"/>
      <c r="F172" s="70"/>
      <c r="G172" s="70"/>
      <c r="H172" s="70"/>
      <c r="I172" s="70"/>
      <c r="J172" s="142"/>
      <c r="K172" s="142"/>
      <c r="L172" s="142"/>
      <c r="M172" s="144"/>
      <c r="N172" s="144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69"/>
      <c r="AV172" s="70"/>
    </row>
    <row r="173" spans="1:48" s="145" customFormat="1" x14ac:dyDescent="0.3">
      <c r="A173" s="70"/>
      <c r="B173" s="70"/>
      <c r="C173" s="70"/>
      <c r="D173" s="70"/>
      <c r="E173" s="70"/>
      <c r="F173" s="70"/>
      <c r="G173" s="70"/>
      <c r="H173" s="70"/>
      <c r="I173" s="70"/>
      <c r="J173" s="142"/>
      <c r="K173" s="142"/>
      <c r="L173" s="142"/>
      <c r="M173" s="144"/>
      <c r="N173" s="144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69"/>
      <c r="AV173" s="70"/>
    </row>
    <row r="174" spans="1:48" s="145" customFormat="1" x14ac:dyDescent="0.3">
      <c r="A174" s="70"/>
      <c r="B174" s="70"/>
      <c r="C174" s="70"/>
      <c r="D174" s="70"/>
      <c r="E174" s="70"/>
      <c r="F174" s="70"/>
      <c r="G174" s="70"/>
      <c r="H174" s="70"/>
      <c r="I174" s="70"/>
      <c r="J174" s="142"/>
      <c r="K174" s="142"/>
      <c r="L174" s="142"/>
      <c r="M174" s="144"/>
      <c r="N174" s="144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69"/>
      <c r="AV174" s="70"/>
    </row>
    <row r="175" spans="1:48" s="145" customFormat="1" x14ac:dyDescent="0.3">
      <c r="A175" s="70"/>
      <c r="B175" s="70"/>
      <c r="C175" s="70"/>
      <c r="D175" s="70"/>
      <c r="E175" s="70"/>
      <c r="F175" s="70"/>
      <c r="G175" s="70"/>
      <c r="H175" s="70"/>
      <c r="I175" s="70"/>
      <c r="J175" s="142"/>
      <c r="K175" s="142"/>
      <c r="L175" s="142"/>
      <c r="M175" s="144"/>
      <c r="N175" s="144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69"/>
      <c r="AV175" s="70"/>
    </row>
    <row r="176" spans="1:48" s="145" customFormat="1" x14ac:dyDescent="0.3">
      <c r="A176" s="70"/>
      <c r="B176" s="70"/>
      <c r="C176" s="70"/>
      <c r="D176" s="70"/>
      <c r="E176" s="70"/>
      <c r="F176" s="70"/>
      <c r="G176" s="70"/>
      <c r="H176" s="70"/>
      <c r="I176" s="70"/>
      <c r="J176" s="142"/>
      <c r="K176" s="142"/>
      <c r="L176" s="142"/>
      <c r="M176" s="144"/>
      <c r="N176" s="144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69"/>
      <c r="AV176" s="70"/>
    </row>
    <row r="177" spans="1:48" s="145" customFormat="1" x14ac:dyDescent="0.3">
      <c r="A177" s="70"/>
      <c r="B177" s="70"/>
      <c r="C177" s="70"/>
      <c r="D177" s="70"/>
      <c r="E177" s="70"/>
      <c r="F177" s="70"/>
      <c r="G177" s="70"/>
      <c r="H177" s="70"/>
      <c r="I177" s="70"/>
      <c r="J177" s="142"/>
      <c r="K177" s="142"/>
      <c r="L177" s="142"/>
      <c r="M177" s="144"/>
      <c r="N177" s="144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69"/>
      <c r="AV177" s="70"/>
    </row>
    <row r="178" spans="1:48" s="145" customFormat="1" x14ac:dyDescent="0.3">
      <c r="A178" s="70"/>
      <c r="B178" s="70"/>
      <c r="C178" s="70"/>
      <c r="D178" s="70"/>
      <c r="E178" s="70"/>
      <c r="F178" s="70"/>
      <c r="G178" s="70"/>
      <c r="H178" s="70"/>
      <c r="I178" s="70"/>
      <c r="J178" s="142"/>
      <c r="K178" s="142"/>
      <c r="L178" s="142"/>
      <c r="M178" s="144"/>
      <c r="N178" s="144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69"/>
      <c r="AV178" s="70"/>
    </row>
    <row r="179" spans="1:48" s="145" customFormat="1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142"/>
      <c r="K179" s="142"/>
      <c r="L179" s="142"/>
      <c r="M179" s="144"/>
      <c r="N179" s="144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69"/>
      <c r="AV179" s="70"/>
    </row>
    <row r="180" spans="1:48" s="145" customFormat="1" x14ac:dyDescent="0.3">
      <c r="A180" s="70"/>
      <c r="B180" s="70"/>
      <c r="C180" s="70"/>
      <c r="D180" s="70"/>
      <c r="E180" s="70"/>
      <c r="F180" s="70"/>
      <c r="G180" s="70"/>
      <c r="H180" s="70"/>
      <c r="I180" s="70"/>
      <c r="J180" s="142"/>
      <c r="K180" s="142"/>
      <c r="L180" s="142"/>
      <c r="M180" s="144"/>
      <c r="N180" s="144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69"/>
      <c r="AV180" s="70"/>
    </row>
    <row r="181" spans="1:48" s="145" customFormat="1" x14ac:dyDescent="0.3">
      <c r="A181" s="70"/>
      <c r="B181" s="70"/>
      <c r="C181" s="70"/>
      <c r="D181" s="70"/>
      <c r="E181" s="70"/>
      <c r="F181" s="70"/>
      <c r="G181" s="70"/>
      <c r="H181" s="70"/>
      <c r="I181" s="70"/>
      <c r="J181" s="142"/>
      <c r="K181" s="142"/>
      <c r="L181" s="142"/>
      <c r="M181" s="144"/>
      <c r="N181" s="144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69"/>
      <c r="AV181" s="70"/>
    </row>
    <row r="182" spans="1:48" s="145" customFormat="1" x14ac:dyDescent="0.3">
      <c r="A182" s="70"/>
      <c r="B182" s="70"/>
      <c r="C182" s="70"/>
      <c r="D182" s="70"/>
      <c r="E182" s="70"/>
      <c r="F182" s="70"/>
      <c r="G182" s="70"/>
      <c r="H182" s="70"/>
      <c r="I182" s="70"/>
      <c r="J182" s="146"/>
      <c r="K182" s="146"/>
      <c r="L182" s="146"/>
      <c r="M182" s="144"/>
      <c r="N182" s="144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69"/>
      <c r="AV182" s="70"/>
    </row>
    <row r="183" spans="1:48" s="145" customFormat="1" x14ac:dyDescent="0.3">
      <c r="A183" s="70"/>
      <c r="B183" s="70"/>
      <c r="C183" s="70"/>
      <c r="D183" s="70"/>
      <c r="E183" s="70"/>
      <c r="F183" s="70"/>
      <c r="G183" s="70"/>
      <c r="H183" s="70"/>
      <c r="I183" s="70"/>
      <c r="J183" s="146"/>
      <c r="K183" s="146"/>
      <c r="L183" s="146"/>
      <c r="M183" s="144"/>
      <c r="N183" s="144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69"/>
      <c r="AV183" s="70"/>
    </row>
    <row r="184" spans="1:48" s="145" customFormat="1" x14ac:dyDescent="0.3">
      <c r="A184" s="70"/>
      <c r="B184" s="70"/>
      <c r="C184" s="70"/>
      <c r="D184" s="70"/>
      <c r="E184" s="70"/>
      <c r="F184" s="70"/>
      <c r="G184" s="70"/>
      <c r="H184" s="70"/>
      <c r="I184" s="70"/>
      <c r="J184" s="146"/>
      <c r="K184" s="146"/>
      <c r="L184" s="146"/>
      <c r="M184" s="144"/>
      <c r="N184" s="144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69"/>
      <c r="AV184" s="70"/>
    </row>
    <row r="185" spans="1:48" s="145" customFormat="1" x14ac:dyDescent="0.3">
      <c r="A185" s="70"/>
      <c r="B185" s="70"/>
      <c r="C185" s="70"/>
      <c r="D185" s="70"/>
      <c r="E185" s="70"/>
      <c r="F185" s="70"/>
      <c r="G185" s="70"/>
      <c r="H185" s="70"/>
      <c r="I185" s="70"/>
      <c r="J185" s="146"/>
      <c r="K185" s="146"/>
      <c r="L185" s="146"/>
      <c r="M185" s="147"/>
      <c r="N185" s="144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69"/>
      <c r="AV185" s="70"/>
    </row>
    <row r="186" spans="1:48" s="145" customFormat="1" x14ac:dyDescent="0.3">
      <c r="A186" s="70"/>
      <c r="B186" s="70"/>
      <c r="C186" s="70"/>
      <c r="D186" s="70"/>
      <c r="E186" s="70"/>
      <c r="F186" s="70"/>
      <c r="G186" s="70"/>
      <c r="H186" s="70"/>
      <c r="I186" s="70"/>
      <c r="J186" s="146"/>
      <c r="K186" s="146"/>
      <c r="L186" s="146"/>
      <c r="M186" s="147"/>
      <c r="N186" s="144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69"/>
      <c r="AV186" s="70"/>
    </row>
    <row r="187" spans="1:48" x14ac:dyDescent="0.3">
      <c r="A187" s="70"/>
      <c r="B187" s="70"/>
      <c r="C187" s="70"/>
      <c r="D187" s="70"/>
      <c r="E187" s="70"/>
      <c r="F187" s="70"/>
      <c r="G187" s="70"/>
      <c r="H187" s="70"/>
      <c r="I187" s="70"/>
      <c r="J187" s="146"/>
      <c r="K187" s="146"/>
      <c r="L187" s="146"/>
      <c r="M187" s="147"/>
      <c r="N187" s="144"/>
      <c r="O187" s="70"/>
      <c r="AU187" s="148"/>
      <c r="AV187" s="148"/>
    </row>
    <row r="188" spans="1:48" x14ac:dyDescent="0.3">
      <c r="A188" s="70"/>
      <c r="B188" s="70"/>
      <c r="C188" s="70"/>
      <c r="D188" s="70"/>
      <c r="E188" s="70"/>
      <c r="F188" s="70"/>
      <c r="G188" s="70"/>
      <c r="H188" s="70"/>
      <c r="I188" s="70"/>
      <c r="J188" s="146"/>
      <c r="K188" s="146"/>
      <c r="L188" s="146"/>
      <c r="M188" s="147"/>
      <c r="N188" s="144"/>
      <c r="O188" s="149"/>
      <c r="AU188" s="148"/>
      <c r="AV188" s="148"/>
    </row>
    <row r="189" spans="1:48" x14ac:dyDescent="0.3">
      <c r="A189" s="70"/>
      <c r="B189" s="70"/>
      <c r="C189" s="70"/>
      <c r="D189" s="70"/>
      <c r="E189" s="70"/>
      <c r="F189" s="70"/>
      <c r="G189" s="70"/>
      <c r="H189" s="70"/>
      <c r="I189" s="70"/>
      <c r="J189" s="146"/>
      <c r="K189" s="146"/>
      <c r="L189" s="146"/>
      <c r="M189" s="147"/>
      <c r="N189" s="144"/>
      <c r="O189" s="149"/>
      <c r="AU189" s="148"/>
      <c r="AV189" s="148"/>
    </row>
    <row r="190" spans="1:48" x14ac:dyDescent="0.3">
      <c r="A190" s="70"/>
      <c r="B190" s="70"/>
      <c r="C190" s="70"/>
      <c r="D190" s="70"/>
      <c r="E190" s="70"/>
      <c r="F190" s="70"/>
      <c r="G190" s="70"/>
      <c r="H190" s="70"/>
      <c r="I190" s="70"/>
      <c r="J190" s="146"/>
      <c r="K190" s="146"/>
      <c r="L190" s="146"/>
      <c r="M190" s="147"/>
      <c r="N190" s="147"/>
      <c r="O190" s="149"/>
      <c r="AU190" s="148"/>
      <c r="AV190" s="148"/>
    </row>
    <row r="191" spans="1:48" x14ac:dyDescent="0.3">
      <c r="A191" s="70"/>
      <c r="B191" s="70"/>
      <c r="C191" s="70"/>
      <c r="D191" s="70"/>
      <c r="E191" s="70"/>
      <c r="F191" s="70"/>
      <c r="G191" s="70"/>
      <c r="H191" s="70"/>
      <c r="I191" s="70"/>
      <c r="J191" s="146"/>
      <c r="K191" s="146"/>
      <c r="L191" s="146"/>
      <c r="M191" s="147"/>
      <c r="N191" s="147"/>
      <c r="O191" s="149"/>
      <c r="AU191" s="148"/>
      <c r="AV191" s="148"/>
    </row>
    <row r="192" spans="1:48" x14ac:dyDescent="0.3">
      <c r="A192" s="70"/>
      <c r="B192" s="70"/>
      <c r="C192" s="70"/>
      <c r="D192" s="70"/>
      <c r="E192" s="70"/>
      <c r="F192" s="70"/>
      <c r="G192" s="70"/>
      <c r="H192" s="149"/>
      <c r="I192" s="149"/>
      <c r="J192" s="146"/>
      <c r="K192" s="146"/>
      <c r="L192" s="146"/>
      <c r="M192" s="147"/>
      <c r="N192" s="147"/>
      <c r="O192" s="149"/>
      <c r="AU192" s="148"/>
      <c r="AV192" s="148"/>
    </row>
    <row r="193" spans="1:48" x14ac:dyDescent="0.3">
      <c r="A193" s="149"/>
      <c r="B193" s="149"/>
      <c r="C193" s="149"/>
      <c r="D193" s="149"/>
      <c r="E193" s="149"/>
      <c r="F193" s="149"/>
      <c r="G193" s="149"/>
      <c r="H193" s="149"/>
      <c r="I193" s="149"/>
      <c r="J193" s="146"/>
      <c r="K193" s="146"/>
      <c r="L193" s="146"/>
      <c r="M193" s="147"/>
      <c r="N193" s="147"/>
      <c r="O193" s="149"/>
      <c r="AU193" s="148"/>
      <c r="AV193" s="148"/>
    </row>
    <row r="194" spans="1:48" x14ac:dyDescent="0.3">
      <c r="A194" s="149"/>
      <c r="B194" s="149"/>
      <c r="C194" s="149"/>
      <c r="D194" s="149"/>
      <c r="E194" s="149"/>
      <c r="F194" s="149"/>
      <c r="G194" s="149"/>
      <c r="H194" s="149"/>
      <c r="I194" s="149"/>
      <c r="J194" s="146"/>
      <c r="K194" s="146"/>
      <c r="L194" s="146"/>
      <c r="M194" s="147"/>
      <c r="N194" s="147"/>
      <c r="O194" s="149"/>
      <c r="AU194" s="148"/>
      <c r="AV194" s="148"/>
    </row>
    <row r="195" spans="1:48" x14ac:dyDescent="0.3">
      <c r="A195" s="149"/>
      <c r="B195" s="149"/>
      <c r="C195" s="149"/>
      <c r="D195" s="149"/>
      <c r="E195" s="149"/>
      <c r="F195" s="149"/>
      <c r="G195" s="149"/>
      <c r="H195" s="149"/>
      <c r="I195" s="149"/>
      <c r="J195" s="146"/>
      <c r="K195" s="146"/>
      <c r="L195" s="146"/>
      <c r="M195" s="147"/>
      <c r="N195" s="147"/>
      <c r="O195" s="149"/>
      <c r="AU195" s="148"/>
      <c r="AV195" s="148"/>
    </row>
    <row r="196" spans="1:48" x14ac:dyDescent="0.3">
      <c r="A196" s="149"/>
      <c r="B196" s="149"/>
      <c r="C196" s="149"/>
      <c r="D196" s="149"/>
      <c r="E196" s="149"/>
      <c r="F196" s="149"/>
      <c r="G196" s="149"/>
      <c r="H196" s="149"/>
      <c r="I196" s="149"/>
      <c r="J196" s="146"/>
      <c r="K196" s="146"/>
      <c r="L196" s="146"/>
      <c r="M196" s="147"/>
      <c r="N196" s="147"/>
      <c r="O196" s="149"/>
      <c r="AU196" s="148"/>
      <c r="AV196" s="148"/>
    </row>
    <row r="197" spans="1:48" x14ac:dyDescent="0.3">
      <c r="A197" s="149"/>
      <c r="B197" s="149"/>
      <c r="C197" s="149"/>
      <c r="D197" s="149"/>
      <c r="E197" s="149"/>
      <c r="F197" s="149"/>
      <c r="G197" s="149"/>
      <c r="H197" s="149"/>
      <c r="I197" s="149"/>
      <c r="J197" s="146"/>
      <c r="K197" s="146"/>
      <c r="L197" s="146"/>
      <c r="M197" s="147"/>
      <c r="N197" s="147"/>
      <c r="O197" s="149"/>
      <c r="AU197" s="148"/>
      <c r="AV197" s="148"/>
    </row>
    <row r="198" spans="1:48" x14ac:dyDescent="0.3">
      <c r="A198" s="149"/>
      <c r="B198" s="149"/>
      <c r="C198" s="149"/>
      <c r="D198" s="149"/>
      <c r="E198" s="149"/>
      <c r="F198" s="149"/>
      <c r="G198" s="149"/>
      <c r="H198" s="149"/>
      <c r="I198" s="149"/>
      <c r="J198" s="146"/>
      <c r="K198" s="146"/>
      <c r="L198" s="146"/>
      <c r="M198" s="147"/>
      <c r="N198" s="147"/>
      <c r="O198" s="149"/>
      <c r="AU198" s="148"/>
      <c r="AV198" s="148"/>
    </row>
    <row r="199" spans="1:48" x14ac:dyDescent="0.3">
      <c r="A199" s="149"/>
      <c r="B199" s="149"/>
      <c r="C199" s="149"/>
      <c r="D199" s="149"/>
      <c r="E199" s="149"/>
      <c r="F199" s="149"/>
      <c r="G199" s="149"/>
      <c r="H199" s="149"/>
      <c r="I199" s="149"/>
      <c r="M199" s="147"/>
      <c r="N199" s="147"/>
      <c r="O199" s="149"/>
    </row>
    <row r="200" spans="1:48" x14ac:dyDescent="0.3">
      <c r="A200" s="149"/>
      <c r="B200" s="149"/>
      <c r="C200" s="149"/>
      <c r="D200" s="149"/>
      <c r="E200" s="149"/>
      <c r="F200" s="149"/>
      <c r="G200" s="149"/>
      <c r="H200" s="149"/>
      <c r="I200" s="149"/>
      <c r="M200" s="147"/>
      <c r="N200" s="147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  <c r="AP200" s="69"/>
      <c r="AQ200" s="69"/>
      <c r="AR200" s="69"/>
      <c r="AS200" s="69"/>
      <c r="AT200" s="69"/>
      <c r="AU200" s="148"/>
      <c r="AV200" s="148"/>
    </row>
    <row r="201" spans="1:48" x14ac:dyDescent="0.3">
      <c r="A201" s="149"/>
      <c r="B201" s="149"/>
      <c r="C201" s="149"/>
      <c r="D201" s="149"/>
      <c r="E201" s="149"/>
      <c r="F201" s="149"/>
      <c r="G201" s="149"/>
      <c r="H201" s="149"/>
      <c r="I201" s="149"/>
      <c r="M201" s="147"/>
      <c r="N201" s="147"/>
    </row>
    <row r="202" spans="1:48" x14ac:dyDescent="0.3">
      <c r="A202" s="149"/>
      <c r="B202" s="149"/>
      <c r="C202" s="149"/>
      <c r="D202" s="149"/>
      <c r="E202" s="149"/>
      <c r="F202" s="149"/>
      <c r="G202" s="149"/>
      <c r="H202" s="149"/>
      <c r="I202" s="149"/>
      <c r="N202" s="147"/>
    </row>
    <row r="203" spans="1:48" x14ac:dyDescent="0.3">
      <c r="A203" s="149"/>
      <c r="B203" s="149"/>
      <c r="C203" s="149"/>
      <c r="D203" s="149"/>
      <c r="E203" s="149"/>
      <c r="F203" s="149"/>
      <c r="G203" s="149"/>
      <c r="H203" s="149"/>
      <c r="I203" s="149"/>
      <c r="N203" s="147"/>
    </row>
    <row r="204" spans="1:48" x14ac:dyDescent="0.3">
      <c r="A204" s="149"/>
      <c r="B204" s="149"/>
      <c r="C204" s="149"/>
      <c r="D204" s="149"/>
      <c r="E204" s="149"/>
      <c r="F204" s="149"/>
      <c r="G204" s="149"/>
      <c r="H204" s="149"/>
      <c r="I204" s="149"/>
      <c r="N204" s="147"/>
    </row>
    <row r="205" spans="1:48" x14ac:dyDescent="0.3">
      <c r="A205" s="149"/>
      <c r="B205" s="149"/>
      <c r="C205" s="149"/>
      <c r="D205" s="149"/>
      <c r="E205" s="149"/>
      <c r="F205" s="149"/>
      <c r="G205" s="149"/>
      <c r="H205" s="149"/>
      <c r="I205" s="149"/>
      <c r="N205" s="147"/>
    </row>
    <row r="206" spans="1:48" x14ac:dyDescent="0.3">
      <c r="A206" s="149"/>
      <c r="B206" s="149"/>
      <c r="C206" s="149"/>
      <c r="D206" s="149"/>
      <c r="E206" s="149"/>
      <c r="F206" s="149"/>
      <c r="G206" s="149"/>
      <c r="H206" s="149"/>
      <c r="I206" s="149"/>
      <c r="M206" s="148"/>
      <c r="N206" s="147"/>
    </row>
    <row r="207" spans="1:48" x14ac:dyDescent="0.3">
      <c r="A207" s="149"/>
      <c r="B207" s="149"/>
      <c r="C207" s="149"/>
      <c r="D207" s="149"/>
      <c r="E207" s="149"/>
      <c r="F207" s="149"/>
      <c r="G207" s="149"/>
      <c r="H207" s="149"/>
      <c r="I207" s="149"/>
    </row>
    <row r="208" spans="1:48" x14ac:dyDescent="0.3">
      <c r="A208" s="149"/>
      <c r="B208" s="149"/>
      <c r="C208" s="149"/>
      <c r="D208" s="149"/>
      <c r="E208" s="149"/>
      <c r="F208" s="149"/>
      <c r="G208" s="149"/>
      <c r="H208" s="149"/>
      <c r="I208" s="149"/>
    </row>
    <row r="209" spans="1:12" x14ac:dyDescent="0.3">
      <c r="A209" s="149"/>
      <c r="B209" s="149"/>
      <c r="C209" s="149"/>
      <c r="D209" s="149"/>
      <c r="E209" s="149"/>
      <c r="F209" s="149"/>
      <c r="G209" s="149"/>
    </row>
    <row r="212" spans="1:12" x14ac:dyDescent="0.3">
      <c r="J212" s="148"/>
      <c r="K212" s="148"/>
      <c r="L212" s="148"/>
    </row>
    <row r="1048544" spans="1:59" s="70" customFormat="1" x14ac:dyDescent="0.3">
      <c r="A1048544" s="148"/>
      <c r="B1048544" s="148"/>
      <c r="C1048544" s="148"/>
      <c r="D1048544" s="148"/>
      <c r="E1048544" s="148"/>
      <c r="F1048544" s="148"/>
      <c r="G1048544" s="148"/>
      <c r="H1048544" s="148"/>
      <c r="I1048544" s="148"/>
      <c r="J1048544" s="150"/>
      <c r="K1048544" s="150"/>
      <c r="L1048544" s="150"/>
      <c r="M1048544" s="150"/>
      <c r="N1048544" s="150"/>
      <c r="O1048544" s="57"/>
      <c r="AU1048544" s="69"/>
      <c r="AV1048544" s="69"/>
      <c r="AW1048544" s="148"/>
      <c r="AX1048544" s="148"/>
      <c r="AY1048544" s="148"/>
      <c r="AZ1048544" s="148"/>
      <c r="BA1048544" s="148"/>
      <c r="BB1048544" s="148"/>
      <c r="BC1048544" s="148"/>
      <c r="BD1048544" s="148"/>
      <c r="BE1048544" s="148"/>
      <c r="BF1048544" s="148"/>
      <c r="BG1048544" s="148"/>
    </row>
  </sheetData>
  <mergeCells count="49">
    <mergeCell ref="M81:O81"/>
    <mergeCell ref="M82:N82"/>
    <mergeCell ref="A2:O2"/>
    <mergeCell ref="A7:B7"/>
    <mergeCell ref="M75:N75"/>
    <mergeCell ref="M76:N76"/>
    <mergeCell ref="M77:N77"/>
    <mergeCell ref="M78:N78"/>
    <mergeCell ref="M79:N79"/>
    <mergeCell ref="M80:N80"/>
    <mergeCell ref="M70:N70"/>
    <mergeCell ref="M71:N71"/>
    <mergeCell ref="M72:N72"/>
    <mergeCell ref="M73:N73"/>
    <mergeCell ref="M74:N74"/>
    <mergeCell ref="M69:N69"/>
    <mergeCell ref="M65:N65"/>
    <mergeCell ref="M66:N66"/>
    <mergeCell ref="M67:N67"/>
    <mergeCell ref="M68:N68"/>
    <mergeCell ref="M60:N60"/>
    <mergeCell ref="M61:N61"/>
    <mergeCell ref="M62:N62"/>
    <mergeCell ref="M63:N63"/>
    <mergeCell ref="M64:N64"/>
    <mergeCell ref="M59:N59"/>
    <mergeCell ref="D47:I47"/>
    <mergeCell ref="D48:I48"/>
    <mergeCell ref="A49:I49"/>
    <mergeCell ref="A51:F51"/>
    <mergeCell ref="M51:O51"/>
    <mergeCell ref="M52:N52"/>
    <mergeCell ref="M53:N53"/>
    <mergeCell ref="M54:O55"/>
    <mergeCell ref="M56:O56"/>
    <mergeCell ref="M57:N57"/>
    <mergeCell ref="M58:N58"/>
    <mergeCell ref="D46:I46"/>
    <mergeCell ref="A1:O1"/>
    <mergeCell ref="A8:O8"/>
    <mergeCell ref="A37:B37"/>
    <mergeCell ref="A39:O39"/>
    <mergeCell ref="D40:I40"/>
    <mergeCell ref="D41:I41"/>
    <mergeCell ref="D42:I42"/>
    <mergeCell ref="A43:I43"/>
    <mergeCell ref="M43:O43"/>
    <mergeCell ref="A44:M44"/>
    <mergeCell ref="A45:O45"/>
  </mergeCells>
  <pageMargins left="0" right="0" top="0" bottom="0" header="0.31496062992125984" footer="0.31496062992125984"/>
  <pageSetup paperSize="9" scale="1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32639-417C-4BA7-A0F6-14B0B1F213DF}">
  <sheetPr>
    <pageSetUpPr fitToPage="1"/>
  </sheetPr>
  <dimension ref="A1:BG1048536"/>
  <sheetViews>
    <sheetView topLeftCell="I16" zoomScale="70" zoomScaleNormal="70" workbookViewId="0">
      <selection activeCell="M34" sqref="M34"/>
    </sheetView>
  </sheetViews>
  <sheetFormatPr defaultColWidth="9.109375" defaultRowHeight="13.8" x14ac:dyDescent="0.3"/>
  <cols>
    <col min="1" max="1" width="27.6640625" style="148" customWidth="1"/>
    <col min="2" max="2" width="11.5546875" style="148" bestFit="1" customWidth="1"/>
    <col min="3" max="3" width="19.88671875" style="148" customWidth="1"/>
    <col min="4" max="4" width="19.44140625" style="148" customWidth="1"/>
    <col min="5" max="5" width="21.33203125" style="148" customWidth="1"/>
    <col min="6" max="7" width="19.109375" style="148" customWidth="1"/>
    <col min="8" max="8" width="17.5546875" style="148" customWidth="1"/>
    <col min="9" max="9" width="15.5546875" style="148" bestFit="1" customWidth="1"/>
    <col min="10" max="10" width="21.44140625" style="150" customWidth="1"/>
    <col min="11" max="11" width="17.109375" style="150" bestFit="1" customWidth="1"/>
    <col min="12" max="12" width="18" style="150" bestFit="1" customWidth="1"/>
    <col min="13" max="13" width="121.44140625" style="150" bestFit="1" customWidth="1"/>
    <col min="14" max="14" width="9.5546875" style="150" customWidth="1"/>
    <col min="15" max="15" width="18.5546875" style="148" customWidth="1"/>
    <col min="16" max="16" width="40.109375" style="70" bestFit="1" customWidth="1"/>
    <col min="17" max="17" width="13.109375" style="70" bestFit="1" customWidth="1"/>
    <col min="18" max="46" width="9.109375" style="70"/>
    <col min="47" max="48" width="9.109375" style="69"/>
    <col min="49" max="16384" width="9.109375" style="148"/>
  </cols>
  <sheetData>
    <row r="1" spans="1:46" s="10" customForma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</row>
    <row r="2" spans="1:46" s="11" customFormat="1" ht="24" customHeight="1" x14ac:dyDescent="0.3">
      <c r="A2" s="571" t="s">
        <v>600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3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 spans="1:46" s="11" customFormat="1" ht="34.5" customHeight="1" x14ac:dyDescent="0.3">
      <c r="A3" s="83" t="s">
        <v>3</v>
      </c>
      <c r="B3" s="83" t="s">
        <v>0</v>
      </c>
      <c r="C3" s="84" t="s">
        <v>1</v>
      </c>
      <c r="D3" s="84" t="s">
        <v>68</v>
      </c>
      <c r="E3" s="84" t="s">
        <v>69</v>
      </c>
      <c r="F3" s="85" t="s">
        <v>2</v>
      </c>
      <c r="G3" s="85" t="s">
        <v>592</v>
      </c>
      <c r="H3" s="84" t="s">
        <v>6</v>
      </c>
      <c r="I3" s="84" t="s">
        <v>7</v>
      </c>
      <c r="J3" s="84" t="s">
        <v>4</v>
      </c>
      <c r="K3" s="84" t="s">
        <v>5</v>
      </c>
      <c r="L3" s="84" t="s">
        <v>70</v>
      </c>
      <c r="M3" s="83" t="s">
        <v>59</v>
      </c>
      <c r="N3" s="86" t="s">
        <v>8</v>
      </c>
      <c r="O3" s="86" t="s">
        <v>10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</row>
    <row r="4" spans="1:46" s="15" customFormat="1" x14ac:dyDescent="0.3">
      <c r="A4" s="88" t="s">
        <v>397</v>
      </c>
      <c r="B4" s="90">
        <v>1</v>
      </c>
      <c r="C4" s="2">
        <f>'GERAL 2022'!G35</f>
        <v>580</v>
      </c>
      <c r="D4" s="2">
        <v>0</v>
      </c>
      <c r="E4" s="2">
        <f t="shared" ref="E4:E21" si="0">C4-D4</f>
        <v>580</v>
      </c>
      <c r="F4" s="5">
        <v>50</v>
      </c>
      <c r="G4" s="2">
        <f t="shared" ref="G4:G20" si="1">1301.4/27</f>
        <v>48.2</v>
      </c>
      <c r="H4" s="2">
        <v>0</v>
      </c>
      <c r="I4" s="2">
        <v>0</v>
      </c>
      <c r="J4" s="109">
        <f t="shared" ref="J4:J30" si="2">SUM(E4:I4)</f>
        <v>678.2</v>
      </c>
      <c r="K4" s="2">
        <f t="shared" ref="K4:K30" si="3">7%*J4</f>
        <v>47.474000000000011</v>
      </c>
      <c r="L4" s="2">
        <f>J4-K4</f>
        <v>630.726</v>
      </c>
      <c r="M4" s="5" t="s">
        <v>470</v>
      </c>
      <c r="N4" s="3">
        <v>10</v>
      </c>
      <c r="O4" s="3">
        <v>11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1:46" s="96" customFormat="1" x14ac:dyDescent="0.3">
      <c r="A5" s="90" t="s">
        <v>434</v>
      </c>
      <c r="B5" s="4">
        <v>2</v>
      </c>
      <c r="C5" s="5">
        <f>'GERAL 2022'!G4</f>
        <v>580</v>
      </c>
      <c r="D5" s="5">
        <v>0</v>
      </c>
      <c r="E5" s="5">
        <f t="shared" si="0"/>
        <v>580</v>
      </c>
      <c r="F5" s="5">
        <v>50</v>
      </c>
      <c r="G5" s="2">
        <f t="shared" si="1"/>
        <v>48.2</v>
      </c>
      <c r="H5" s="2">
        <v>0</v>
      </c>
      <c r="I5" s="5">
        <f>D46</f>
        <v>19.696666666666669</v>
      </c>
      <c r="J5" s="109">
        <f t="shared" si="2"/>
        <v>697.89666666666676</v>
      </c>
      <c r="K5" s="2">
        <f t="shared" si="3"/>
        <v>48.852766666666675</v>
      </c>
      <c r="L5" s="2">
        <f t="shared" ref="L5:L29" si="4">J5-K5</f>
        <v>649.04390000000012</v>
      </c>
      <c r="M5" s="90" t="s">
        <v>390</v>
      </c>
      <c r="N5" s="3">
        <v>10</v>
      </c>
      <c r="O5" s="3">
        <v>11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16"/>
      <c r="AL5" s="17"/>
      <c r="AM5" s="17"/>
      <c r="AN5" s="17"/>
      <c r="AO5" s="17"/>
    </row>
    <row r="6" spans="1:46" s="6" customFormat="1" x14ac:dyDescent="0.3">
      <c r="A6" s="90" t="s">
        <v>438</v>
      </c>
      <c r="B6" s="4">
        <v>3</v>
      </c>
      <c r="C6" s="5">
        <f>'GERAL 2022'!G5</f>
        <v>550</v>
      </c>
      <c r="D6" s="5">
        <v>0</v>
      </c>
      <c r="E6" s="5">
        <f t="shared" si="0"/>
        <v>550</v>
      </c>
      <c r="F6" s="5">
        <v>0</v>
      </c>
      <c r="G6" s="2">
        <f t="shared" si="1"/>
        <v>48.2</v>
      </c>
      <c r="H6" s="2">
        <v>0</v>
      </c>
      <c r="I6" s="5">
        <f>D48</f>
        <v>19.641666666666666</v>
      </c>
      <c r="J6" s="109">
        <f t="shared" si="2"/>
        <v>617.8416666666667</v>
      </c>
      <c r="K6" s="2">
        <f t="shared" si="3"/>
        <v>43.248916666666673</v>
      </c>
      <c r="L6" s="2">
        <f t="shared" si="4"/>
        <v>574.59275000000002</v>
      </c>
      <c r="M6" s="90" t="s">
        <v>390</v>
      </c>
      <c r="N6" s="3">
        <v>10</v>
      </c>
      <c r="O6" s="3">
        <v>11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</row>
    <row r="7" spans="1:46" s="15" customFormat="1" x14ac:dyDescent="0.3">
      <c r="A7" s="90" t="s">
        <v>263</v>
      </c>
      <c r="B7" s="90">
        <v>4</v>
      </c>
      <c r="C7" s="2">
        <f>'GERAL 2022'!G16</f>
        <v>550</v>
      </c>
      <c r="D7" s="2">
        <v>0</v>
      </c>
      <c r="E7" s="2">
        <f t="shared" si="0"/>
        <v>550</v>
      </c>
      <c r="F7" s="2">
        <v>50</v>
      </c>
      <c r="G7" s="2">
        <f t="shared" si="1"/>
        <v>48.2</v>
      </c>
      <c r="H7" s="2">
        <v>0</v>
      </c>
      <c r="I7" s="2">
        <v>0</v>
      </c>
      <c r="J7" s="109">
        <f t="shared" si="2"/>
        <v>648.20000000000005</v>
      </c>
      <c r="K7" s="2">
        <f t="shared" si="3"/>
        <v>45.374000000000009</v>
      </c>
      <c r="L7" s="2">
        <f t="shared" si="4"/>
        <v>602.82600000000002</v>
      </c>
      <c r="M7" s="90" t="s">
        <v>470</v>
      </c>
      <c r="N7" s="3">
        <v>10</v>
      </c>
      <c r="O7" s="4">
        <v>11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spans="1:46" s="15" customFormat="1" x14ac:dyDescent="0.3">
      <c r="A8" s="90"/>
      <c r="B8" s="90">
        <v>5</v>
      </c>
      <c r="C8" s="2">
        <v>0</v>
      </c>
      <c r="D8" s="2">
        <v>0</v>
      </c>
      <c r="E8" s="2">
        <f t="shared" si="0"/>
        <v>0</v>
      </c>
      <c r="F8" s="2">
        <v>0</v>
      </c>
      <c r="G8" s="2"/>
      <c r="H8" s="2">
        <v>0</v>
      </c>
      <c r="I8" s="2">
        <v>0</v>
      </c>
      <c r="J8" s="109">
        <f t="shared" si="2"/>
        <v>0</v>
      </c>
      <c r="K8" s="2">
        <f t="shared" si="3"/>
        <v>0</v>
      </c>
      <c r="L8" s="2">
        <f t="shared" si="4"/>
        <v>0</v>
      </c>
      <c r="M8" s="90"/>
      <c r="N8" s="3"/>
      <c r="O8" s="3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 spans="1:46" s="11" customFormat="1" x14ac:dyDescent="0.3">
      <c r="A9" s="90" t="s">
        <v>552</v>
      </c>
      <c r="B9" s="90">
        <v>6</v>
      </c>
      <c r="C9" s="5">
        <f>'GERAL 2022'!G36/31*5</f>
        <v>109.6774193548387</v>
      </c>
      <c r="D9" s="5">
        <v>0</v>
      </c>
      <c r="E9" s="5">
        <f t="shared" si="0"/>
        <v>109.6774193548387</v>
      </c>
      <c r="F9" s="2">
        <f>25/31*5</f>
        <v>4.032258064516129</v>
      </c>
      <c r="G9" s="2">
        <f>(1301.4/27)/31*5</f>
        <v>7.774193548387097</v>
      </c>
      <c r="H9" s="2">
        <f>D55/31*5</f>
        <v>0.64172043010752688</v>
      </c>
      <c r="I9" s="2">
        <v>19.91</v>
      </c>
      <c r="J9" s="109">
        <f t="shared" si="2"/>
        <v>142.03559139784946</v>
      </c>
      <c r="K9" s="2">
        <f>7%*J9</f>
        <v>9.9424913978494622</v>
      </c>
      <c r="L9" s="2">
        <f>J9-K9</f>
        <v>132.09309999999999</v>
      </c>
      <c r="M9" s="90" t="s">
        <v>604</v>
      </c>
      <c r="N9" s="3">
        <v>10</v>
      </c>
      <c r="O9" s="4">
        <v>11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</row>
    <row r="10" spans="1:46" s="15" customFormat="1" ht="14.25" customHeight="1" x14ac:dyDescent="0.3">
      <c r="A10" s="90" t="s">
        <v>442</v>
      </c>
      <c r="B10" s="90">
        <v>7</v>
      </c>
      <c r="C10" s="2">
        <f>'GERAL 2022'!G9</f>
        <v>580</v>
      </c>
      <c r="D10" s="2">
        <v>0</v>
      </c>
      <c r="E10" s="5">
        <f t="shared" si="0"/>
        <v>580</v>
      </c>
      <c r="F10" s="2">
        <v>50</v>
      </c>
      <c r="G10" s="2">
        <f t="shared" si="1"/>
        <v>48.2</v>
      </c>
      <c r="H10" s="2">
        <v>0</v>
      </c>
      <c r="I10" s="2">
        <f>D56</f>
        <v>19.696666666666669</v>
      </c>
      <c r="J10" s="109">
        <f t="shared" si="2"/>
        <v>697.89666666666676</v>
      </c>
      <c r="K10" s="2">
        <f t="shared" si="3"/>
        <v>48.852766666666675</v>
      </c>
      <c r="L10" s="2">
        <f t="shared" si="4"/>
        <v>649.04390000000012</v>
      </c>
      <c r="M10" s="90" t="s">
        <v>390</v>
      </c>
      <c r="N10" s="3">
        <v>10</v>
      </c>
      <c r="O10" s="3">
        <v>11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</row>
    <row r="11" spans="1:46" s="15" customFormat="1" x14ac:dyDescent="0.3">
      <c r="A11" s="90" t="s">
        <v>493</v>
      </c>
      <c r="B11" s="90">
        <v>8</v>
      </c>
      <c r="C11" s="2">
        <f>'GERAL 2022'!G37</f>
        <v>580</v>
      </c>
      <c r="D11" s="2">
        <v>0</v>
      </c>
      <c r="E11" s="5">
        <f t="shared" si="0"/>
        <v>580</v>
      </c>
      <c r="F11" s="2">
        <v>50</v>
      </c>
      <c r="G11" s="2">
        <f t="shared" si="1"/>
        <v>48.2</v>
      </c>
      <c r="H11" s="2">
        <f>D59</f>
        <v>2.8368085106382979</v>
      </c>
      <c r="I11" s="2">
        <f>D58</f>
        <v>19.696666666666669</v>
      </c>
      <c r="J11" s="109">
        <f t="shared" si="2"/>
        <v>700.73347517730508</v>
      </c>
      <c r="K11" s="2">
        <f t="shared" si="3"/>
        <v>49.051343262411358</v>
      </c>
      <c r="L11" s="2">
        <f t="shared" si="4"/>
        <v>651.68213191489372</v>
      </c>
      <c r="M11" s="90" t="s">
        <v>430</v>
      </c>
      <c r="N11" s="125">
        <v>10</v>
      </c>
      <c r="O11" s="3">
        <v>11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</row>
    <row r="12" spans="1:46" s="15" customFormat="1" ht="14.25" customHeight="1" x14ac:dyDescent="0.3">
      <c r="A12" s="90" t="s">
        <v>246</v>
      </c>
      <c r="B12" s="90">
        <v>9</v>
      </c>
      <c r="C12" s="2">
        <f>'GERAL 2022'!G11</f>
        <v>580</v>
      </c>
      <c r="D12" s="2">
        <v>0</v>
      </c>
      <c r="E12" s="5">
        <f t="shared" si="0"/>
        <v>580</v>
      </c>
      <c r="F12" s="2">
        <f>25</f>
        <v>25</v>
      </c>
      <c r="G12" s="2">
        <f t="shared" si="1"/>
        <v>48.2</v>
      </c>
      <c r="H12" s="2">
        <v>0</v>
      </c>
      <c r="I12" s="2">
        <v>0</v>
      </c>
      <c r="J12" s="109">
        <f t="shared" si="2"/>
        <v>653.20000000000005</v>
      </c>
      <c r="K12" s="2">
        <f t="shared" si="3"/>
        <v>45.724000000000011</v>
      </c>
      <c r="L12" s="2">
        <f t="shared" si="4"/>
        <v>607.476</v>
      </c>
      <c r="M12" s="90" t="s">
        <v>470</v>
      </c>
      <c r="N12" s="125">
        <v>10</v>
      </c>
      <c r="O12" s="3">
        <v>11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</row>
    <row r="13" spans="1:46" s="69" customFormat="1" x14ac:dyDescent="0.3">
      <c r="A13" s="4" t="s">
        <v>402</v>
      </c>
      <c r="B13" s="4">
        <v>10</v>
      </c>
      <c r="C13" s="2">
        <f>'GERAL 2022'!G38</f>
        <v>550</v>
      </c>
      <c r="D13" s="2">
        <v>0</v>
      </c>
      <c r="E13" s="5">
        <f t="shared" si="0"/>
        <v>550</v>
      </c>
      <c r="F13" s="2">
        <v>50</v>
      </c>
      <c r="G13" s="2">
        <f t="shared" si="1"/>
        <v>48.2</v>
      </c>
      <c r="H13" s="2">
        <v>0</v>
      </c>
      <c r="I13" s="2">
        <v>0</v>
      </c>
      <c r="J13" s="109">
        <f t="shared" si="2"/>
        <v>648.20000000000005</v>
      </c>
      <c r="K13" s="2">
        <f t="shared" si="3"/>
        <v>45.374000000000009</v>
      </c>
      <c r="L13" s="2">
        <f t="shared" si="4"/>
        <v>602.82600000000002</v>
      </c>
      <c r="M13" s="90" t="s">
        <v>470</v>
      </c>
      <c r="N13" s="3">
        <v>10</v>
      </c>
      <c r="O13" s="4">
        <v>11</v>
      </c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</row>
    <row r="14" spans="1:46" s="69" customFormat="1" x14ac:dyDescent="0.3">
      <c r="A14" s="4" t="s">
        <v>321</v>
      </c>
      <c r="B14" s="4">
        <v>11</v>
      </c>
      <c r="C14" s="2">
        <f>'GERAL 2022'!G13</f>
        <v>550</v>
      </c>
      <c r="D14" s="2">
        <v>0</v>
      </c>
      <c r="E14" s="5">
        <f t="shared" si="0"/>
        <v>550</v>
      </c>
      <c r="F14" s="2">
        <v>0</v>
      </c>
      <c r="G14" s="2">
        <f t="shared" si="1"/>
        <v>48.2</v>
      </c>
      <c r="H14" s="2">
        <v>0</v>
      </c>
      <c r="I14" s="2">
        <v>0</v>
      </c>
      <c r="J14" s="109">
        <f t="shared" si="2"/>
        <v>598.20000000000005</v>
      </c>
      <c r="K14" s="2">
        <f t="shared" si="3"/>
        <v>41.874000000000009</v>
      </c>
      <c r="L14" s="2">
        <f t="shared" si="4"/>
        <v>556.32600000000002</v>
      </c>
      <c r="M14" s="5" t="s">
        <v>470</v>
      </c>
      <c r="N14" s="3">
        <v>10</v>
      </c>
      <c r="O14" s="4">
        <v>11</v>
      </c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</row>
    <row r="15" spans="1:46" s="15" customFormat="1" x14ac:dyDescent="0.3">
      <c r="A15" s="90" t="s">
        <v>566</v>
      </c>
      <c r="B15" s="90">
        <v>12</v>
      </c>
      <c r="C15" s="2">
        <f>'GERAL 2022'!G14</f>
        <v>550</v>
      </c>
      <c r="D15" s="2">
        <v>0</v>
      </c>
      <c r="E15" s="5">
        <f t="shared" si="0"/>
        <v>550</v>
      </c>
      <c r="F15" s="5">
        <v>25</v>
      </c>
      <c r="G15" s="2">
        <f t="shared" si="1"/>
        <v>48.2</v>
      </c>
      <c r="H15" s="2">
        <v>0</v>
      </c>
      <c r="I15" s="5">
        <v>0</v>
      </c>
      <c r="J15" s="109">
        <f t="shared" si="2"/>
        <v>623.20000000000005</v>
      </c>
      <c r="K15" s="2">
        <f t="shared" si="3"/>
        <v>43.624000000000009</v>
      </c>
      <c r="L15" s="2">
        <f t="shared" si="4"/>
        <v>579.57600000000002</v>
      </c>
      <c r="M15" s="90" t="s">
        <v>470</v>
      </c>
      <c r="N15" s="3">
        <v>10</v>
      </c>
      <c r="O15" s="3">
        <v>11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</row>
    <row r="16" spans="1:46" s="11" customFormat="1" x14ac:dyDescent="0.3">
      <c r="A16" s="90" t="s">
        <v>362</v>
      </c>
      <c r="B16" s="90">
        <v>13</v>
      </c>
      <c r="C16" s="5">
        <f>'GERAL 2022'!G15</f>
        <v>550</v>
      </c>
      <c r="D16" s="5">
        <v>0</v>
      </c>
      <c r="E16" s="5">
        <f t="shared" si="0"/>
        <v>550</v>
      </c>
      <c r="F16" s="2">
        <v>0</v>
      </c>
      <c r="G16" s="2">
        <f t="shared" si="1"/>
        <v>48.2</v>
      </c>
      <c r="H16" s="2">
        <v>0</v>
      </c>
      <c r="I16" s="2">
        <v>0</v>
      </c>
      <c r="J16" s="109">
        <f t="shared" si="2"/>
        <v>598.20000000000005</v>
      </c>
      <c r="K16" s="2">
        <f t="shared" si="3"/>
        <v>41.874000000000009</v>
      </c>
      <c r="L16" s="2">
        <f t="shared" si="4"/>
        <v>556.32600000000002</v>
      </c>
      <c r="M16" s="90" t="s">
        <v>470</v>
      </c>
      <c r="N16" s="3">
        <v>10</v>
      </c>
      <c r="O16" s="3">
        <v>11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</row>
    <row r="17" spans="1:46" s="69" customFormat="1" x14ac:dyDescent="0.3">
      <c r="A17" s="4" t="s">
        <v>559</v>
      </c>
      <c r="B17" s="4">
        <v>14</v>
      </c>
      <c r="C17" s="2">
        <f>'GERAL 2022'!G39</f>
        <v>580</v>
      </c>
      <c r="D17" s="2">
        <v>0</v>
      </c>
      <c r="E17" s="5">
        <f t="shared" si="0"/>
        <v>580</v>
      </c>
      <c r="F17" s="2">
        <f>50</f>
        <v>50</v>
      </c>
      <c r="G17" s="2">
        <f t="shared" si="1"/>
        <v>48.2</v>
      </c>
      <c r="H17" s="2">
        <f>D71</f>
        <v>2.8368085106382979</v>
      </c>
      <c r="I17" s="2">
        <f>D70</f>
        <v>19.696666666666669</v>
      </c>
      <c r="J17" s="109">
        <f t="shared" si="2"/>
        <v>700.73347517730508</v>
      </c>
      <c r="K17" s="2">
        <f>7%*J17</f>
        <v>49.051343262411358</v>
      </c>
      <c r="L17" s="2">
        <f t="shared" si="4"/>
        <v>651.68213191489372</v>
      </c>
      <c r="M17" s="90" t="s">
        <v>607</v>
      </c>
      <c r="N17" s="3">
        <v>10</v>
      </c>
      <c r="O17" s="4">
        <v>11</v>
      </c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</row>
    <row r="18" spans="1:46" s="6" customFormat="1" x14ac:dyDescent="0.3">
      <c r="A18" s="90" t="s">
        <v>272</v>
      </c>
      <c r="B18" s="90">
        <v>15</v>
      </c>
      <c r="C18" s="2">
        <f>'GERAL 2022'!G40</f>
        <v>650</v>
      </c>
      <c r="D18" s="2">
        <v>0</v>
      </c>
      <c r="E18" s="5">
        <f t="shared" si="0"/>
        <v>650</v>
      </c>
      <c r="F18" s="2">
        <v>25</v>
      </c>
      <c r="G18" s="2">
        <f t="shared" si="1"/>
        <v>48.2</v>
      </c>
      <c r="H18" s="2">
        <v>0</v>
      </c>
      <c r="I18" s="2">
        <v>0</v>
      </c>
      <c r="J18" s="109">
        <f t="shared" si="2"/>
        <v>723.2</v>
      </c>
      <c r="K18" s="2">
        <f t="shared" si="3"/>
        <v>50.624000000000009</v>
      </c>
      <c r="L18" s="2">
        <f t="shared" si="4"/>
        <v>672.57600000000002</v>
      </c>
      <c r="M18" s="90" t="s">
        <v>470</v>
      </c>
      <c r="N18" s="3">
        <v>10</v>
      </c>
      <c r="O18" s="3">
        <v>11</v>
      </c>
      <c r="P18" s="9"/>
      <c r="Q18" s="9"/>
      <c r="R18" s="9"/>
      <c r="S18" s="9"/>
      <c r="T18" s="9"/>
      <c r="U18" s="9"/>
      <c r="V18" s="9"/>
      <c r="W18" s="9"/>
      <c r="X18" s="9"/>
    </row>
    <row r="19" spans="1:46" s="11" customFormat="1" x14ac:dyDescent="0.3">
      <c r="A19" s="3" t="s">
        <v>100</v>
      </c>
      <c r="B19" s="3">
        <v>16</v>
      </c>
      <c r="C19" s="2">
        <f>'GERAL 2022'!G18+(10.72339%*640)</f>
        <v>708.62969599999997</v>
      </c>
      <c r="D19" s="2">
        <v>0</v>
      </c>
      <c r="E19" s="5">
        <f t="shared" si="0"/>
        <v>708.62969599999997</v>
      </c>
      <c r="F19" s="2">
        <f>60</f>
        <v>60</v>
      </c>
      <c r="G19" s="2">
        <f t="shared" si="1"/>
        <v>48.2</v>
      </c>
      <c r="H19" s="2">
        <v>0</v>
      </c>
      <c r="I19" s="2">
        <v>0</v>
      </c>
      <c r="J19" s="109">
        <f t="shared" si="2"/>
        <v>816.82969600000001</v>
      </c>
      <c r="K19" s="2">
        <f t="shared" si="3"/>
        <v>57.178078720000009</v>
      </c>
      <c r="L19" s="2">
        <f t="shared" si="4"/>
        <v>759.65161727999998</v>
      </c>
      <c r="M19" s="90" t="s">
        <v>608</v>
      </c>
      <c r="N19" s="3">
        <v>10</v>
      </c>
      <c r="O19" s="3">
        <v>11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</row>
    <row r="20" spans="1:46" s="11" customFormat="1" x14ac:dyDescent="0.3">
      <c r="A20" s="88" t="s">
        <v>392</v>
      </c>
      <c r="B20" s="88">
        <v>17</v>
      </c>
      <c r="C20" s="2">
        <f>'GERAL 2022'!G41</f>
        <v>580</v>
      </c>
      <c r="D20" s="2">
        <v>0</v>
      </c>
      <c r="E20" s="5">
        <f t="shared" si="0"/>
        <v>580</v>
      </c>
      <c r="F20" s="2">
        <v>0</v>
      </c>
      <c r="G20" s="2">
        <f t="shared" si="1"/>
        <v>48.2</v>
      </c>
      <c r="H20" s="2">
        <v>0</v>
      </c>
      <c r="I20" s="2">
        <v>0</v>
      </c>
      <c r="J20" s="109">
        <f t="shared" si="2"/>
        <v>628.20000000000005</v>
      </c>
      <c r="K20" s="2">
        <f t="shared" si="3"/>
        <v>43.974000000000011</v>
      </c>
      <c r="L20" s="2">
        <f t="shared" si="4"/>
        <v>584.226</v>
      </c>
      <c r="M20" s="5" t="s">
        <v>470</v>
      </c>
      <c r="N20" s="3">
        <v>10</v>
      </c>
      <c r="O20" s="3">
        <v>11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</row>
    <row r="21" spans="1:46" s="11" customFormat="1" x14ac:dyDescent="0.3">
      <c r="A21" s="116" t="s">
        <v>602</v>
      </c>
      <c r="B21" s="90">
        <v>18</v>
      </c>
      <c r="C21" s="2">
        <f>'GERAL 2022'!G42/31*27</f>
        <v>557.41935483870964</v>
      </c>
      <c r="D21" s="2">
        <v>0</v>
      </c>
      <c r="E21" s="5">
        <f t="shared" si="0"/>
        <v>557.41935483870964</v>
      </c>
      <c r="F21" s="2">
        <f>25/31*27</f>
        <v>21.774193548387096</v>
      </c>
      <c r="G21" s="2">
        <f>(1301.4/27)/31*27</f>
        <v>41.980645161290326</v>
      </c>
      <c r="H21" s="2">
        <f>D79/31*27</f>
        <v>2.4707687028140013</v>
      </c>
      <c r="I21" s="2">
        <f>D78</f>
        <v>19.82</v>
      </c>
      <c r="J21" s="109">
        <f t="shared" si="2"/>
        <v>643.46496225120109</v>
      </c>
      <c r="K21" s="2">
        <f t="shared" si="3"/>
        <v>45.042547357584077</v>
      </c>
      <c r="L21" s="2">
        <f t="shared" si="4"/>
        <v>598.42241489361697</v>
      </c>
      <c r="M21" s="90" t="s">
        <v>603</v>
      </c>
      <c r="N21" s="3">
        <v>10</v>
      </c>
      <c r="O21" s="3">
        <v>11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</row>
    <row r="22" spans="1:46" s="11" customFormat="1" x14ac:dyDescent="0.3">
      <c r="A22" s="90" t="s">
        <v>500</v>
      </c>
      <c r="B22" s="90">
        <v>19</v>
      </c>
      <c r="C22" s="2">
        <f>'GERAL 2022'!G43</f>
        <v>550</v>
      </c>
      <c r="D22" s="2">
        <v>0</v>
      </c>
      <c r="E22" s="5">
        <f>(C22-D22)</f>
        <v>550</v>
      </c>
      <c r="F22" s="2">
        <v>50</v>
      </c>
      <c r="G22" s="2">
        <f t="shared" ref="G22:G30" si="5">1301.4/27</f>
        <v>48.2</v>
      </c>
      <c r="H22" s="2">
        <f>D81</f>
        <v>2.8368085106382979</v>
      </c>
      <c r="I22" s="2">
        <f>D80</f>
        <v>19.641666666666666</v>
      </c>
      <c r="J22" s="109">
        <f t="shared" si="2"/>
        <v>670.67847517730502</v>
      </c>
      <c r="K22" s="2">
        <f t="shared" si="3"/>
        <v>46.947493262411356</v>
      </c>
      <c r="L22" s="2">
        <f t="shared" si="4"/>
        <v>623.73098191489362</v>
      </c>
      <c r="M22" s="90" t="s">
        <v>430</v>
      </c>
      <c r="N22" s="3">
        <v>10</v>
      </c>
      <c r="O22" s="3">
        <v>11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</row>
    <row r="23" spans="1:46" s="11" customFormat="1" x14ac:dyDescent="0.3">
      <c r="A23" s="88" t="s">
        <v>345</v>
      </c>
      <c r="B23" s="90">
        <v>20</v>
      </c>
      <c r="C23" s="2">
        <f>'GERAL 2022'!G22</f>
        <v>660</v>
      </c>
      <c r="D23" s="2">
        <v>0</v>
      </c>
      <c r="E23" s="5">
        <f t="shared" ref="E23:E30" si="6">C23-D23</f>
        <v>660</v>
      </c>
      <c r="F23" s="2">
        <v>50</v>
      </c>
      <c r="G23" s="2">
        <f t="shared" si="5"/>
        <v>48.2</v>
      </c>
      <c r="H23" s="2">
        <v>0</v>
      </c>
      <c r="I23" s="2">
        <v>0</v>
      </c>
      <c r="J23" s="109">
        <f t="shared" si="2"/>
        <v>758.2</v>
      </c>
      <c r="K23" s="2">
        <f>7%*J23</f>
        <v>53.074000000000005</v>
      </c>
      <c r="L23" s="2">
        <f t="shared" si="4"/>
        <v>705.12600000000009</v>
      </c>
      <c r="M23" s="90" t="s">
        <v>470</v>
      </c>
      <c r="N23" s="125">
        <v>10</v>
      </c>
      <c r="O23" s="3">
        <v>11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</row>
    <row r="24" spans="1:46" s="11" customFormat="1" x14ac:dyDescent="0.3">
      <c r="A24" s="88" t="s">
        <v>346</v>
      </c>
      <c r="B24" s="90">
        <v>21</v>
      </c>
      <c r="C24" s="2">
        <f>'GERAL 2022'!G23</f>
        <v>500</v>
      </c>
      <c r="D24" s="2">
        <v>0</v>
      </c>
      <c r="E24" s="5">
        <f t="shared" si="6"/>
        <v>500</v>
      </c>
      <c r="F24" s="2">
        <v>25</v>
      </c>
      <c r="G24" s="2">
        <f t="shared" si="5"/>
        <v>48.2</v>
      </c>
      <c r="H24" s="2">
        <v>0</v>
      </c>
      <c r="I24" s="2">
        <v>0</v>
      </c>
      <c r="J24" s="109">
        <f t="shared" si="2"/>
        <v>573.20000000000005</v>
      </c>
      <c r="K24" s="2">
        <f>7%*J24</f>
        <v>40.124000000000009</v>
      </c>
      <c r="L24" s="2">
        <f t="shared" si="4"/>
        <v>533.07600000000002</v>
      </c>
      <c r="M24" s="90" t="s">
        <v>470</v>
      </c>
      <c r="N24" s="125">
        <v>10</v>
      </c>
      <c r="O24" s="3">
        <v>11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</row>
    <row r="25" spans="1:46" s="11" customFormat="1" ht="15.75" customHeight="1" x14ac:dyDescent="0.3">
      <c r="A25" s="88" t="s">
        <v>119</v>
      </c>
      <c r="B25" s="90">
        <v>22</v>
      </c>
      <c r="C25" s="2">
        <f>'GERAL 2022'!G24</f>
        <v>500</v>
      </c>
      <c r="D25" s="2">
        <v>0</v>
      </c>
      <c r="E25" s="5">
        <f t="shared" si="6"/>
        <v>500</v>
      </c>
      <c r="F25" s="2">
        <v>25</v>
      </c>
      <c r="G25" s="2">
        <f t="shared" si="5"/>
        <v>48.2</v>
      </c>
      <c r="H25" s="2">
        <v>0</v>
      </c>
      <c r="I25" s="2">
        <v>0</v>
      </c>
      <c r="J25" s="109">
        <f t="shared" si="2"/>
        <v>573.20000000000005</v>
      </c>
      <c r="K25" s="2">
        <f t="shared" si="3"/>
        <v>40.124000000000009</v>
      </c>
      <c r="L25" s="2">
        <f t="shared" si="4"/>
        <v>533.07600000000002</v>
      </c>
      <c r="M25" s="90" t="s">
        <v>470</v>
      </c>
      <c r="N25" s="125">
        <v>10</v>
      </c>
      <c r="O25" s="3">
        <v>11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</row>
    <row r="26" spans="1:46" s="11" customFormat="1" x14ac:dyDescent="0.3">
      <c r="A26" s="88" t="s">
        <v>379</v>
      </c>
      <c r="B26" s="90">
        <v>23</v>
      </c>
      <c r="C26" s="2">
        <f>'GERAL 2022'!G25</f>
        <v>550</v>
      </c>
      <c r="D26" s="2">
        <v>0</v>
      </c>
      <c r="E26" s="5">
        <f t="shared" si="6"/>
        <v>550</v>
      </c>
      <c r="F26" s="2">
        <v>0</v>
      </c>
      <c r="G26" s="2">
        <f t="shared" si="5"/>
        <v>48.2</v>
      </c>
      <c r="H26" s="2">
        <v>0</v>
      </c>
      <c r="I26" s="2">
        <v>0</v>
      </c>
      <c r="J26" s="109">
        <f t="shared" si="2"/>
        <v>598.20000000000005</v>
      </c>
      <c r="K26" s="2">
        <f t="shared" si="3"/>
        <v>41.874000000000009</v>
      </c>
      <c r="L26" s="2">
        <f t="shared" si="4"/>
        <v>556.32600000000002</v>
      </c>
      <c r="M26" s="90" t="s">
        <v>470</v>
      </c>
      <c r="N26" s="3">
        <v>10</v>
      </c>
      <c r="O26" s="3">
        <v>11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</row>
    <row r="27" spans="1:46" s="6" customFormat="1" x14ac:dyDescent="0.3">
      <c r="A27" s="90" t="s">
        <v>267</v>
      </c>
      <c r="B27" s="90">
        <v>24</v>
      </c>
      <c r="C27" s="2">
        <f>'GERAL 2022'!G26</f>
        <v>650</v>
      </c>
      <c r="D27" s="2">
        <v>0</v>
      </c>
      <c r="E27" s="5">
        <f t="shared" si="6"/>
        <v>650</v>
      </c>
      <c r="F27" s="2">
        <v>50</v>
      </c>
      <c r="G27" s="2">
        <f t="shared" si="5"/>
        <v>48.2</v>
      </c>
      <c r="H27" s="2">
        <v>0</v>
      </c>
      <c r="I27" s="2">
        <v>0</v>
      </c>
      <c r="J27" s="109">
        <f t="shared" si="2"/>
        <v>748.2</v>
      </c>
      <c r="K27" s="2">
        <f>7%*J27</f>
        <v>52.374000000000009</v>
      </c>
      <c r="L27" s="2">
        <f t="shared" si="4"/>
        <v>695.82600000000002</v>
      </c>
      <c r="M27" s="90" t="s">
        <v>470</v>
      </c>
      <c r="N27" s="125">
        <v>10</v>
      </c>
      <c r="O27" s="3">
        <v>11</v>
      </c>
      <c r="P27" s="9"/>
      <c r="Q27" s="9"/>
      <c r="R27" s="9"/>
      <c r="S27" s="9"/>
      <c r="T27" s="9"/>
      <c r="U27" s="9"/>
      <c r="V27" s="9"/>
      <c r="W27" s="9"/>
      <c r="X27" s="9"/>
    </row>
    <row r="28" spans="1:46" s="6" customFormat="1" x14ac:dyDescent="0.3">
      <c r="A28" s="11" t="s">
        <v>563</v>
      </c>
      <c r="B28" s="90">
        <v>25</v>
      </c>
      <c r="C28" s="2">
        <f>'GERAL 2022'!G44</f>
        <v>610</v>
      </c>
      <c r="D28" s="2">
        <v>0</v>
      </c>
      <c r="E28" s="5">
        <f t="shared" si="6"/>
        <v>610</v>
      </c>
      <c r="F28" s="2">
        <v>0</v>
      </c>
      <c r="G28" s="2">
        <f t="shared" si="5"/>
        <v>48.2</v>
      </c>
      <c r="H28" s="2">
        <f>D93</f>
        <v>2.8368085106382979</v>
      </c>
      <c r="I28" s="2">
        <f>D92</f>
        <v>19.754999999999999</v>
      </c>
      <c r="J28" s="109">
        <f t="shared" si="2"/>
        <v>680.79180851063836</v>
      </c>
      <c r="K28" s="2">
        <f>7%*J28</f>
        <v>47.655426595744693</v>
      </c>
      <c r="L28" s="2">
        <f t="shared" si="4"/>
        <v>633.13638191489372</v>
      </c>
      <c r="M28" s="90" t="s">
        <v>607</v>
      </c>
      <c r="N28" s="125">
        <v>10</v>
      </c>
      <c r="O28" s="3">
        <v>11</v>
      </c>
      <c r="P28" s="9"/>
      <c r="Q28" s="9"/>
      <c r="R28" s="9"/>
      <c r="S28" s="9"/>
      <c r="T28" s="9"/>
      <c r="U28" s="9"/>
      <c r="V28" s="9"/>
      <c r="W28" s="9"/>
      <c r="X28" s="9"/>
    </row>
    <row r="29" spans="1:46" s="11" customFormat="1" x14ac:dyDescent="0.3">
      <c r="A29" s="88" t="s">
        <v>348</v>
      </c>
      <c r="B29" s="90">
        <v>26</v>
      </c>
      <c r="C29" s="2">
        <f>'GERAL 2022'!G28</f>
        <v>560</v>
      </c>
      <c r="D29" s="2">
        <v>0</v>
      </c>
      <c r="E29" s="5">
        <f t="shared" si="6"/>
        <v>560</v>
      </c>
      <c r="F29" s="2">
        <v>25</v>
      </c>
      <c r="G29" s="2">
        <f t="shared" si="5"/>
        <v>48.2</v>
      </c>
      <c r="H29" s="2">
        <v>0</v>
      </c>
      <c r="I29" s="2">
        <v>0</v>
      </c>
      <c r="J29" s="109">
        <f t="shared" si="2"/>
        <v>633.20000000000005</v>
      </c>
      <c r="K29" s="2">
        <f t="shared" si="3"/>
        <v>44.324000000000005</v>
      </c>
      <c r="L29" s="2">
        <f t="shared" si="4"/>
        <v>588.87600000000009</v>
      </c>
      <c r="M29" s="90" t="s">
        <v>470</v>
      </c>
      <c r="N29" s="3">
        <v>10</v>
      </c>
      <c r="O29" s="3">
        <v>11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</row>
    <row r="30" spans="1:46" s="11" customFormat="1" x14ac:dyDescent="0.3">
      <c r="A30" s="88" t="s">
        <v>349</v>
      </c>
      <c r="B30" s="90">
        <v>27</v>
      </c>
      <c r="C30" s="72">
        <f>'GERAL 2022'!G45</f>
        <v>580</v>
      </c>
      <c r="D30" s="72">
        <v>0</v>
      </c>
      <c r="E30" s="5">
        <f t="shared" si="6"/>
        <v>580</v>
      </c>
      <c r="F30" s="72">
        <v>0</v>
      </c>
      <c r="G30" s="2">
        <f t="shared" si="5"/>
        <v>48.2</v>
      </c>
      <c r="H30" s="72">
        <v>0</v>
      </c>
      <c r="I30" s="72">
        <v>0</v>
      </c>
      <c r="J30" s="109">
        <f t="shared" si="2"/>
        <v>628.20000000000005</v>
      </c>
      <c r="K30" s="2">
        <f t="shared" si="3"/>
        <v>43.974000000000011</v>
      </c>
      <c r="L30" s="2">
        <f>J30-K30</f>
        <v>584.226</v>
      </c>
      <c r="M30" s="90" t="s">
        <v>470</v>
      </c>
      <c r="N30" s="3">
        <v>10</v>
      </c>
      <c r="O30" s="3">
        <v>11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</row>
    <row r="31" spans="1:46" s="11" customFormat="1" x14ac:dyDescent="0.3">
      <c r="A31" s="518" t="s">
        <v>4</v>
      </c>
      <c r="B31" s="518"/>
      <c r="C31" s="109">
        <f>SUM(C4:C30)</f>
        <v>14545.726470193549</v>
      </c>
      <c r="D31" s="109">
        <f t="shared" ref="D31:I31" si="7">SUM(D4:D30)</f>
        <v>0</v>
      </c>
      <c r="E31" s="109">
        <f t="shared" si="7"/>
        <v>14545.726470193549</v>
      </c>
      <c r="F31" s="109">
        <f t="shared" si="7"/>
        <v>735.80645161290317</v>
      </c>
      <c r="G31" s="109">
        <f t="shared" si="7"/>
        <v>1206.5548387096781</v>
      </c>
      <c r="H31" s="109">
        <f t="shared" si="7"/>
        <v>14.459723175474718</v>
      </c>
      <c r="I31" s="109">
        <f t="shared" si="7"/>
        <v>177.55500000000001</v>
      </c>
      <c r="J31" s="109">
        <f>SUM(J4:J30)</f>
        <v>16680.102483691608</v>
      </c>
      <c r="K31" s="109">
        <f>SUM(K4:K30)</f>
        <v>1167.6071738584126</v>
      </c>
      <c r="L31" s="109">
        <f>SUM(L4:L30)</f>
        <v>15512.495309833195</v>
      </c>
      <c r="M31" s="90"/>
      <c r="N31" s="3"/>
      <c r="O31" s="3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</row>
    <row r="32" spans="1:46" s="11" customFormat="1" ht="28.5" customHeight="1" x14ac:dyDescent="0.3">
      <c r="A32" s="521" t="s">
        <v>601</v>
      </c>
      <c r="B32" s="521"/>
      <c r="C32" s="521"/>
      <c r="D32" s="521"/>
      <c r="E32" s="521"/>
      <c r="F32" s="521"/>
      <c r="G32" s="521"/>
      <c r="H32" s="521"/>
      <c r="I32" s="521"/>
      <c r="J32" s="521"/>
      <c r="K32" s="521"/>
      <c r="L32" s="521"/>
      <c r="M32" s="521"/>
      <c r="N32" s="521"/>
      <c r="O32" s="521"/>
      <c r="P32" s="10"/>
      <c r="Q32" s="10"/>
      <c r="R32" s="10"/>
      <c r="S32" s="10"/>
      <c r="T32" s="10"/>
      <c r="U32" s="10"/>
      <c r="V32" s="10"/>
      <c r="W32" s="10"/>
      <c r="X32" s="10"/>
    </row>
    <row r="33" spans="1:59" s="11" customFormat="1" ht="27.75" customHeight="1" x14ac:dyDescent="0.3">
      <c r="A33" s="127" t="s">
        <v>3</v>
      </c>
      <c r="B33" s="127" t="s">
        <v>0</v>
      </c>
      <c r="C33" s="128" t="s">
        <v>174</v>
      </c>
      <c r="D33" s="555" t="s">
        <v>175</v>
      </c>
      <c r="E33" s="556"/>
      <c r="F33" s="556"/>
      <c r="G33" s="556"/>
      <c r="H33" s="556"/>
      <c r="I33" s="557"/>
      <c r="J33" s="128" t="s">
        <v>4</v>
      </c>
      <c r="K33" s="128" t="s">
        <v>5</v>
      </c>
      <c r="L33" s="128" t="s">
        <v>70</v>
      </c>
      <c r="M33" s="127" t="s">
        <v>59</v>
      </c>
      <c r="N33" s="130" t="s">
        <v>8</v>
      </c>
      <c r="O33" s="130" t="s">
        <v>10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59" s="15" customFormat="1" x14ac:dyDescent="0.3">
      <c r="A34" s="90" t="s">
        <v>552</v>
      </c>
      <c r="B34" s="90">
        <v>6</v>
      </c>
      <c r="C34" s="2">
        <v>1475.65</v>
      </c>
      <c r="D34" s="546" t="s">
        <v>605</v>
      </c>
      <c r="E34" s="547"/>
      <c r="F34" s="547"/>
      <c r="G34" s="547"/>
      <c r="H34" s="547"/>
      <c r="I34" s="548"/>
      <c r="J34" s="2">
        <v>184.46</v>
      </c>
      <c r="K34" s="2">
        <f>7%*J34</f>
        <v>12.912200000000002</v>
      </c>
      <c r="L34" s="2">
        <f>J34-K34</f>
        <v>171.5478</v>
      </c>
      <c r="M34" s="90" t="s">
        <v>606</v>
      </c>
      <c r="N34" s="3">
        <v>10</v>
      </c>
      <c r="O34" s="3">
        <v>11</v>
      </c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</row>
    <row r="35" spans="1:59" s="11" customFormat="1" x14ac:dyDescent="0.3">
      <c r="A35" s="518" t="s">
        <v>4</v>
      </c>
      <c r="B35" s="518"/>
      <c r="C35" s="518"/>
      <c r="D35" s="518"/>
      <c r="E35" s="518"/>
      <c r="F35" s="518"/>
      <c r="G35" s="518"/>
      <c r="H35" s="518"/>
      <c r="I35" s="518"/>
      <c r="J35" s="109">
        <f>SUM(J34:J34)</f>
        <v>184.46</v>
      </c>
      <c r="K35" s="109">
        <f>SUM(K34:K34)</f>
        <v>12.912200000000002</v>
      </c>
      <c r="L35" s="109">
        <f>SUM(L34:L34)</f>
        <v>171.5478</v>
      </c>
      <c r="M35" s="527"/>
      <c r="N35" s="527"/>
      <c r="O35" s="527"/>
      <c r="P35" s="10"/>
      <c r="Q35" s="10"/>
      <c r="R35" s="10"/>
      <c r="S35" s="10"/>
      <c r="T35" s="10"/>
      <c r="U35" s="10"/>
      <c r="V35" s="10"/>
      <c r="W35" s="10"/>
      <c r="X35" s="10"/>
    </row>
    <row r="36" spans="1:59" s="11" customFormat="1" x14ac:dyDescent="0.3">
      <c r="A36" s="518"/>
      <c r="B36" s="518"/>
      <c r="C36" s="518"/>
      <c r="D36" s="518"/>
      <c r="E36" s="518"/>
      <c r="F36" s="518"/>
      <c r="G36" s="518"/>
      <c r="H36" s="518"/>
      <c r="I36" s="518"/>
      <c r="J36" s="518"/>
      <c r="K36" s="518"/>
      <c r="L36" s="518"/>
      <c r="M36" s="518"/>
      <c r="N36" s="109"/>
      <c r="O36" s="109"/>
      <c r="P36" s="10"/>
      <c r="Q36" s="10"/>
      <c r="R36" s="10"/>
      <c r="S36" s="10"/>
      <c r="T36" s="10"/>
      <c r="U36" s="10"/>
      <c r="V36" s="10"/>
      <c r="W36" s="10"/>
      <c r="X36" s="10"/>
    </row>
    <row r="37" spans="1:59" s="11" customFormat="1" ht="28.5" customHeight="1" x14ac:dyDescent="0.3">
      <c r="A37" s="521" t="s">
        <v>177</v>
      </c>
      <c r="B37" s="521"/>
      <c r="C37" s="521"/>
      <c r="D37" s="521"/>
      <c r="E37" s="521"/>
      <c r="F37" s="521"/>
      <c r="G37" s="521"/>
      <c r="H37" s="521"/>
      <c r="I37" s="521"/>
      <c r="J37" s="521"/>
      <c r="K37" s="521"/>
      <c r="L37" s="521"/>
      <c r="M37" s="521"/>
      <c r="N37" s="521"/>
      <c r="O37" s="521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spans="1:59" s="11" customFormat="1" ht="25.5" customHeight="1" x14ac:dyDescent="0.3">
      <c r="A38" s="126" t="s">
        <v>173</v>
      </c>
      <c r="B38" s="126" t="s">
        <v>0</v>
      </c>
      <c r="C38" s="126" t="s">
        <v>174</v>
      </c>
      <c r="D38" s="521" t="s">
        <v>175</v>
      </c>
      <c r="E38" s="521"/>
      <c r="F38" s="521"/>
      <c r="G38" s="521"/>
      <c r="H38" s="521"/>
      <c r="I38" s="521"/>
      <c r="J38" s="129" t="s">
        <v>4</v>
      </c>
      <c r="K38" s="128"/>
      <c r="L38" s="128"/>
      <c r="M38" s="127" t="s">
        <v>59</v>
      </c>
      <c r="N38" s="130" t="s">
        <v>8</v>
      </c>
      <c r="O38" s="130" t="s">
        <v>10</v>
      </c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spans="1:59" s="69" customFormat="1" ht="15" customHeight="1" x14ac:dyDescent="0.3">
      <c r="A39" s="4" t="s">
        <v>132</v>
      </c>
      <c r="B39" s="4">
        <v>1</v>
      </c>
      <c r="C39" s="5">
        <f>4977.59-1520</f>
        <v>3457.59</v>
      </c>
      <c r="D39" s="546" t="s">
        <v>284</v>
      </c>
      <c r="E39" s="547"/>
      <c r="F39" s="547"/>
      <c r="G39" s="547"/>
      <c r="H39" s="547"/>
      <c r="I39" s="548"/>
      <c r="J39" s="5">
        <f>4977.59-1520</f>
        <v>3457.59</v>
      </c>
      <c r="K39" s="5"/>
      <c r="L39" s="5"/>
      <c r="M39" s="5" t="s">
        <v>510</v>
      </c>
      <c r="N39" s="140">
        <v>10</v>
      </c>
      <c r="O39" s="4">
        <v>11</v>
      </c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</row>
    <row r="40" spans="1:59" s="11" customFormat="1" x14ac:dyDescent="0.3">
      <c r="A40" s="90" t="s">
        <v>87</v>
      </c>
      <c r="B40" s="90">
        <v>25</v>
      </c>
      <c r="C40" s="5">
        <v>3013.33</v>
      </c>
      <c r="D40" s="546" t="s">
        <v>543</v>
      </c>
      <c r="E40" s="547"/>
      <c r="F40" s="547"/>
      <c r="G40" s="547"/>
      <c r="H40" s="547"/>
      <c r="I40" s="548"/>
      <c r="J40" s="5">
        <v>3040.58</v>
      </c>
      <c r="K40" s="2"/>
      <c r="L40" s="2"/>
      <c r="M40" s="5" t="s">
        <v>545</v>
      </c>
      <c r="N40" s="98">
        <v>10</v>
      </c>
      <c r="O40" s="3">
        <v>11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</row>
    <row r="41" spans="1:59" s="40" customFormat="1" ht="15" customHeight="1" thickBot="1" x14ac:dyDescent="0.35">
      <c r="A41" s="534" t="s">
        <v>4</v>
      </c>
      <c r="B41" s="549"/>
      <c r="C41" s="549"/>
      <c r="D41" s="549"/>
      <c r="E41" s="549"/>
      <c r="F41" s="549"/>
      <c r="G41" s="549"/>
      <c r="H41" s="549"/>
      <c r="I41" s="535"/>
      <c r="J41" s="114">
        <f>SUM(J39:J40)</f>
        <v>6498.17</v>
      </c>
      <c r="K41" s="90"/>
      <c r="L41" s="90"/>
      <c r="M41" s="90"/>
      <c r="N41" s="90"/>
      <c r="O41" s="9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1"/>
      <c r="AT41" s="11"/>
      <c r="AU41" s="11"/>
      <c r="AV41" s="11"/>
    </row>
    <row r="42" spans="1:59" s="19" customFormat="1" x14ac:dyDescent="0.3">
      <c r="A42" s="179"/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1"/>
      <c r="O42" s="182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</row>
    <row r="43" spans="1:59" s="40" customFormat="1" x14ac:dyDescent="0.3">
      <c r="A43" s="575" t="s">
        <v>9</v>
      </c>
      <c r="B43" s="576"/>
      <c r="C43" s="576"/>
      <c r="D43" s="577"/>
      <c r="E43" s="574"/>
      <c r="F43" s="540"/>
      <c r="G43" s="540"/>
      <c r="H43" s="46"/>
      <c r="I43" s="46"/>
      <c r="J43" s="46"/>
      <c r="K43" s="46"/>
      <c r="L43" s="46"/>
      <c r="M43" s="544" t="s">
        <v>315</v>
      </c>
      <c r="N43" s="544"/>
      <c r="O43" s="545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1"/>
      <c r="AT43" s="11"/>
      <c r="AU43" s="11"/>
      <c r="AV43" s="11"/>
    </row>
    <row r="44" spans="1:59" s="40" customFormat="1" x14ac:dyDescent="0.3">
      <c r="A44" s="76" t="s">
        <v>40</v>
      </c>
      <c r="B44" s="77">
        <f>'GERAL 2022'!J35</f>
        <v>118.18</v>
      </c>
      <c r="C44" s="78">
        <v>6</v>
      </c>
      <c r="D44" s="77">
        <f t="shared" ref="D44:D97" si="8">B44/C44</f>
        <v>19.696666666666669</v>
      </c>
      <c r="E44" s="574"/>
      <c r="F44" s="540"/>
      <c r="G44" s="540"/>
      <c r="H44" s="11"/>
      <c r="I44" s="11"/>
      <c r="J44" s="87"/>
      <c r="K44" s="87"/>
      <c r="L44" s="87"/>
      <c r="M44" s="527" t="s">
        <v>94</v>
      </c>
      <c r="N44" s="527"/>
      <c r="O44" s="114">
        <f>K31+K35</f>
        <v>1180.5193738584126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1"/>
      <c r="AT44" s="11"/>
      <c r="AU44" s="11"/>
      <c r="AV44" s="11"/>
    </row>
    <row r="45" spans="1:59" s="40" customFormat="1" x14ac:dyDescent="0.3">
      <c r="A45" s="12" t="s">
        <v>46</v>
      </c>
      <c r="B45" s="2">
        <f>'GERAL 2022'!H35</f>
        <v>14.184042553191489</v>
      </c>
      <c r="C45" s="88">
        <v>5</v>
      </c>
      <c r="D45" s="2">
        <f t="shared" si="8"/>
        <v>2.8368085106382979</v>
      </c>
      <c r="E45" s="574"/>
      <c r="F45" s="540"/>
      <c r="G45" s="540"/>
      <c r="H45" s="11"/>
      <c r="I45" s="11"/>
      <c r="J45" s="14"/>
      <c r="K45" s="14"/>
      <c r="L45" s="14"/>
      <c r="M45" s="518" t="s">
        <v>260</v>
      </c>
      <c r="N45" s="518"/>
      <c r="O45" s="114">
        <v>0</v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1"/>
      <c r="AT45" s="11"/>
      <c r="AU45" s="11"/>
      <c r="AV45" s="11"/>
    </row>
    <row r="46" spans="1:59" s="40" customFormat="1" x14ac:dyDescent="0.3">
      <c r="A46" s="79" t="s">
        <v>29</v>
      </c>
      <c r="B46" s="80">
        <f>'GERAL 2022'!J4</f>
        <v>118.18</v>
      </c>
      <c r="C46" s="82">
        <v>6</v>
      </c>
      <c r="D46" s="80">
        <f t="shared" si="8"/>
        <v>19.696666666666669</v>
      </c>
      <c r="E46" s="574"/>
      <c r="F46" s="540"/>
      <c r="G46" s="540"/>
      <c r="H46" s="11"/>
      <c r="I46" s="11"/>
      <c r="J46" s="14"/>
      <c r="K46" s="14"/>
      <c r="L46" s="14"/>
      <c r="M46" s="520"/>
      <c r="N46" s="520"/>
      <c r="O46" s="52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1"/>
      <c r="AT46" s="11"/>
      <c r="AU46" s="11"/>
      <c r="AV46" s="11"/>
    </row>
    <row r="47" spans="1:59" s="40" customFormat="1" x14ac:dyDescent="0.3">
      <c r="A47" s="12" t="s">
        <v>30</v>
      </c>
      <c r="B47" s="2">
        <f>'GERAL 2022'!H4</f>
        <v>14.184042553191489</v>
      </c>
      <c r="C47" s="88">
        <v>5</v>
      </c>
      <c r="D47" s="2">
        <f t="shared" si="8"/>
        <v>2.8368085106382979</v>
      </c>
      <c r="E47" s="574"/>
      <c r="F47" s="540"/>
      <c r="G47" s="540"/>
      <c r="H47" s="11"/>
      <c r="I47" s="11"/>
      <c r="J47" s="62"/>
      <c r="K47" s="62"/>
      <c r="L47" s="62"/>
      <c r="M47" s="520"/>
      <c r="N47" s="520"/>
      <c r="O47" s="52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1"/>
      <c r="AT47" s="11"/>
      <c r="AU47" s="11"/>
      <c r="AV47" s="11"/>
    </row>
    <row r="48" spans="1:59" s="40" customFormat="1" ht="14.4" x14ac:dyDescent="0.3">
      <c r="A48" s="79" t="s">
        <v>65</v>
      </c>
      <c r="B48" s="80">
        <f>'GERAL 2022'!J5</f>
        <v>117.85</v>
      </c>
      <c r="C48" s="82">
        <v>6</v>
      </c>
      <c r="D48" s="80">
        <f t="shared" si="8"/>
        <v>19.641666666666666</v>
      </c>
      <c r="E48" s="574"/>
      <c r="F48" s="540"/>
      <c r="G48" s="540"/>
      <c r="H48" s="11"/>
      <c r="I48" s="11"/>
      <c r="J48" s="14"/>
      <c r="K48" s="14"/>
      <c r="L48" s="14"/>
      <c r="M48" s="529" t="s">
        <v>12</v>
      </c>
      <c r="N48" s="529"/>
      <c r="O48" s="529"/>
      <c r="P48" s="175"/>
      <c r="Q48" s="178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1"/>
      <c r="AT48" s="11"/>
      <c r="AU48" s="11"/>
      <c r="AV48" s="11"/>
    </row>
    <row r="49" spans="1:46" s="11" customFormat="1" ht="15" customHeight="1" x14ac:dyDescent="0.3">
      <c r="A49" s="12" t="s">
        <v>62</v>
      </c>
      <c r="B49" s="2">
        <f>'GERAL 2022'!H5</f>
        <v>14.184042553191489</v>
      </c>
      <c r="C49" s="88">
        <v>5</v>
      </c>
      <c r="D49" s="2">
        <f t="shared" si="8"/>
        <v>2.8368085106382979</v>
      </c>
      <c r="E49" s="574"/>
      <c r="F49" s="540"/>
      <c r="G49" s="540"/>
      <c r="J49" s="63"/>
      <c r="K49" s="63"/>
      <c r="L49" s="63"/>
      <c r="M49" s="514" t="s">
        <v>609</v>
      </c>
      <c r="N49" s="514"/>
      <c r="O49" s="2">
        <v>19.7</v>
      </c>
      <c r="P49" s="175"/>
      <c r="Q49" s="178"/>
    </row>
    <row r="50" spans="1:46" s="11" customFormat="1" ht="14.4" x14ac:dyDescent="0.3">
      <c r="A50" s="79" t="s">
        <v>60</v>
      </c>
      <c r="B50" s="80">
        <f>'GERAL 2022'!J6</f>
        <v>117.85</v>
      </c>
      <c r="C50" s="82">
        <v>6</v>
      </c>
      <c r="D50" s="80">
        <f t="shared" si="8"/>
        <v>19.641666666666666</v>
      </c>
      <c r="E50" s="574"/>
      <c r="F50" s="540"/>
      <c r="G50" s="540"/>
      <c r="J50" s="14"/>
      <c r="K50" s="14"/>
      <c r="L50" s="14"/>
      <c r="M50" s="514" t="s">
        <v>610</v>
      </c>
      <c r="N50" s="514"/>
      <c r="O50" s="2">
        <v>19.64</v>
      </c>
      <c r="P50" s="175"/>
      <c r="Q50" s="178"/>
    </row>
    <row r="51" spans="1:46" s="11" customFormat="1" ht="15" customHeight="1" x14ac:dyDescent="0.3">
      <c r="A51" s="12" t="s">
        <v>61</v>
      </c>
      <c r="B51" s="2">
        <f>'GERAL 2022'!H6</f>
        <v>14.184042553191489</v>
      </c>
      <c r="C51" s="88">
        <v>5</v>
      </c>
      <c r="D51" s="2">
        <f t="shared" si="8"/>
        <v>2.8368085106382979</v>
      </c>
      <c r="E51" s="574"/>
      <c r="F51" s="540"/>
      <c r="G51" s="540"/>
      <c r="J51" s="63"/>
      <c r="K51" s="63"/>
      <c r="L51" s="63"/>
      <c r="M51" s="514" t="s">
        <v>365</v>
      </c>
      <c r="N51" s="514"/>
      <c r="O51" s="2">
        <v>19.89</v>
      </c>
      <c r="P51" s="175"/>
      <c r="Q51" s="178"/>
    </row>
    <row r="52" spans="1:46" s="11" customFormat="1" ht="14.4" x14ac:dyDescent="0.3">
      <c r="A52" s="79" t="s">
        <v>31</v>
      </c>
      <c r="B52" s="80">
        <f>'GERAL 2022'!J7</f>
        <v>118.18</v>
      </c>
      <c r="C52" s="82">
        <v>6</v>
      </c>
      <c r="D52" s="80">
        <f t="shared" si="8"/>
        <v>19.696666666666669</v>
      </c>
      <c r="E52" s="574"/>
      <c r="F52" s="540"/>
      <c r="G52" s="540"/>
      <c r="J52" s="14"/>
      <c r="K52" s="14"/>
      <c r="L52" s="14"/>
      <c r="M52" s="514" t="s">
        <v>611</v>
      </c>
      <c r="N52" s="514"/>
      <c r="O52" s="2">
        <v>19.7</v>
      </c>
      <c r="P52" s="175"/>
      <c r="Q52" s="178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</row>
    <row r="53" spans="1:46" s="11" customFormat="1" ht="14.4" x14ac:dyDescent="0.3">
      <c r="A53" s="12" t="s">
        <v>32</v>
      </c>
      <c r="B53" s="2">
        <f>'GERAL 2022'!H7</f>
        <v>14.184042553191489</v>
      </c>
      <c r="C53" s="88">
        <v>5</v>
      </c>
      <c r="D53" s="2">
        <f t="shared" si="8"/>
        <v>2.8368085106382979</v>
      </c>
      <c r="E53" s="574"/>
      <c r="F53" s="540"/>
      <c r="G53" s="540"/>
      <c r="J53" s="63"/>
      <c r="K53" s="63"/>
      <c r="L53" s="63"/>
      <c r="M53" s="514" t="s">
        <v>410</v>
      </c>
      <c r="N53" s="514"/>
      <c r="O53" s="2">
        <v>19.7</v>
      </c>
      <c r="P53" s="175"/>
      <c r="Q53" s="178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</row>
    <row r="54" spans="1:46" s="11" customFormat="1" ht="14.4" x14ac:dyDescent="0.3">
      <c r="A54" s="79" t="s">
        <v>57</v>
      </c>
      <c r="B54" s="80">
        <f>'GERAL 2022'!J36</f>
        <v>119.36</v>
      </c>
      <c r="C54" s="82">
        <v>6</v>
      </c>
      <c r="D54" s="80">
        <f t="shared" si="8"/>
        <v>19.893333333333334</v>
      </c>
      <c r="E54" s="574"/>
      <c r="F54" s="540"/>
      <c r="G54" s="540"/>
      <c r="J54" s="14"/>
      <c r="K54" s="14"/>
      <c r="L54" s="14"/>
      <c r="M54" s="514" t="s">
        <v>368</v>
      </c>
      <c r="N54" s="514"/>
      <c r="O54" s="2">
        <v>19.7</v>
      </c>
      <c r="P54" s="175"/>
      <c r="Q54" s="185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</row>
    <row r="55" spans="1:46" s="11" customFormat="1" ht="12.75" customHeight="1" x14ac:dyDescent="0.3">
      <c r="A55" s="12" t="s">
        <v>58</v>
      </c>
      <c r="B55" s="2">
        <f>'GERAL 2022'!K36</f>
        <v>19.893333333333334</v>
      </c>
      <c r="C55" s="88">
        <v>5</v>
      </c>
      <c r="D55" s="2">
        <f t="shared" si="8"/>
        <v>3.9786666666666668</v>
      </c>
      <c r="E55" s="574"/>
      <c r="F55" s="540"/>
      <c r="G55" s="540"/>
      <c r="J55" s="63"/>
      <c r="K55" s="63"/>
      <c r="L55" s="63"/>
      <c r="M55" s="514" t="s">
        <v>111</v>
      </c>
      <c r="N55" s="514"/>
      <c r="O55" s="2">
        <v>19.82</v>
      </c>
      <c r="P55" s="175"/>
      <c r="Q55" s="178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</row>
    <row r="56" spans="1:46" s="11" customFormat="1" ht="14.4" x14ac:dyDescent="0.3">
      <c r="A56" s="79" t="s">
        <v>63</v>
      </c>
      <c r="B56" s="80">
        <f>'GERAL 2022'!J9</f>
        <v>118.18</v>
      </c>
      <c r="C56" s="82">
        <v>6</v>
      </c>
      <c r="D56" s="80">
        <f t="shared" si="8"/>
        <v>19.696666666666669</v>
      </c>
      <c r="E56" s="574"/>
      <c r="F56" s="540"/>
      <c r="G56" s="540"/>
      <c r="J56" s="14"/>
      <c r="K56" s="14"/>
      <c r="L56" s="14"/>
      <c r="M56" s="514" t="s">
        <v>225</v>
      </c>
      <c r="N56" s="514"/>
      <c r="O56" s="2">
        <v>19.64</v>
      </c>
      <c r="P56" s="175"/>
      <c r="Q56" s="178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</row>
    <row r="57" spans="1:46" s="11" customFormat="1" ht="15" customHeight="1" x14ac:dyDescent="0.3">
      <c r="A57" s="12" t="s">
        <v>64</v>
      </c>
      <c r="B57" s="2">
        <f>'GERAL 2022'!H9</f>
        <v>14.184042553191489</v>
      </c>
      <c r="C57" s="88">
        <v>5</v>
      </c>
      <c r="D57" s="2">
        <f t="shared" si="8"/>
        <v>2.8368085106382979</v>
      </c>
      <c r="E57" s="574"/>
      <c r="F57" s="540"/>
      <c r="G57" s="540"/>
      <c r="J57" s="63"/>
      <c r="K57" s="63"/>
      <c r="L57" s="63"/>
      <c r="M57" s="514" t="s">
        <v>152</v>
      </c>
      <c r="N57" s="514"/>
      <c r="O57" s="2">
        <v>19.760000000000002</v>
      </c>
      <c r="Q57" s="14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</row>
    <row r="58" spans="1:46" s="11" customFormat="1" ht="14.4" x14ac:dyDescent="0.3">
      <c r="A58" s="79" t="s">
        <v>33</v>
      </c>
      <c r="B58" s="80">
        <f>'GERAL 2022'!J37</f>
        <v>118.18</v>
      </c>
      <c r="C58" s="82">
        <v>6</v>
      </c>
      <c r="D58" s="80">
        <f t="shared" si="8"/>
        <v>19.696666666666669</v>
      </c>
      <c r="E58" s="574"/>
      <c r="F58" s="540"/>
      <c r="G58" s="540"/>
      <c r="J58" s="14"/>
      <c r="K58" s="14"/>
      <c r="L58" s="14"/>
      <c r="M58" s="542" t="s">
        <v>612</v>
      </c>
      <c r="N58" s="542"/>
      <c r="O58" s="2">
        <f>120*5</f>
        <v>600</v>
      </c>
      <c r="P58" s="175"/>
      <c r="Q58" s="178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</row>
    <row r="59" spans="1:46" s="11" customFormat="1" ht="13.5" customHeight="1" x14ac:dyDescent="0.3">
      <c r="A59" s="12" t="s">
        <v>34</v>
      </c>
      <c r="B59" s="2">
        <f>'GERAL 2022'!H37</f>
        <v>14.184042553191489</v>
      </c>
      <c r="C59" s="88">
        <v>5</v>
      </c>
      <c r="D59" s="2">
        <f t="shared" si="8"/>
        <v>2.8368085106382979</v>
      </c>
      <c r="E59" s="574"/>
      <c r="F59" s="540"/>
      <c r="G59" s="540"/>
      <c r="J59" s="63"/>
      <c r="K59" s="63"/>
      <c r="L59" s="63"/>
      <c r="M59" s="520" t="s">
        <v>126</v>
      </c>
      <c r="N59" s="520"/>
      <c r="O59" s="2">
        <v>127.19</v>
      </c>
      <c r="P59" s="175"/>
      <c r="Q59" s="178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</row>
    <row r="60" spans="1:46" s="11" customFormat="1" ht="14.4" x14ac:dyDescent="0.3">
      <c r="A60" s="79" t="s">
        <v>41</v>
      </c>
      <c r="B60" s="80">
        <f>'GERAL 2022'!J11</f>
        <v>118.18</v>
      </c>
      <c r="C60" s="82">
        <v>6</v>
      </c>
      <c r="D60" s="80">
        <f t="shared" si="8"/>
        <v>19.696666666666669</v>
      </c>
      <c r="E60" s="574"/>
      <c r="F60" s="540"/>
      <c r="G60" s="540"/>
      <c r="M60" s="570" t="s">
        <v>613</v>
      </c>
      <c r="N60" s="570"/>
      <c r="O60" s="2">
        <v>119.51</v>
      </c>
      <c r="P60" s="175"/>
      <c r="Q60" s="178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</row>
    <row r="61" spans="1:46" s="11" customFormat="1" ht="14.4" x14ac:dyDescent="0.3">
      <c r="A61" s="12" t="s">
        <v>42</v>
      </c>
      <c r="B61" s="2">
        <f>'GERAL 2022'!H11</f>
        <v>14.184042553191489</v>
      </c>
      <c r="C61" s="88">
        <v>5</v>
      </c>
      <c r="D61" s="2">
        <f t="shared" si="8"/>
        <v>2.8368085106382979</v>
      </c>
      <c r="E61" s="574"/>
      <c r="F61" s="540"/>
      <c r="G61" s="540"/>
      <c r="J61" s="63"/>
      <c r="K61" s="63"/>
      <c r="L61" s="63"/>
      <c r="M61" s="516"/>
      <c r="N61" s="517"/>
      <c r="O61" s="5"/>
      <c r="P61" s="175"/>
      <c r="Q61" s="178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</row>
    <row r="62" spans="1:46" s="11" customFormat="1" ht="14.4" x14ac:dyDescent="0.3">
      <c r="A62" s="79" t="s">
        <v>66</v>
      </c>
      <c r="B62" s="80">
        <f>'GERAL 2022'!J38</f>
        <v>117.85</v>
      </c>
      <c r="C62" s="81">
        <v>6</v>
      </c>
      <c r="D62" s="80">
        <f t="shared" si="8"/>
        <v>19.641666666666666</v>
      </c>
      <c r="E62" s="574"/>
      <c r="F62" s="540"/>
      <c r="G62" s="540"/>
      <c r="J62" s="14"/>
      <c r="K62" s="14"/>
      <c r="L62" s="14"/>
      <c r="M62" s="563"/>
      <c r="N62" s="563"/>
      <c r="O62" s="141"/>
      <c r="P62" s="175"/>
      <c r="Q62" s="185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</row>
    <row r="63" spans="1:46" s="11" customFormat="1" ht="14.4" x14ac:dyDescent="0.3">
      <c r="A63" s="12" t="s">
        <v>67</v>
      </c>
      <c r="B63" s="2">
        <f>'GERAL 2022'!H38</f>
        <v>14.184042553191489</v>
      </c>
      <c r="C63" s="88">
        <v>5</v>
      </c>
      <c r="D63" s="2">
        <f t="shared" si="8"/>
        <v>2.8368085106382979</v>
      </c>
      <c r="E63" s="574"/>
      <c r="F63" s="540"/>
      <c r="G63" s="540"/>
      <c r="J63" s="63"/>
      <c r="K63" s="63"/>
      <c r="L63" s="63"/>
      <c r="M63" s="520"/>
      <c r="N63" s="520"/>
      <c r="O63" s="5"/>
      <c r="P63" s="175"/>
      <c r="Q63" s="176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</row>
    <row r="64" spans="1:46" s="11" customFormat="1" ht="14.4" x14ac:dyDescent="0.3">
      <c r="A64" s="79" t="s">
        <v>14</v>
      </c>
      <c r="B64" s="80">
        <f>'GERAL 2022'!J13</f>
        <v>117.85</v>
      </c>
      <c r="C64" s="82">
        <v>6</v>
      </c>
      <c r="D64" s="80">
        <f t="shared" si="8"/>
        <v>19.641666666666666</v>
      </c>
      <c r="E64" s="574"/>
      <c r="F64" s="540"/>
      <c r="G64" s="540"/>
      <c r="J64" s="14"/>
      <c r="K64" s="14"/>
      <c r="L64" s="14"/>
      <c r="M64" s="563"/>
      <c r="N64" s="563"/>
      <c r="O64" s="141"/>
      <c r="P64" s="175"/>
      <c r="Q64" s="176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</row>
    <row r="65" spans="1:47" s="11" customFormat="1" ht="14.4" x14ac:dyDescent="0.3">
      <c r="A65" s="12" t="s">
        <v>15</v>
      </c>
      <c r="B65" s="2">
        <f>'GERAL 2022'!H13</f>
        <v>14.184042553191489</v>
      </c>
      <c r="C65" s="88">
        <v>5</v>
      </c>
      <c r="D65" s="2">
        <f t="shared" si="8"/>
        <v>2.8368085106382979</v>
      </c>
      <c r="E65" s="574"/>
      <c r="F65" s="540"/>
      <c r="G65" s="540"/>
      <c r="J65" s="87"/>
      <c r="K65" s="87"/>
      <c r="L65" s="87"/>
      <c r="M65" s="520"/>
      <c r="N65" s="520"/>
      <c r="O65" s="165"/>
      <c r="P65" s="175"/>
      <c r="Q65" s="176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</row>
    <row r="66" spans="1:47" s="11" customFormat="1" ht="14.4" x14ac:dyDescent="0.3">
      <c r="A66" s="79" t="s">
        <v>55</v>
      </c>
      <c r="B66" s="80">
        <f>'GERAL 2022'!J14</f>
        <v>117.85</v>
      </c>
      <c r="C66" s="82">
        <v>6</v>
      </c>
      <c r="D66" s="80">
        <f t="shared" si="8"/>
        <v>19.641666666666666</v>
      </c>
      <c r="E66" s="574"/>
      <c r="F66" s="540"/>
      <c r="G66" s="540"/>
      <c r="M66" s="518" t="s">
        <v>26</v>
      </c>
      <c r="N66" s="518"/>
      <c r="O66" s="109">
        <f>SUM(O44:O65)</f>
        <v>2204.769373858413</v>
      </c>
      <c r="P66" s="175"/>
      <c r="Q66" s="176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</row>
    <row r="67" spans="1:47" s="11" customFormat="1" ht="14.4" x14ac:dyDescent="0.3">
      <c r="A67" s="12" t="s">
        <v>56</v>
      </c>
      <c r="B67" s="2">
        <f>'GERAL 2022'!H14</f>
        <v>14.184042553191489</v>
      </c>
      <c r="C67" s="88">
        <v>5</v>
      </c>
      <c r="D67" s="2">
        <f t="shared" si="8"/>
        <v>2.8368085106382979</v>
      </c>
      <c r="E67" s="574"/>
      <c r="F67" s="540"/>
      <c r="G67" s="540"/>
      <c r="M67" s="543"/>
      <c r="N67" s="543"/>
      <c r="O67" s="135"/>
      <c r="P67" s="175"/>
      <c r="Q67" s="176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</row>
    <row r="68" spans="1:47" s="11" customFormat="1" ht="14.4" x14ac:dyDescent="0.3">
      <c r="A68" s="79" t="s">
        <v>35</v>
      </c>
      <c r="B68" s="80">
        <f>'GERAL 2022'!J15</f>
        <v>117.85</v>
      </c>
      <c r="C68" s="82">
        <v>6</v>
      </c>
      <c r="D68" s="80">
        <f t="shared" si="8"/>
        <v>19.641666666666666</v>
      </c>
      <c r="E68" s="574"/>
      <c r="F68" s="540"/>
      <c r="G68" s="540"/>
      <c r="M68" s="564" t="s">
        <v>11</v>
      </c>
      <c r="N68" s="565"/>
      <c r="O68" s="153">
        <f>J31+J35</f>
        <v>16864.562483691607</v>
      </c>
      <c r="P68" s="175"/>
      <c r="Q68" s="178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</row>
    <row r="69" spans="1:47" s="11" customFormat="1" ht="14.4" x14ac:dyDescent="0.3">
      <c r="A69" s="12" t="s">
        <v>36</v>
      </c>
      <c r="B69" s="2">
        <f>'GERAL 2022'!H15</f>
        <v>14.184042553191489</v>
      </c>
      <c r="C69" s="88">
        <v>5</v>
      </c>
      <c r="D69" s="2">
        <f t="shared" si="8"/>
        <v>2.8368085106382979</v>
      </c>
      <c r="E69" s="574"/>
      <c r="F69" s="540"/>
      <c r="G69" s="540"/>
      <c r="J69" s="14"/>
      <c r="K69" s="14"/>
      <c r="L69" s="14"/>
      <c r="M69" s="518"/>
      <c r="N69" s="518"/>
      <c r="O69" s="519"/>
      <c r="P69" s="175"/>
      <c r="Q69" s="178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</row>
    <row r="70" spans="1:47" s="11" customFormat="1" ht="14.4" x14ac:dyDescent="0.3">
      <c r="A70" s="79" t="s">
        <v>47</v>
      </c>
      <c r="B70" s="80">
        <f>'GERAL 2022'!J39</f>
        <v>118.18</v>
      </c>
      <c r="C70" s="82">
        <v>6</v>
      </c>
      <c r="D70" s="80">
        <f t="shared" si="8"/>
        <v>19.696666666666669</v>
      </c>
      <c r="E70" s="574"/>
      <c r="F70" s="540"/>
      <c r="G70" s="540"/>
      <c r="J70" s="15"/>
      <c r="K70" s="15"/>
      <c r="L70" s="15"/>
      <c r="M70" s="513" t="s">
        <v>13</v>
      </c>
      <c r="N70" s="513"/>
      <c r="O70" s="151">
        <f>O68-O66</f>
        <v>14659.793109833194</v>
      </c>
      <c r="P70" s="175"/>
      <c r="Q70" s="178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</row>
    <row r="71" spans="1:47" s="11" customFormat="1" ht="14.4" x14ac:dyDescent="0.3">
      <c r="A71" s="12" t="s">
        <v>48</v>
      </c>
      <c r="B71" s="2">
        <f>'GERAL 2022'!H39</f>
        <v>14.184042553191489</v>
      </c>
      <c r="C71" s="88">
        <v>5</v>
      </c>
      <c r="D71" s="2">
        <f t="shared" si="8"/>
        <v>2.8368085106382979</v>
      </c>
      <c r="E71" s="574"/>
      <c r="F71" s="540"/>
      <c r="G71" s="540"/>
      <c r="J71" s="14"/>
      <c r="K71" s="14"/>
      <c r="L71" s="14"/>
      <c r="M71" s="124"/>
      <c r="N71" s="124"/>
      <c r="O71" s="57"/>
      <c r="P71" s="175"/>
      <c r="Q71" s="178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</row>
    <row r="72" spans="1:47" s="11" customFormat="1" ht="14.4" x14ac:dyDescent="0.3">
      <c r="A72" s="79" t="s">
        <v>16</v>
      </c>
      <c r="B72" s="80">
        <f>'GERAL 2022'!J40</f>
        <v>119.02</v>
      </c>
      <c r="C72" s="82">
        <v>6</v>
      </c>
      <c r="D72" s="80">
        <f t="shared" si="8"/>
        <v>19.836666666666666</v>
      </c>
      <c r="E72" s="574"/>
      <c r="F72" s="540"/>
      <c r="G72" s="540"/>
      <c r="J72" s="14"/>
      <c r="K72" s="14"/>
      <c r="L72" s="14"/>
      <c r="M72" s="124"/>
      <c r="N72" s="124"/>
      <c r="O72" s="57"/>
      <c r="P72" s="175"/>
      <c r="Q72" s="178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</row>
    <row r="73" spans="1:47" s="11" customFormat="1" ht="14.4" x14ac:dyDescent="0.3">
      <c r="A73" s="12" t="s">
        <v>17</v>
      </c>
      <c r="B73" s="2">
        <f>'GERAL 2022'!H40</f>
        <v>19.857659574468084</v>
      </c>
      <c r="C73" s="88">
        <v>5</v>
      </c>
      <c r="D73" s="2">
        <f t="shared" si="8"/>
        <v>3.9715319148936166</v>
      </c>
      <c r="E73" s="574"/>
      <c r="F73" s="540"/>
      <c r="G73" s="540"/>
      <c r="J73" s="14"/>
      <c r="K73" s="14"/>
      <c r="L73" s="14"/>
      <c r="M73" s="124"/>
      <c r="N73" s="124"/>
      <c r="O73" s="57"/>
      <c r="P73" s="175"/>
      <c r="Q73" s="178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</row>
    <row r="74" spans="1:47" s="11" customFormat="1" x14ac:dyDescent="0.3">
      <c r="A74" s="79" t="s">
        <v>27</v>
      </c>
      <c r="B74" s="80">
        <f>'GERAL 2022'!J18</f>
        <v>118.87</v>
      </c>
      <c r="C74" s="82">
        <v>6</v>
      </c>
      <c r="D74" s="80">
        <f t="shared" si="8"/>
        <v>19.811666666666667</v>
      </c>
      <c r="E74" s="574"/>
      <c r="F74" s="540"/>
      <c r="G74" s="540"/>
      <c r="J74" s="14"/>
      <c r="K74" s="14"/>
      <c r="L74" s="14"/>
      <c r="M74" s="124"/>
      <c r="N74" s="124"/>
      <c r="O74" s="57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</row>
    <row r="75" spans="1:47" s="69" customFormat="1" x14ac:dyDescent="0.3">
      <c r="A75" s="12" t="s">
        <v>28</v>
      </c>
      <c r="B75" s="2">
        <f>'GERAL 2022'!H18</f>
        <v>14.184042553191489</v>
      </c>
      <c r="C75" s="88">
        <v>5</v>
      </c>
      <c r="D75" s="2">
        <f t="shared" si="8"/>
        <v>2.8368085106382979</v>
      </c>
      <c r="E75" s="574"/>
      <c r="F75" s="540"/>
      <c r="G75" s="540"/>
      <c r="H75" s="11"/>
      <c r="I75" s="11"/>
      <c r="J75" s="14"/>
      <c r="K75" s="14"/>
      <c r="L75" s="14"/>
      <c r="M75" s="15"/>
      <c r="N75" s="14"/>
      <c r="O75" s="57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</row>
    <row r="76" spans="1:47" s="69" customFormat="1" x14ac:dyDescent="0.3">
      <c r="A76" s="79" t="s">
        <v>18</v>
      </c>
      <c r="B76" s="80">
        <f>'GERAL 2022'!J41</f>
        <v>118.18</v>
      </c>
      <c r="C76" s="82">
        <v>6</v>
      </c>
      <c r="D76" s="80">
        <f t="shared" si="8"/>
        <v>19.696666666666669</v>
      </c>
      <c r="E76" s="574"/>
      <c r="F76" s="540"/>
      <c r="G76" s="540"/>
      <c r="H76" s="11"/>
      <c r="I76" s="11"/>
      <c r="J76" s="14"/>
      <c r="K76" s="14"/>
      <c r="L76" s="14"/>
      <c r="M76" s="11"/>
      <c r="N76" s="15"/>
      <c r="O76" s="57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</row>
    <row r="77" spans="1:47" s="69" customFormat="1" x14ac:dyDescent="0.3">
      <c r="A77" s="12" t="s">
        <v>19</v>
      </c>
      <c r="B77" s="2">
        <f>'GERAL 2022'!H41</f>
        <v>14.184042553191489</v>
      </c>
      <c r="C77" s="88">
        <v>5</v>
      </c>
      <c r="D77" s="2">
        <f>B77/C77</f>
        <v>2.8368085106382979</v>
      </c>
      <c r="E77" s="574"/>
      <c r="F77" s="540"/>
      <c r="G77" s="540"/>
      <c r="H77" s="11"/>
      <c r="I77" s="11"/>
      <c r="J77" s="14"/>
      <c r="K77" s="14"/>
      <c r="L77" s="14"/>
      <c r="M77" s="11"/>
      <c r="N77" s="11"/>
      <c r="O77" s="57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</row>
    <row r="78" spans="1:47" s="69" customFormat="1" x14ac:dyDescent="0.3">
      <c r="A78" s="79" t="s">
        <v>37</v>
      </c>
      <c r="B78" s="80">
        <f>'GERAL 2022'!J42</f>
        <v>118.92</v>
      </c>
      <c r="C78" s="82">
        <v>6</v>
      </c>
      <c r="D78" s="80">
        <f t="shared" si="8"/>
        <v>19.82</v>
      </c>
      <c r="E78" s="574"/>
      <c r="F78" s="540"/>
      <c r="G78" s="540"/>
      <c r="H78" s="11"/>
      <c r="I78" s="11"/>
      <c r="J78" s="14"/>
      <c r="K78" s="14"/>
      <c r="L78" s="14"/>
      <c r="M78" s="14"/>
      <c r="N78" s="14"/>
      <c r="O78" s="57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</row>
    <row r="79" spans="1:47" s="69" customFormat="1" x14ac:dyDescent="0.3">
      <c r="A79" s="12" t="s">
        <v>38</v>
      </c>
      <c r="B79" s="2">
        <f>'GERAL 2022'!H42</f>
        <v>14.184042553191489</v>
      </c>
      <c r="C79" s="88">
        <v>5</v>
      </c>
      <c r="D79" s="2">
        <f t="shared" si="8"/>
        <v>2.8368085106382979</v>
      </c>
      <c r="E79" s="574"/>
      <c r="F79" s="540"/>
      <c r="G79" s="540"/>
      <c r="H79" s="11"/>
      <c r="I79" s="11"/>
      <c r="J79" s="14"/>
      <c r="K79" s="14"/>
      <c r="L79" s="14"/>
      <c r="M79" s="14"/>
      <c r="N79" s="15"/>
      <c r="O79" s="57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</row>
    <row r="80" spans="1:47" s="69" customFormat="1" x14ac:dyDescent="0.3">
      <c r="A80" s="79" t="s">
        <v>45</v>
      </c>
      <c r="B80" s="80">
        <f>'GERAL 2022'!J43</f>
        <v>117.85</v>
      </c>
      <c r="C80" s="82">
        <v>6</v>
      </c>
      <c r="D80" s="80">
        <f t="shared" si="8"/>
        <v>19.641666666666666</v>
      </c>
      <c r="E80" s="574"/>
      <c r="F80" s="540"/>
      <c r="G80" s="540"/>
      <c r="H80" s="11"/>
      <c r="I80" s="11"/>
      <c r="J80" s="14"/>
      <c r="K80" s="14"/>
      <c r="L80" s="14"/>
      <c r="M80" s="14"/>
      <c r="N80" s="11"/>
      <c r="O80" s="57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</row>
    <row r="81" spans="1:47" s="69" customFormat="1" x14ac:dyDescent="0.3">
      <c r="A81" s="12" t="s">
        <v>39</v>
      </c>
      <c r="B81" s="2">
        <f>'GERAL 2022'!H43</f>
        <v>14.184042553191489</v>
      </c>
      <c r="C81" s="88">
        <v>5</v>
      </c>
      <c r="D81" s="2">
        <f t="shared" si="8"/>
        <v>2.8368085106382979</v>
      </c>
      <c r="E81" s="574"/>
      <c r="F81" s="540"/>
      <c r="G81" s="540"/>
      <c r="H81" s="11"/>
      <c r="I81" s="11"/>
      <c r="J81" s="14"/>
      <c r="K81" s="14"/>
      <c r="L81" s="14"/>
      <c r="M81" s="14"/>
      <c r="N81" s="11"/>
      <c r="O81" s="57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</row>
    <row r="82" spans="1:47" s="69" customFormat="1" x14ac:dyDescent="0.3">
      <c r="A82" s="81" t="s">
        <v>49</v>
      </c>
      <c r="B82" s="80">
        <f>'GERAL 2022'!J22</f>
        <v>119.12</v>
      </c>
      <c r="C82" s="82">
        <v>6</v>
      </c>
      <c r="D82" s="80">
        <f t="shared" si="8"/>
        <v>19.853333333333335</v>
      </c>
      <c r="E82" s="574"/>
      <c r="F82" s="540"/>
      <c r="G82" s="540"/>
      <c r="H82" s="11"/>
      <c r="I82" s="11"/>
      <c r="J82" s="14"/>
      <c r="K82" s="14"/>
      <c r="L82" s="14"/>
      <c r="M82" s="11"/>
      <c r="N82" s="11"/>
      <c r="O82" s="57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</row>
    <row r="83" spans="1:47" s="69" customFormat="1" x14ac:dyDescent="0.3">
      <c r="A83" s="90" t="s">
        <v>50</v>
      </c>
      <c r="B83" s="2">
        <f>'GERAL 2022'!H22</f>
        <v>14.184042553191489</v>
      </c>
      <c r="C83" s="88">
        <v>5</v>
      </c>
      <c r="D83" s="2">
        <f t="shared" si="8"/>
        <v>2.8368085106382979</v>
      </c>
      <c r="E83" s="574"/>
      <c r="F83" s="540"/>
      <c r="G83" s="540"/>
      <c r="H83" s="11"/>
      <c r="I83" s="11"/>
      <c r="J83" s="14"/>
      <c r="K83" s="14"/>
      <c r="L83" s="14"/>
      <c r="M83" s="11"/>
      <c r="N83" s="14"/>
      <c r="O83" s="57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</row>
    <row r="84" spans="1:47" s="69" customFormat="1" x14ac:dyDescent="0.3">
      <c r="A84" s="81" t="s">
        <v>43</v>
      </c>
      <c r="B84" s="80">
        <f>'GERAL 2022'!J23</f>
        <v>117.26</v>
      </c>
      <c r="C84" s="82">
        <v>6</v>
      </c>
      <c r="D84" s="80">
        <f t="shared" si="8"/>
        <v>19.543333333333333</v>
      </c>
      <c r="E84" s="574"/>
      <c r="F84" s="540"/>
      <c r="G84" s="540"/>
      <c r="H84" s="11"/>
      <c r="I84" s="11"/>
      <c r="J84" s="14"/>
      <c r="K84" s="14"/>
      <c r="L84" s="14"/>
      <c r="M84" s="11"/>
      <c r="N84" s="14"/>
      <c r="O84" s="57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</row>
    <row r="85" spans="1:47" s="69" customFormat="1" x14ac:dyDescent="0.3">
      <c r="A85" s="90" t="s">
        <v>44</v>
      </c>
      <c r="B85" s="2">
        <f>'GERAL 2022'!H23</f>
        <v>14.184042553191489</v>
      </c>
      <c r="C85" s="88">
        <v>5</v>
      </c>
      <c r="D85" s="2">
        <f t="shared" si="8"/>
        <v>2.8368085106382979</v>
      </c>
      <c r="E85" s="574"/>
      <c r="F85" s="540"/>
      <c r="G85" s="540"/>
      <c r="H85" s="11"/>
      <c r="I85" s="11"/>
      <c r="J85" s="14"/>
      <c r="K85" s="14"/>
      <c r="L85" s="14"/>
      <c r="M85" s="11"/>
      <c r="N85" s="14"/>
      <c r="O85" s="57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</row>
    <row r="86" spans="1:47" s="69" customFormat="1" x14ac:dyDescent="0.3">
      <c r="A86" s="81" t="s">
        <v>51</v>
      </c>
      <c r="B86" s="80">
        <f>'GERAL 2022'!J24</f>
        <v>117.26</v>
      </c>
      <c r="C86" s="82">
        <v>6</v>
      </c>
      <c r="D86" s="80">
        <f t="shared" si="8"/>
        <v>19.543333333333333</v>
      </c>
      <c r="E86" s="574"/>
      <c r="F86" s="540"/>
      <c r="G86" s="540"/>
      <c r="J86" s="142"/>
      <c r="K86" s="142"/>
      <c r="L86" s="142"/>
      <c r="M86" s="11"/>
      <c r="N86" s="14"/>
      <c r="O86" s="57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</row>
    <row r="87" spans="1:47" s="70" customFormat="1" x14ac:dyDescent="0.3">
      <c r="A87" s="90" t="s">
        <v>52</v>
      </c>
      <c r="B87" s="2">
        <f>'GERAL 2022'!H24</f>
        <v>14.184042553191489</v>
      </c>
      <c r="C87" s="88">
        <v>5</v>
      </c>
      <c r="D87" s="2">
        <f t="shared" si="8"/>
        <v>2.8368085106382979</v>
      </c>
      <c r="E87" s="574"/>
      <c r="F87" s="540"/>
      <c r="G87" s="540"/>
      <c r="H87" s="63"/>
      <c r="I87" s="63"/>
      <c r="J87" s="69"/>
      <c r="K87" s="69"/>
      <c r="L87" s="69"/>
      <c r="M87" s="11"/>
      <c r="N87" s="11"/>
      <c r="O87" s="57"/>
    </row>
    <row r="88" spans="1:47" s="70" customFormat="1" ht="15" customHeight="1" x14ac:dyDescent="0.3">
      <c r="A88" s="81" t="s">
        <v>53</v>
      </c>
      <c r="B88" s="80">
        <f>'GERAL 2022'!J25</f>
        <v>117.85</v>
      </c>
      <c r="C88" s="82">
        <v>6</v>
      </c>
      <c r="D88" s="80">
        <f t="shared" si="8"/>
        <v>19.641666666666666</v>
      </c>
      <c r="E88" s="574"/>
      <c r="F88" s="540"/>
      <c r="G88" s="540"/>
      <c r="H88" s="11"/>
      <c r="I88" s="63"/>
      <c r="J88" s="142"/>
      <c r="K88" s="142"/>
      <c r="L88" s="142"/>
      <c r="M88" s="11"/>
      <c r="N88" s="11"/>
      <c r="O88" s="57"/>
      <c r="AU88" s="69"/>
    </row>
    <row r="89" spans="1:47" s="70" customFormat="1" x14ac:dyDescent="0.3">
      <c r="A89" s="90" t="s">
        <v>54</v>
      </c>
      <c r="B89" s="2">
        <f>'GERAL 2022'!H25</f>
        <v>14.184042553191489</v>
      </c>
      <c r="C89" s="88">
        <v>5</v>
      </c>
      <c r="D89" s="2">
        <f t="shared" si="8"/>
        <v>2.8368085106382979</v>
      </c>
      <c r="E89" s="574"/>
      <c r="F89" s="540"/>
      <c r="G89" s="540"/>
      <c r="H89" s="142"/>
      <c r="I89" s="142"/>
      <c r="J89" s="142"/>
      <c r="K89" s="142"/>
      <c r="L89" s="142"/>
      <c r="M89" s="69"/>
      <c r="N89" s="69"/>
      <c r="O89" s="69"/>
      <c r="AU89" s="69"/>
    </row>
    <row r="90" spans="1:47" s="70" customFormat="1" x14ac:dyDescent="0.3">
      <c r="A90" s="81" t="s">
        <v>78</v>
      </c>
      <c r="B90" s="80">
        <f>'GERAL 2022'!J26</f>
        <v>119.02</v>
      </c>
      <c r="C90" s="82">
        <v>6</v>
      </c>
      <c r="D90" s="80">
        <f t="shared" si="8"/>
        <v>19.836666666666666</v>
      </c>
      <c r="E90" s="574"/>
      <c r="F90" s="540"/>
      <c r="G90" s="540"/>
      <c r="H90" s="11"/>
      <c r="I90" s="63"/>
      <c r="J90" s="142"/>
      <c r="K90" s="142"/>
      <c r="L90" s="142"/>
      <c r="M90" s="69"/>
      <c r="N90" s="69"/>
      <c r="O90" s="69"/>
      <c r="AU90" s="69"/>
    </row>
    <row r="91" spans="1:47" s="70" customFormat="1" x14ac:dyDescent="0.3">
      <c r="A91" s="90" t="s">
        <v>79</v>
      </c>
      <c r="B91" s="2">
        <f>'GERAL 2022'!H26</f>
        <v>19.857659574468084</v>
      </c>
      <c r="C91" s="88">
        <v>5</v>
      </c>
      <c r="D91" s="2">
        <f t="shared" si="8"/>
        <v>3.9715319148936166</v>
      </c>
      <c r="E91" s="574"/>
      <c r="F91" s="540"/>
      <c r="G91" s="540"/>
      <c r="H91" s="142"/>
      <c r="I91" s="142"/>
      <c r="J91" s="142"/>
      <c r="K91" s="142"/>
      <c r="L91" s="142"/>
      <c r="M91" s="69"/>
      <c r="N91" s="69"/>
      <c r="O91" s="69"/>
      <c r="AU91" s="69"/>
    </row>
    <row r="92" spans="1:47" s="70" customFormat="1" x14ac:dyDescent="0.3">
      <c r="A92" s="81" t="s">
        <v>80</v>
      </c>
      <c r="B92" s="80">
        <f>'GERAL 2022'!J44</f>
        <v>118.53</v>
      </c>
      <c r="C92" s="82">
        <v>6</v>
      </c>
      <c r="D92" s="80">
        <f t="shared" si="8"/>
        <v>19.754999999999999</v>
      </c>
      <c r="E92" s="574"/>
      <c r="F92" s="540"/>
      <c r="G92" s="540"/>
      <c r="H92" s="11"/>
      <c r="I92" s="63"/>
      <c r="J92" s="142"/>
      <c r="K92" s="142"/>
      <c r="L92" s="142"/>
      <c r="M92" s="69"/>
      <c r="N92" s="69"/>
      <c r="O92" s="69"/>
      <c r="AU92" s="69"/>
    </row>
    <row r="93" spans="1:47" s="70" customFormat="1" x14ac:dyDescent="0.3">
      <c r="A93" s="90" t="s">
        <v>81</v>
      </c>
      <c r="B93" s="2">
        <f>'GERAL 2022'!H44</f>
        <v>14.184042553191489</v>
      </c>
      <c r="C93" s="88">
        <v>5</v>
      </c>
      <c r="D93" s="2">
        <f t="shared" si="8"/>
        <v>2.8368085106382979</v>
      </c>
      <c r="E93" s="574"/>
      <c r="F93" s="540"/>
      <c r="G93" s="540"/>
      <c r="H93" s="142"/>
      <c r="I93" s="142"/>
      <c r="J93" s="142"/>
      <c r="K93" s="142"/>
      <c r="L93" s="142"/>
      <c r="M93" s="69"/>
      <c r="N93" s="69"/>
      <c r="O93" s="69"/>
      <c r="AU93" s="69"/>
    </row>
    <row r="94" spans="1:47" s="70" customFormat="1" x14ac:dyDescent="0.3">
      <c r="A94" s="81" t="s">
        <v>82</v>
      </c>
      <c r="B94" s="80">
        <f>'GERAL 2022'!J28</f>
        <v>117.95</v>
      </c>
      <c r="C94" s="82">
        <v>6</v>
      </c>
      <c r="D94" s="80">
        <f t="shared" si="8"/>
        <v>19.658333333333335</v>
      </c>
      <c r="E94" s="574"/>
      <c r="F94" s="540"/>
      <c r="G94" s="540"/>
      <c r="H94" s="11"/>
      <c r="I94" s="63"/>
      <c r="J94" s="142"/>
      <c r="K94" s="142"/>
      <c r="L94" s="142"/>
      <c r="M94" s="69"/>
      <c r="N94" s="69"/>
      <c r="O94" s="69"/>
      <c r="AU94" s="69"/>
    </row>
    <row r="95" spans="1:47" s="70" customFormat="1" x14ac:dyDescent="0.3">
      <c r="A95" s="90" t="s">
        <v>83</v>
      </c>
      <c r="B95" s="2">
        <f>'GERAL 2022'!H28</f>
        <v>14.184042553191489</v>
      </c>
      <c r="C95" s="88">
        <v>5</v>
      </c>
      <c r="D95" s="2">
        <f t="shared" si="8"/>
        <v>2.8368085106382979</v>
      </c>
      <c r="E95" s="574"/>
      <c r="F95" s="540"/>
      <c r="G95" s="540"/>
      <c r="H95" s="142"/>
      <c r="I95" s="142"/>
      <c r="J95" s="142"/>
      <c r="K95" s="142"/>
      <c r="L95" s="142"/>
      <c r="M95" s="69"/>
      <c r="N95" s="69"/>
      <c r="O95" s="69"/>
      <c r="AU95" s="69"/>
    </row>
    <row r="96" spans="1:47" s="70" customFormat="1" x14ac:dyDescent="0.3">
      <c r="A96" s="81" t="s">
        <v>84</v>
      </c>
      <c r="B96" s="80">
        <f>'GERAL 2022'!J45</f>
        <v>118.18</v>
      </c>
      <c r="C96" s="82">
        <v>6</v>
      </c>
      <c r="D96" s="80">
        <f t="shared" si="8"/>
        <v>19.696666666666669</v>
      </c>
      <c r="E96" s="574"/>
      <c r="F96" s="540"/>
      <c r="G96" s="540"/>
      <c r="H96" s="11"/>
      <c r="I96" s="63"/>
      <c r="J96" s="142"/>
      <c r="K96" s="142"/>
      <c r="L96" s="142"/>
      <c r="M96" s="144"/>
      <c r="N96" s="69"/>
      <c r="O96" s="69"/>
      <c r="AU96" s="69"/>
    </row>
    <row r="97" spans="1:47" s="70" customFormat="1" x14ac:dyDescent="0.3">
      <c r="A97" s="90" t="s">
        <v>85</v>
      </c>
      <c r="B97" s="2">
        <f>'GERAL 2022'!H45</f>
        <v>14.184042553191489</v>
      </c>
      <c r="C97" s="88">
        <v>5</v>
      </c>
      <c r="D97" s="2">
        <f t="shared" si="8"/>
        <v>2.8368085106382979</v>
      </c>
      <c r="E97" s="574"/>
      <c r="F97" s="540"/>
      <c r="G97" s="540"/>
      <c r="H97" s="142"/>
      <c r="I97" s="142"/>
      <c r="J97" s="142"/>
      <c r="K97" s="142"/>
      <c r="L97" s="142"/>
      <c r="M97" s="144"/>
      <c r="N97" s="69"/>
      <c r="O97" s="69"/>
      <c r="AU97" s="69"/>
    </row>
    <row r="98" spans="1:47" s="70" customFormat="1" x14ac:dyDescent="0.3">
      <c r="A98" s="69"/>
      <c r="B98" s="69"/>
      <c r="C98" s="69"/>
      <c r="D98" s="69"/>
      <c r="E98" s="69"/>
      <c r="F98" s="69"/>
      <c r="G98" s="69"/>
      <c r="H98" s="142"/>
      <c r="I98" s="142"/>
      <c r="J98" s="142"/>
      <c r="K98" s="142"/>
      <c r="L98" s="142"/>
      <c r="M98" s="144"/>
      <c r="N98" s="69"/>
      <c r="AU98" s="69"/>
    </row>
    <row r="99" spans="1:47" s="70" customFormat="1" x14ac:dyDescent="0.3">
      <c r="A99" s="69"/>
      <c r="B99" s="69"/>
      <c r="C99" s="69"/>
      <c r="D99" s="69"/>
      <c r="E99" s="69"/>
      <c r="F99" s="69"/>
      <c r="G99" s="69"/>
      <c r="H99" s="69"/>
      <c r="I99" s="69"/>
      <c r="J99" s="142"/>
      <c r="K99" s="142"/>
      <c r="L99" s="142"/>
      <c r="M99" s="144"/>
      <c r="N99" s="69"/>
      <c r="AU99" s="69"/>
    </row>
    <row r="100" spans="1:47" s="70" customFormat="1" x14ac:dyDescent="0.3">
      <c r="A100" s="69"/>
      <c r="B100" s="69"/>
      <c r="C100" s="69"/>
      <c r="D100" s="69"/>
      <c r="E100" s="69"/>
      <c r="F100" s="69"/>
      <c r="G100" s="69"/>
      <c r="H100" s="69"/>
      <c r="I100" s="69"/>
      <c r="J100" s="142"/>
      <c r="K100" s="142"/>
      <c r="L100" s="142"/>
      <c r="M100" s="144"/>
      <c r="N100" s="69"/>
      <c r="AU100" s="69"/>
    </row>
    <row r="101" spans="1:47" s="70" customFormat="1" x14ac:dyDescent="0.3">
      <c r="A101" s="69"/>
      <c r="B101" s="69"/>
      <c r="C101" s="69"/>
      <c r="D101" s="69"/>
      <c r="E101" s="69"/>
      <c r="F101" s="69"/>
      <c r="G101" s="69"/>
      <c r="H101" s="69"/>
      <c r="I101" s="69"/>
      <c r="J101" s="142"/>
      <c r="K101" s="142"/>
      <c r="L101" s="142"/>
      <c r="M101" s="144"/>
      <c r="N101" s="144"/>
      <c r="AU101" s="69"/>
    </row>
    <row r="102" spans="1:47" s="70" customFormat="1" x14ac:dyDescent="0.3">
      <c r="A102" s="69"/>
      <c r="B102" s="69"/>
      <c r="C102" s="69"/>
      <c r="D102" s="69"/>
      <c r="E102" s="69"/>
      <c r="F102" s="69"/>
      <c r="G102" s="69"/>
      <c r="H102" s="69"/>
      <c r="I102" s="69"/>
      <c r="J102" s="142"/>
      <c r="K102" s="142"/>
      <c r="L102" s="142"/>
      <c r="M102" s="144"/>
      <c r="N102" s="144"/>
      <c r="AU102" s="69"/>
    </row>
    <row r="103" spans="1:47" s="70" customFormat="1" x14ac:dyDescent="0.3">
      <c r="A103" s="69"/>
      <c r="B103" s="69"/>
      <c r="C103" s="69"/>
      <c r="D103" s="69"/>
      <c r="E103" s="69"/>
      <c r="F103" s="69"/>
      <c r="G103" s="69"/>
      <c r="H103" s="69"/>
      <c r="I103" s="69"/>
      <c r="J103" s="142"/>
      <c r="K103" s="142"/>
      <c r="L103" s="142"/>
      <c r="M103" s="144"/>
      <c r="N103" s="144"/>
      <c r="AU103" s="69"/>
    </row>
    <row r="104" spans="1:47" s="70" customFormat="1" x14ac:dyDescent="0.3">
      <c r="A104" s="69"/>
      <c r="B104" s="69"/>
      <c r="C104" s="69"/>
      <c r="D104" s="69"/>
      <c r="E104" s="69"/>
      <c r="F104" s="69"/>
      <c r="G104" s="69"/>
      <c r="H104" s="69"/>
      <c r="I104" s="69"/>
      <c r="J104" s="142"/>
      <c r="K104" s="142"/>
      <c r="L104" s="142"/>
      <c r="M104" s="144"/>
      <c r="N104" s="144"/>
      <c r="AU104" s="69"/>
    </row>
    <row r="105" spans="1:47" s="70" customFormat="1" x14ac:dyDescent="0.3">
      <c r="A105" s="69"/>
      <c r="B105" s="69"/>
      <c r="C105" s="69"/>
      <c r="D105" s="69"/>
      <c r="E105" s="69"/>
      <c r="F105" s="69"/>
      <c r="G105" s="69"/>
      <c r="H105" s="69"/>
      <c r="I105" s="69"/>
      <c r="J105" s="142"/>
      <c r="K105" s="142"/>
      <c r="L105" s="142"/>
      <c r="M105" s="144"/>
      <c r="N105" s="144"/>
      <c r="AU105" s="69"/>
    </row>
    <row r="106" spans="1:47" s="70" customFormat="1" x14ac:dyDescent="0.3">
      <c r="H106" s="69"/>
      <c r="I106" s="69"/>
      <c r="J106" s="142"/>
      <c r="K106" s="142"/>
      <c r="L106" s="142"/>
      <c r="M106" s="144"/>
      <c r="N106" s="144"/>
      <c r="AU106" s="69"/>
    </row>
    <row r="107" spans="1:47" s="70" customFormat="1" x14ac:dyDescent="0.3">
      <c r="J107" s="142"/>
      <c r="K107" s="142"/>
      <c r="L107" s="142"/>
      <c r="M107" s="144"/>
      <c r="N107" s="144"/>
      <c r="AU107" s="69"/>
    </row>
    <row r="108" spans="1:47" s="70" customFormat="1" x14ac:dyDescent="0.3">
      <c r="J108" s="142"/>
      <c r="K108" s="142"/>
      <c r="L108" s="142"/>
      <c r="M108" s="144"/>
      <c r="N108" s="144"/>
      <c r="AU108" s="69"/>
    </row>
    <row r="109" spans="1:47" s="70" customFormat="1" x14ac:dyDescent="0.3">
      <c r="J109" s="142"/>
      <c r="K109" s="142"/>
      <c r="L109" s="142"/>
      <c r="M109" s="144"/>
      <c r="N109" s="144"/>
      <c r="AU109" s="69"/>
    </row>
    <row r="110" spans="1:47" s="70" customFormat="1" x14ac:dyDescent="0.3">
      <c r="J110" s="142"/>
      <c r="K110" s="142"/>
      <c r="L110" s="142"/>
      <c r="M110" s="144"/>
      <c r="N110" s="144"/>
      <c r="AU110" s="69"/>
    </row>
    <row r="111" spans="1:47" s="70" customFormat="1" x14ac:dyDescent="0.3">
      <c r="J111" s="142"/>
      <c r="K111" s="142"/>
      <c r="L111" s="142"/>
      <c r="M111" s="144"/>
      <c r="N111" s="144"/>
      <c r="AU111" s="69"/>
    </row>
    <row r="112" spans="1:47" s="70" customFormat="1" x14ac:dyDescent="0.3">
      <c r="J112" s="142"/>
      <c r="K112" s="142"/>
      <c r="L112" s="142"/>
      <c r="M112" s="144"/>
      <c r="N112" s="144"/>
      <c r="AU112" s="69"/>
    </row>
    <row r="113" spans="10:47" s="70" customFormat="1" x14ac:dyDescent="0.3">
      <c r="J113" s="142"/>
      <c r="K113" s="142"/>
      <c r="L113" s="142"/>
      <c r="M113" s="144"/>
      <c r="N113" s="144"/>
      <c r="AU113" s="69"/>
    </row>
    <row r="114" spans="10:47" s="70" customFormat="1" x14ac:dyDescent="0.3">
      <c r="J114" s="142"/>
      <c r="K114" s="142"/>
      <c r="L114" s="142"/>
      <c r="M114" s="144"/>
      <c r="N114" s="144"/>
      <c r="AU114" s="69"/>
    </row>
    <row r="115" spans="10:47" s="70" customFormat="1" x14ac:dyDescent="0.3">
      <c r="J115" s="142"/>
      <c r="K115" s="142"/>
      <c r="L115" s="142"/>
      <c r="M115" s="144"/>
      <c r="N115" s="144"/>
      <c r="AU115" s="69"/>
    </row>
    <row r="116" spans="10:47" s="70" customFormat="1" x14ac:dyDescent="0.3">
      <c r="J116" s="142"/>
      <c r="K116" s="142"/>
      <c r="L116" s="142"/>
      <c r="M116" s="144"/>
      <c r="N116" s="144"/>
      <c r="AU116" s="69"/>
    </row>
    <row r="117" spans="10:47" s="70" customFormat="1" x14ac:dyDescent="0.3">
      <c r="J117" s="142"/>
      <c r="K117" s="142"/>
      <c r="L117" s="142"/>
      <c r="M117" s="144"/>
      <c r="N117" s="144"/>
      <c r="AU117" s="69"/>
    </row>
    <row r="118" spans="10:47" s="70" customFormat="1" x14ac:dyDescent="0.3">
      <c r="J118" s="142"/>
      <c r="K118" s="142"/>
      <c r="L118" s="142"/>
      <c r="M118" s="144"/>
      <c r="N118" s="144"/>
      <c r="AU118" s="69"/>
    </row>
    <row r="119" spans="10:47" s="70" customFormat="1" x14ac:dyDescent="0.3">
      <c r="J119" s="142"/>
      <c r="K119" s="142"/>
      <c r="L119" s="142"/>
      <c r="M119" s="144"/>
      <c r="N119" s="144"/>
      <c r="AU119" s="69"/>
    </row>
    <row r="120" spans="10:47" s="70" customFormat="1" x14ac:dyDescent="0.3">
      <c r="J120" s="142"/>
      <c r="K120" s="142"/>
      <c r="L120" s="142"/>
      <c r="M120" s="144"/>
      <c r="N120" s="144"/>
      <c r="AU120" s="69"/>
    </row>
    <row r="121" spans="10:47" s="70" customFormat="1" x14ac:dyDescent="0.3">
      <c r="J121" s="142"/>
      <c r="K121" s="142"/>
      <c r="L121" s="142"/>
      <c r="M121" s="144"/>
      <c r="N121" s="144"/>
      <c r="AU121" s="69"/>
    </row>
    <row r="122" spans="10:47" s="70" customFormat="1" x14ac:dyDescent="0.3">
      <c r="J122" s="142"/>
      <c r="K122" s="142"/>
      <c r="L122" s="142"/>
      <c r="M122" s="144"/>
      <c r="N122" s="144"/>
      <c r="AU122" s="69"/>
    </row>
    <row r="123" spans="10:47" s="70" customFormat="1" x14ac:dyDescent="0.3">
      <c r="J123" s="142"/>
      <c r="K123" s="142"/>
      <c r="L123" s="142"/>
      <c r="M123" s="144"/>
      <c r="N123" s="144"/>
      <c r="AU123" s="69"/>
    </row>
    <row r="124" spans="10:47" s="70" customFormat="1" x14ac:dyDescent="0.3">
      <c r="J124" s="142"/>
      <c r="K124" s="142"/>
      <c r="L124" s="142"/>
      <c r="M124" s="144"/>
      <c r="N124" s="144"/>
      <c r="AU124" s="69"/>
    </row>
    <row r="125" spans="10:47" s="70" customFormat="1" x14ac:dyDescent="0.3">
      <c r="J125" s="142"/>
      <c r="K125" s="142"/>
      <c r="L125" s="142"/>
      <c r="M125" s="144"/>
      <c r="N125" s="144"/>
      <c r="AU125" s="69"/>
    </row>
    <row r="126" spans="10:47" s="70" customFormat="1" x14ac:dyDescent="0.3">
      <c r="J126" s="142"/>
      <c r="K126" s="142"/>
      <c r="L126" s="142"/>
      <c r="M126" s="144"/>
      <c r="N126" s="144"/>
      <c r="AU126" s="69"/>
    </row>
    <row r="127" spans="10:47" s="70" customFormat="1" x14ac:dyDescent="0.3">
      <c r="J127" s="142"/>
      <c r="K127" s="142"/>
      <c r="L127" s="142"/>
      <c r="M127" s="144"/>
      <c r="N127" s="144"/>
      <c r="AU127" s="69"/>
    </row>
    <row r="128" spans="10:47" s="70" customFormat="1" x14ac:dyDescent="0.3">
      <c r="J128" s="142"/>
      <c r="K128" s="142"/>
      <c r="L128" s="142"/>
      <c r="M128" s="144"/>
      <c r="N128" s="144"/>
      <c r="AU128" s="69"/>
    </row>
    <row r="129" spans="10:47" s="70" customFormat="1" x14ac:dyDescent="0.3">
      <c r="J129" s="142"/>
      <c r="K129" s="142"/>
      <c r="L129" s="142"/>
      <c r="M129" s="144"/>
      <c r="N129" s="144"/>
      <c r="AU129" s="69"/>
    </row>
    <row r="130" spans="10:47" s="70" customFormat="1" x14ac:dyDescent="0.3">
      <c r="J130" s="142"/>
      <c r="K130" s="142"/>
      <c r="L130" s="142"/>
      <c r="M130" s="144"/>
      <c r="N130" s="144"/>
      <c r="AU130" s="69"/>
    </row>
    <row r="131" spans="10:47" s="70" customFormat="1" x14ac:dyDescent="0.3">
      <c r="J131" s="142"/>
      <c r="K131" s="142"/>
      <c r="L131" s="142"/>
      <c r="M131" s="144"/>
      <c r="N131" s="144"/>
      <c r="AU131" s="69"/>
    </row>
    <row r="132" spans="10:47" s="70" customFormat="1" x14ac:dyDescent="0.3">
      <c r="J132" s="142"/>
      <c r="K132" s="142"/>
      <c r="L132" s="142"/>
      <c r="M132" s="144"/>
      <c r="N132" s="144"/>
      <c r="AU132" s="69"/>
    </row>
    <row r="133" spans="10:47" s="70" customFormat="1" x14ac:dyDescent="0.3">
      <c r="J133" s="142"/>
      <c r="K133" s="142"/>
      <c r="L133" s="142"/>
      <c r="M133" s="144"/>
      <c r="N133" s="144"/>
      <c r="AU133" s="69"/>
    </row>
    <row r="134" spans="10:47" s="70" customFormat="1" x14ac:dyDescent="0.3">
      <c r="J134" s="142"/>
      <c r="K134" s="142"/>
      <c r="L134" s="142"/>
      <c r="M134" s="144"/>
      <c r="N134" s="144"/>
      <c r="AU134" s="69"/>
    </row>
    <row r="135" spans="10:47" s="70" customFormat="1" x14ac:dyDescent="0.3">
      <c r="J135" s="142"/>
      <c r="K135" s="142"/>
      <c r="L135" s="142"/>
      <c r="M135" s="144"/>
      <c r="N135" s="144"/>
      <c r="AU135" s="69"/>
    </row>
    <row r="136" spans="10:47" s="70" customFormat="1" x14ac:dyDescent="0.3">
      <c r="J136" s="142"/>
      <c r="K136" s="142"/>
      <c r="L136" s="142"/>
      <c r="M136" s="144"/>
      <c r="N136" s="144"/>
      <c r="AU136" s="69"/>
    </row>
    <row r="137" spans="10:47" s="70" customFormat="1" x14ac:dyDescent="0.3">
      <c r="J137" s="142"/>
      <c r="K137" s="142"/>
      <c r="L137" s="142"/>
      <c r="M137" s="144"/>
      <c r="N137" s="144"/>
      <c r="AU137" s="69"/>
    </row>
    <row r="138" spans="10:47" s="70" customFormat="1" x14ac:dyDescent="0.3">
      <c r="J138" s="142"/>
      <c r="K138" s="142"/>
      <c r="L138" s="142"/>
      <c r="M138" s="144"/>
      <c r="N138" s="144"/>
      <c r="AU138" s="69"/>
    </row>
    <row r="139" spans="10:47" s="70" customFormat="1" x14ac:dyDescent="0.3">
      <c r="J139" s="142"/>
      <c r="K139" s="142"/>
      <c r="L139" s="142"/>
      <c r="M139" s="144"/>
      <c r="N139" s="144"/>
      <c r="AU139" s="69"/>
    </row>
    <row r="140" spans="10:47" s="70" customFormat="1" x14ac:dyDescent="0.3">
      <c r="J140" s="142"/>
      <c r="K140" s="142"/>
      <c r="L140" s="142"/>
      <c r="M140" s="144"/>
      <c r="N140" s="144"/>
      <c r="AU140" s="69"/>
    </row>
    <row r="141" spans="10:47" s="70" customFormat="1" x14ac:dyDescent="0.3">
      <c r="J141" s="142"/>
      <c r="K141" s="142"/>
      <c r="L141" s="142"/>
      <c r="M141" s="144"/>
      <c r="N141" s="144"/>
      <c r="AU141" s="69"/>
    </row>
    <row r="142" spans="10:47" s="70" customFormat="1" x14ac:dyDescent="0.3">
      <c r="J142" s="142"/>
      <c r="K142" s="142"/>
      <c r="L142" s="142"/>
      <c r="M142" s="144"/>
      <c r="N142" s="144"/>
      <c r="AU142" s="69"/>
    </row>
    <row r="143" spans="10:47" s="70" customFormat="1" x14ac:dyDescent="0.3">
      <c r="J143" s="142"/>
      <c r="K143" s="142"/>
      <c r="L143" s="142"/>
      <c r="M143" s="144"/>
      <c r="N143" s="144"/>
      <c r="AU143" s="69"/>
    </row>
    <row r="144" spans="10:47" s="70" customFormat="1" x14ac:dyDescent="0.3">
      <c r="J144" s="142"/>
      <c r="K144" s="142"/>
      <c r="L144" s="142"/>
      <c r="M144" s="144"/>
      <c r="N144" s="144"/>
      <c r="AU144" s="69"/>
    </row>
    <row r="145" spans="10:47" s="70" customFormat="1" x14ac:dyDescent="0.3">
      <c r="J145" s="142"/>
      <c r="K145" s="142"/>
      <c r="L145" s="142"/>
      <c r="M145" s="144"/>
      <c r="N145" s="144"/>
      <c r="AU145" s="69"/>
    </row>
    <row r="146" spans="10:47" s="70" customFormat="1" x14ac:dyDescent="0.3">
      <c r="J146" s="142"/>
      <c r="K146" s="142"/>
      <c r="L146" s="142"/>
      <c r="M146" s="144"/>
      <c r="N146" s="144"/>
      <c r="AU146" s="69"/>
    </row>
    <row r="147" spans="10:47" s="70" customFormat="1" x14ac:dyDescent="0.3">
      <c r="J147" s="142"/>
      <c r="K147" s="142"/>
      <c r="L147" s="142"/>
      <c r="M147" s="144"/>
      <c r="N147" s="144"/>
      <c r="AU147" s="69"/>
    </row>
    <row r="148" spans="10:47" s="70" customFormat="1" x14ac:dyDescent="0.3">
      <c r="J148" s="142"/>
      <c r="K148" s="142"/>
      <c r="L148" s="142"/>
      <c r="M148" s="144"/>
      <c r="N148" s="144"/>
      <c r="AU148" s="69"/>
    </row>
    <row r="149" spans="10:47" s="70" customFormat="1" x14ac:dyDescent="0.3">
      <c r="J149" s="142"/>
      <c r="K149" s="142"/>
      <c r="L149" s="142"/>
      <c r="M149" s="144"/>
      <c r="N149" s="144"/>
      <c r="AU149" s="69"/>
    </row>
    <row r="150" spans="10:47" s="70" customFormat="1" x14ac:dyDescent="0.3">
      <c r="J150" s="142"/>
      <c r="K150" s="142"/>
      <c r="L150" s="142"/>
      <c r="M150" s="144"/>
      <c r="N150" s="144"/>
      <c r="AU150" s="69"/>
    </row>
    <row r="151" spans="10:47" s="70" customFormat="1" x14ac:dyDescent="0.3">
      <c r="J151" s="142"/>
      <c r="K151" s="142"/>
      <c r="L151" s="142"/>
      <c r="M151" s="144"/>
      <c r="N151" s="144"/>
      <c r="AU151" s="69"/>
    </row>
    <row r="152" spans="10:47" s="70" customFormat="1" x14ac:dyDescent="0.3">
      <c r="J152" s="142"/>
      <c r="K152" s="142"/>
      <c r="L152" s="142"/>
      <c r="M152" s="144"/>
      <c r="N152" s="144"/>
      <c r="AU152" s="69"/>
    </row>
    <row r="153" spans="10:47" s="70" customFormat="1" x14ac:dyDescent="0.3">
      <c r="J153" s="142"/>
      <c r="K153" s="142"/>
      <c r="L153" s="142"/>
      <c r="M153" s="144"/>
      <c r="N153" s="144"/>
      <c r="AU153" s="69"/>
    </row>
    <row r="154" spans="10:47" s="70" customFormat="1" x14ac:dyDescent="0.3">
      <c r="J154" s="142"/>
      <c r="K154" s="142"/>
      <c r="L154" s="142"/>
      <c r="M154" s="144"/>
      <c r="N154" s="144"/>
      <c r="AU154" s="69"/>
    </row>
    <row r="155" spans="10:47" s="70" customFormat="1" x14ac:dyDescent="0.3">
      <c r="J155" s="142"/>
      <c r="K155" s="142"/>
      <c r="L155" s="142"/>
      <c r="M155" s="144"/>
      <c r="N155" s="144"/>
      <c r="AU155" s="69"/>
    </row>
    <row r="156" spans="10:47" s="70" customFormat="1" x14ac:dyDescent="0.3">
      <c r="J156" s="142"/>
      <c r="K156" s="142"/>
      <c r="L156" s="142"/>
      <c r="M156" s="144"/>
      <c r="N156" s="144"/>
      <c r="AU156" s="69"/>
    </row>
    <row r="157" spans="10:47" s="70" customFormat="1" x14ac:dyDescent="0.3">
      <c r="J157" s="142"/>
      <c r="K157" s="142"/>
      <c r="L157" s="142"/>
      <c r="M157" s="144"/>
      <c r="N157" s="144"/>
      <c r="AU157" s="69"/>
    </row>
    <row r="158" spans="10:47" s="70" customFormat="1" x14ac:dyDescent="0.3">
      <c r="J158" s="142"/>
      <c r="K158" s="142"/>
      <c r="L158" s="142"/>
      <c r="M158" s="144"/>
      <c r="N158" s="144"/>
      <c r="AU158" s="69"/>
    </row>
    <row r="159" spans="10:47" s="70" customFormat="1" x14ac:dyDescent="0.3">
      <c r="J159" s="142"/>
      <c r="K159" s="142"/>
      <c r="L159" s="142"/>
      <c r="M159" s="144"/>
      <c r="N159" s="144"/>
      <c r="AU159" s="69"/>
    </row>
    <row r="160" spans="10:47" s="70" customFormat="1" x14ac:dyDescent="0.3">
      <c r="J160" s="142"/>
      <c r="K160" s="142"/>
      <c r="L160" s="142"/>
      <c r="M160" s="144"/>
      <c r="N160" s="144"/>
      <c r="AU160" s="69"/>
    </row>
    <row r="161" spans="1:48" s="70" customFormat="1" x14ac:dyDescent="0.3">
      <c r="J161" s="142"/>
      <c r="K161" s="142"/>
      <c r="L161" s="142"/>
      <c r="M161" s="144"/>
      <c r="N161" s="144"/>
      <c r="AU161" s="69"/>
    </row>
    <row r="162" spans="1:48" s="145" customFormat="1" x14ac:dyDescent="0.3">
      <c r="A162" s="70"/>
      <c r="B162" s="70"/>
      <c r="C162" s="70"/>
      <c r="D162" s="70"/>
      <c r="E162" s="70"/>
      <c r="F162" s="70"/>
      <c r="G162" s="70"/>
      <c r="H162" s="70"/>
      <c r="I162" s="70"/>
      <c r="J162" s="142"/>
      <c r="K162" s="142"/>
      <c r="L162" s="142"/>
      <c r="M162" s="144"/>
      <c r="N162" s="144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  <c r="AT162" s="70"/>
      <c r="AU162" s="69"/>
      <c r="AV162" s="70"/>
    </row>
    <row r="163" spans="1:48" s="145" customFormat="1" x14ac:dyDescent="0.3">
      <c r="A163" s="70"/>
      <c r="B163" s="70"/>
      <c r="C163" s="70"/>
      <c r="D163" s="70"/>
      <c r="E163" s="70"/>
      <c r="F163" s="70"/>
      <c r="G163" s="70"/>
      <c r="H163" s="70"/>
      <c r="I163" s="70"/>
      <c r="J163" s="142"/>
      <c r="K163" s="142"/>
      <c r="L163" s="142"/>
      <c r="M163" s="144"/>
      <c r="N163" s="144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69"/>
      <c r="AV163" s="70"/>
    </row>
    <row r="164" spans="1:48" s="145" customFormat="1" x14ac:dyDescent="0.3">
      <c r="A164" s="70"/>
      <c r="B164" s="70"/>
      <c r="C164" s="70"/>
      <c r="D164" s="70"/>
      <c r="E164" s="70"/>
      <c r="F164" s="70"/>
      <c r="G164" s="70"/>
      <c r="H164" s="70"/>
      <c r="I164" s="70"/>
      <c r="J164" s="142"/>
      <c r="K164" s="142"/>
      <c r="L164" s="142"/>
      <c r="M164" s="144"/>
      <c r="N164" s="144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69"/>
      <c r="AV164" s="70"/>
    </row>
    <row r="165" spans="1:48" s="145" customFormat="1" x14ac:dyDescent="0.3">
      <c r="A165" s="70"/>
      <c r="B165" s="70"/>
      <c r="C165" s="70"/>
      <c r="D165" s="70"/>
      <c r="E165" s="70"/>
      <c r="F165" s="70"/>
      <c r="G165" s="70"/>
      <c r="H165" s="70"/>
      <c r="I165" s="70"/>
      <c r="J165" s="142"/>
      <c r="K165" s="142"/>
      <c r="L165" s="142"/>
      <c r="M165" s="144"/>
      <c r="N165" s="144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69"/>
      <c r="AV165" s="70"/>
    </row>
    <row r="166" spans="1:48" s="145" customFormat="1" x14ac:dyDescent="0.3">
      <c r="A166" s="70"/>
      <c r="B166" s="70"/>
      <c r="C166" s="70"/>
      <c r="D166" s="70"/>
      <c r="E166" s="70"/>
      <c r="F166" s="70"/>
      <c r="G166" s="70"/>
      <c r="H166" s="70"/>
      <c r="I166" s="70"/>
      <c r="J166" s="142"/>
      <c r="K166" s="142"/>
      <c r="L166" s="142"/>
      <c r="M166" s="144"/>
      <c r="N166" s="144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69"/>
      <c r="AV166" s="70"/>
    </row>
    <row r="167" spans="1:48" s="145" customFormat="1" x14ac:dyDescent="0.3">
      <c r="A167" s="70"/>
      <c r="B167" s="70"/>
      <c r="C167" s="70"/>
      <c r="D167" s="70"/>
      <c r="E167" s="70"/>
      <c r="F167" s="70"/>
      <c r="G167" s="70"/>
      <c r="H167" s="70"/>
      <c r="I167" s="70"/>
      <c r="J167" s="142"/>
      <c r="K167" s="142"/>
      <c r="L167" s="142"/>
      <c r="M167" s="144"/>
      <c r="N167" s="144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69"/>
      <c r="AV167" s="70"/>
    </row>
    <row r="168" spans="1:48" s="145" customFormat="1" x14ac:dyDescent="0.3">
      <c r="A168" s="70"/>
      <c r="B168" s="70"/>
      <c r="C168" s="70"/>
      <c r="D168" s="70"/>
      <c r="E168" s="70"/>
      <c r="F168" s="70"/>
      <c r="G168" s="70"/>
      <c r="H168" s="70"/>
      <c r="I168" s="70"/>
      <c r="J168" s="142"/>
      <c r="K168" s="142"/>
      <c r="L168" s="142"/>
      <c r="M168" s="144"/>
      <c r="N168" s="144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69"/>
      <c r="AV168" s="70"/>
    </row>
    <row r="169" spans="1:48" s="145" customFormat="1" x14ac:dyDescent="0.3">
      <c r="A169" s="70"/>
      <c r="B169" s="70"/>
      <c r="C169" s="70"/>
      <c r="D169" s="70"/>
      <c r="E169" s="70"/>
      <c r="F169" s="70"/>
      <c r="G169" s="70"/>
      <c r="H169" s="70"/>
      <c r="I169" s="70"/>
      <c r="J169" s="142"/>
      <c r="K169" s="142"/>
      <c r="L169" s="142"/>
      <c r="M169" s="144"/>
      <c r="N169" s="144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69"/>
      <c r="AV169" s="70"/>
    </row>
    <row r="170" spans="1:48" s="145" customFormat="1" x14ac:dyDescent="0.3">
      <c r="A170" s="70"/>
      <c r="B170" s="70"/>
      <c r="C170" s="70"/>
      <c r="D170" s="70"/>
      <c r="E170" s="70"/>
      <c r="F170" s="70"/>
      <c r="G170" s="70"/>
      <c r="H170" s="70"/>
      <c r="I170" s="70"/>
      <c r="J170" s="142"/>
      <c r="K170" s="142"/>
      <c r="L170" s="142"/>
      <c r="M170" s="144"/>
      <c r="N170" s="144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69"/>
      <c r="AV170" s="70"/>
    </row>
    <row r="171" spans="1:48" s="145" customFormat="1" x14ac:dyDescent="0.3">
      <c r="A171" s="70"/>
      <c r="B171" s="70"/>
      <c r="C171" s="70"/>
      <c r="D171" s="70"/>
      <c r="E171" s="70"/>
      <c r="F171" s="70"/>
      <c r="G171" s="70"/>
      <c r="H171" s="70"/>
      <c r="I171" s="70"/>
      <c r="J171" s="142"/>
      <c r="K171" s="142"/>
      <c r="L171" s="142"/>
      <c r="M171" s="144"/>
      <c r="N171" s="144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69"/>
      <c r="AV171" s="70"/>
    </row>
    <row r="172" spans="1:48" s="145" customFormat="1" x14ac:dyDescent="0.3">
      <c r="A172" s="70"/>
      <c r="B172" s="70"/>
      <c r="C172" s="70"/>
      <c r="D172" s="70"/>
      <c r="E172" s="70"/>
      <c r="F172" s="70"/>
      <c r="G172" s="70"/>
      <c r="H172" s="70"/>
      <c r="I172" s="70"/>
      <c r="J172" s="142"/>
      <c r="K172" s="142"/>
      <c r="L172" s="142"/>
      <c r="M172" s="144"/>
      <c r="N172" s="144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69"/>
      <c r="AV172" s="70"/>
    </row>
    <row r="173" spans="1:48" s="145" customFormat="1" x14ac:dyDescent="0.3">
      <c r="A173" s="70"/>
      <c r="B173" s="70"/>
      <c r="C173" s="70"/>
      <c r="D173" s="70"/>
      <c r="E173" s="70"/>
      <c r="F173" s="70"/>
      <c r="G173" s="70"/>
      <c r="H173" s="70"/>
      <c r="I173" s="70"/>
      <c r="J173" s="142"/>
      <c r="K173" s="142"/>
      <c r="L173" s="142"/>
      <c r="M173" s="147"/>
      <c r="N173" s="144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69"/>
      <c r="AV173" s="70"/>
    </row>
    <row r="174" spans="1:48" s="145" customFormat="1" x14ac:dyDescent="0.3">
      <c r="A174" s="70"/>
      <c r="B174" s="70"/>
      <c r="C174" s="70"/>
      <c r="D174" s="70"/>
      <c r="E174" s="70"/>
      <c r="F174" s="70"/>
      <c r="G174" s="70"/>
      <c r="H174" s="70"/>
      <c r="I174" s="70"/>
      <c r="J174" s="146"/>
      <c r="K174" s="146"/>
      <c r="L174" s="146"/>
      <c r="M174" s="147"/>
      <c r="N174" s="144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69"/>
      <c r="AV174" s="70"/>
    </row>
    <row r="175" spans="1:48" s="145" customFormat="1" x14ac:dyDescent="0.3">
      <c r="A175" s="70"/>
      <c r="B175" s="70"/>
      <c r="C175" s="70"/>
      <c r="D175" s="70"/>
      <c r="E175" s="70"/>
      <c r="F175" s="70"/>
      <c r="G175" s="70"/>
      <c r="H175" s="70"/>
      <c r="I175" s="70"/>
      <c r="J175" s="146"/>
      <c r="K175" s="146"/>
      <c r="L175" s="146"/>
      <c r="M175" s="147"/>
      <c r="N175" s="144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69"/>
      <c r="AV175" s="70"/>
    </row>
    <row r="176" spans="1:48" s="145" customFormat="1" x14ac:dyDescent="0.3">
      <c r="A176" s="70"/>
      <c r="B176" s="70"/>
      <c r="C176" s="70"/>
      <c r="D176" s="70"/>
      <c r="E176" s="70"/>
      <c r="F176" s="70"/>
      <c r="G176" s="70"/>
      <c r="H176" s="70"/>
      <c r="I176" s="70"/>
      <c r="J176" s="146"/>
      <c r="K176" s="146"/>
      <c r="L176" s="146"/>
      <c r="M176" s="147"/>
      <c r="N176" s="144"/>
      <c r="O176" s="149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69"/>
      <c r="AV176" s="70"/>
    </row>
    <row r="177" spans="1:48" s="145" customFormat="1" x14ac:dyDescent="0.3">
      <c r="A177" s="70"/>
      <c r="B177" s="70"/>
      <c r="C177" s="70"/>
      <c r="D177" s="70"/>
      <c r="E177" s="70"/>
      <c r="F177" s="70"/>
      <c r="G177" s="70"/>
      <c r="H177" s="70"/>
      <c r="I177" s="70"/>
      <c r="J177" s="146"/>
      <c r="K177" s="146"/>
      <c r="L177" s="146"/>
      <c r="M177" s="147"/>
      <c r="N177" s="144"/>
      <c r="O177" s="149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69"/>
      <c r="AV177" s="70"/>
    </row>
    <row r="178" spans="1:48" s="145" customFormat="1" x14ac:dyDescent="0.3">
      <c r="A178" s="70"/>
      <c r="B178" s="70"/>
      <c r="C178" s="70"/>
      <c r="D178" s="70"/>
      <c r="E178" s="70"/>
      <c r="F178" s="70"/>
      <c r="G178" s="70"/>
      <c r="H178" s="70"/>
      <c r="I178" s="70"/>
      <c r="J178" s="146"/>
      <c r="K178" s="146"/>
      <c r="L178" s="146"/>
      <c r="M178" s="147"/>
      <c r="N178" s="147"/>
      <c r="O178" s="149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69"/>
      <c r="AV178" s="70"/>
    </row>
    <row r="179" spans="1:48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146"/>
      <c r="K179" s="146"/>
      <c r="L179" s="146"/>
      <c r="M179" s="147"/>
      <c r="N179" s="147"/>
      <c r="O179" s="149"/>
      <c r="AU179" s="148"/>
      <c r="AV179" s="148"/>
    </row>
    <row r="180" spans="1:48" x14ac:dyDescent="0.3">
      <c r="A180" s="70"/>
      <c r="B180" s="70"/>
      <c r="C180" s="70"/>
      <c r="D180" s="70"/>
      <c r="E180" s="70"/>
      <c r="F180" s="70"/>
      <c r="G180" s="70"/>
      <c r="H180" s="70"/>
      <c r="I180" s="70"/>
      <c r="J180" s="146"/>
      <c r="K180" s="146"/>
      <c r="L180" s="146"/>
      <c r="M180" s="147"/>
      <c r="N180" s="147"/>
      <c r="O180" s="149"/>
      <c r="AU180" s="148"/>
      <c r="AV180" s="148"/>
    </row>
    <row r="181" spans="1:48" x14ac:dyDescent="0.3">
      <c r="A181" s="70"/>
      <c r="B181" s="70"/>
      <c r="C181" s="70"/>
      <c r="D181" s="70"/>
      <c r="E181" s="70"/>
      <c r="F181" s="70"/>
      <c r="G181" s="70"/>
      <c r="H181" s="70"/>
      <c r="I181" s="70"/>
      <c r="J181" s="146"/>
      <c r="K181" s="146"/>
      <c r="L181" s="146"/>
      <c r="M181" s="147"/>
      <c r="N181" s="147"/>
      <c r="O181" s="149"/>
      <c r="AU181" s="148"/>
      <c r="AV181" s="148"/>
    </row>
    <row r="182" spans="1:48" x14ac:dyDescent="0.3">
      <c r="A182" s="70"/>
      <c r="B182" s="70"/>
      <c r="C182" s="70"/>
      <c r="D182" s="70"/>
      <c r="E182" s="70"/>
      <c r="F182" s="70"/>
      <c r="G182" s="70"/>
      <c r="H182" s="70"/>
      <c r="I182" s="70"/>
      <c r="J182" s="146"/>
      <c r="K182" s="146"/>
      <c r="L182" s="146"/>
      <c r="M182" s="147"/>
      <c r="N182" s="147"/>
      <c r="O182" s="149"/>
      <c r="AU182" s="148"/>
      <c r="AV182" s="148"/>
    </row>
    <row r="183" spans="1:48" x14ac:dyDescent="0.3">
      <c r="A183" s="149"/>
      <c r="B183" s="149"/>
      <c r="C183" s="149"/>
      <c r="D183" s="149"/>
      <c r="E183" s="149"/>
      <c r="F183" s="149"/>
      <c r="G183" s="149"/>
      <c r="H183" s="70"/>
      <c r="I183" s="70"/>
      <c r="J183" s="146"/>
      <c r="K183" s="146"/>
      <c r="L183" s="146"/>
      <c r="M183" s="147"/>
      <c r="N183" s="147"/>
      <c r="O183" s="149"/>
      <c r="AU183" s="148"/>
      <c r="AV183" s="148"/>
    </row>
    <row r="184" spans="1:48" x14ac:dyDescent="0.3">
      <c r="A184" s="149"/>
      <c r="B184" s="149"/>
      <c r="C184" s="149"/>
      <c r="D184" s="149"/>
      <c r="E184" s="149"/>
      <c r="F184" s="149"/>
      <c r="G184" s="149"/>
      <c r="H184" s="149"/>
      <c r="I184" s="149"/>
      <c r="J184" s="146"/>
      <c r="K184" s="146"/>
      <c r="L184" s="146"/>
      <c r="M184" s="147"/>
      <c r="N184" s="147"/>
      <c r="O184" s="149"/>
      <c r="AU184" s="148"/>
      <c r="AV184" s="148"/>
    </row>
    <row r="185" spans="1:48" x14ac:dyDescent="0.3">
      <c r="A185" s="149"/>
      <c r="B185" s="149"/>
      <c r="C185" s="149"/>
      <c r="D185" s="149"/>
      <c r="E185" s="149"/>
      <c r="F185" s="149"/>
      <c r="G185" s="149"/>
      <c r="H185" s="149"/>
      <c r="I185" s="149"/>
      <c r="J185" s="146"/>
      <c r="K185" s="146"/>
      <c r="L185" s="146"/>
      <c r="M185" s="147"/>
      <c r="N185" s="147"/>
      <c r="O185" s="149"/>
      <c r="AU185" s="148"/>
      <c r="AV185" s="148"/>
    </row>
    <row r="186" spans="1:48" x14ac:dyDescent="0.3">
      <c r="A186" s="149"/>
      <c r="B186" s="149"/>
      <c r="C186" s="149"/>
      <c r="D186" s="149"/>
      <c r="E186" s="149"/>
      <c r="F186" s="149"/>
      <c r="G186" s="149"/>
      <c r="H186" s="149"/>
      <c r="I186" s="149"/>
      <c r="J186" s="146"/>
      <c r="K186" s="146"/>
      <c r="L186" s="146"/>
      <c r="M186" s="147"/>
      <c r="N186" s="147"/>
      <c r="O186" s="149"/>
      <c r="AU186" s="148"/>
      <c r="AV186" s="148"/>
    </row>
    <row r="187" spans="1:48" x14ac:dyDescent="0.3">
      <c r="A187" s="149"/>
      <c r="B187" s="149"/>
      <c r="C187" s="149"/>
      <c r="D187" s="149"/>
      <c r="E187" s="149"/>
      <c r="F187" s="149"/>
      <c r="G187" s="149"/>
      <c r="H187" s="149"/>
      <c r="I187" s="149"/>
      <c r="J187" s="146"/>
      <c r="K187" s="146"/>
      <c r="L187" s="146"/>
      <c r="M187" s="147"/>
      <c r="N187" s="147"/>
      <c r="O187" s="149"/>
      <c r="AU187" s="148"/>
      <c r="AV187" s="148"/>
    </row>
    <row r="188" spans="1:48" x14ac:dyDescent="0.3">
      <c r="A188" s="149"/>
      <c r="B188" s="149"/>
      <c r="C188" s="149"/>
      <c r="D188" s="149"/>
      <c r="E188" s="149"/>
      <c r="F188" s="149"/>
      <c r="G188" s="149"/>
      <c r="H188" s="149"/>
      <c r="I188" s="149"/>
      <c r="J188" s="146"/>
      <c r="K188" s="146"/>
      <c r="L188" s="146"/>
      <c r="M188" s="147"/>
      <c r="N188" s="147"/>
      <c r="AU188" s="148"/>
      <c r="AV188" s="148"/>
    </row>
    <row r="189" spans="1:48" x14ac:dyDescent="0.3">
      <c r="A189" s="149"/>
      <c r="B189" s="149"/>
      <c r="C189" s="149"/>
      <c r="D189" s="149"/>
      <c r="E189" s="149"/>
      <c r="F189" s="149"/>
      <c r="G189" s="149"/>
      <c r="H189" s="149"/>
      <c r="I189" s="149"/>
      <c r="J189" s="146"/>
      <c r="K189" s="146"/>
      <c r="L189" s="146"/>
      <c r="M189" s="147"/>
      <c r="N189" s="147"/>
      <c r="AU189" s="148"/>
      <c r="AV189" s="148"/>
    </row>
    <row r="190" spans="1:48" x14ac:dyDescent="0.3">
      <c r="A190" s="149"/>
      <c r="B190" s="149"/>
      <c r="C190" s="149"/>
      <c r="D190" s="149"/>
      <c r="E190" s="149"/>
      <c r="F190" s="149"/>
      <c r="G190" s="149"/>
      <c r="H190" s="149"/>
      <c r="I190" s="149"/>
      <c r="J190" s="146"/>
      <c r="K190" s="146"/>
      <c r="L190" s="146"/>
      <c r="N190" s="147"/>
      <c r="AU190" s="148"/>
      <c r="AV190" s="148"/>
    </row>
    <row r="191" spans="1:48" x14ac:dyDescent="0.3">
      <c r="A191" s="149"/>
      <c r="B191" s="149"/>
      <c r="C191" s="149"/>
      <c r="D191" s="149"/>
      <c r="E191" s="149"/>
      <c r="F191" s="149"/>
      <c r="G191" s="149"/>
      <c r="H191" s="149"/>
      <c r="I191" s="149"/>
      <c r="N191" s="147"/>
    </row>
    <row r="192" spans="1:48" x14ac:dyDescent="0.3">
      <c r="A192" s="149"/>
      <c r="B192" s="149"/>
      <c r="C192" s="149"/>
      <c r="D192" s="149"/>
      <c r="E192" s="149"/>
      <c r="F192" s="149"/>
      <c r="G192" s="149"/>
      <c r="H192" s="149"/>
      <c r="I192" s="149"/>
      <c r="N192" s="147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69"/>
      <c r="AJ192" s="69"/>
      <c r="AK192" s="69"/>
      <c r="AL192" s="69"/>
      <c r="AM192" s="69"/>
      <c r="AN192" s="69"/>
      <c r="AO192" s="69"/>
      <c r="AP192" s="69"/>
      <c r="AQ192" s="69"/>
      <c r="AR192" s="69"/>
      <c r="AS192" s="69"/>
      <c r="AT192" s="69"/>
      <c r="AU192" s="148"/>
      <c r="AV192" s="148"/>
    </row>
    <row r="193" spans="1:14" x14ac:dyDescent="0.3">
      <c r="A193" s="149"/>
      <c r="B193" s="149"/>
      <c r="C193" s="149"/>
      <c r="D193" s="149"/>
      <c r="E193" s="149"/>
      <c r="F193" s="149"/>
      <c r="G193" s="149"/>
      <c r="H193" s="149"/>
      <c r="I193" s="149"/>
      <c r="N193" s="147"/>
    </row>
    <row r="194" spans="1:14" x14ac:dyDescent="0.3">
      <c r="A194" s="149"/>
      <c r="B194" s="149"/>
      <c r="C194" s="149"/>
      <c r="D194" s="149"/>
      <c r="E194" s="149"/>
      <c r="F194" s="149"/>
      <c r="G194" s="149"/>
      <c r="H194" s="149"/>
      <c r="I194" s="149"/>
      <c r="M194" s="148"/>
      <c r="N194" s="147"/>
    </row>
    <row r="195" spans="1:14" x14ac:dyDescent="0.3">
      <c r="A195" s="149"/>
      <c r="B195" s="149"/>
      <c r="C195" s="149"/>
      <c r="D195" s="149"/>
      <c r="E195" s="149"/>
      <c r="F195" s="149"/>
      <c r="G195" s="149"/>
      <c r="H195" s="149"/>
      <c r="I195" s="149"/>
    </row>
    <row r="196" spans="1:14" x14ac:dyDescent="0.3">
      <c r="A196" s="149"/>
      <c r="B196" s="149"/>
      <c r="C196" s="149"/>
      <c r="D196" s="149"/>
      <c r="E196" s="149"/>
      <c r="F196" s="149"/>
      <c r="G196" s="149"/>
      <c r="H196" s="149"/>
      <c r="I196" s="149"/>
    </row>
    <row r="197" spans="1:14" x14ac:dyDescent="0.3">
      <c r="A197" s="149"/>
      <c r="B197" s="149"/>
      <c r="C197" s="149"/>
      <c r="D197" s="149"/>
      <c r="E197" s="149"/>
      <c r="F197" s="149"/>
      <c r="G197" s="149"/>
      <c r="H197" s="149"/>
      <c r="I197" s="149"/>
    </row>
    <row r="198" spans="1:14" x14ac:dyDescent="0.3">
      <c r="A198" s="149"/>
      <c r="B198" s="149"/>
      <c r="C198" s="149"/>
      <c r="D198" s="149"/>
      <c r="E198" s="149"/>
      <c r="F198" s="149"/>
      <c r="G198" s="149"/>
      <c r="H198" s="149"/>
      <c r="I198" s="149"/>
    </row>
    <row r="199" spans="1:14" x14ac:dyDescent="0.3">
      <c r="A199" s="149"/>
      <c r="B199" s="149"/>
      <c r="C199" s="149"/>
      <c r="D199" s="149"/>
      <c r="E199" s="149"/>
      <c r="F199" s="149"/>
      <c r="G199" s="149"/>
      <c r="H199" s="149"/>
      <c r="I199" s="149"/>
    </row>
    <row r="200" spans="1:14" x14ac:dyDescent="0.3">
      <c r="H200" s="149"/>
      <c r="I200" s="149"/>
    </row>
    <row r="204" spans="1:14" x14ac:dyDescent="0.3">
      <c r="J204" s="148"/>
      <c r="K204" s="148"/>
      <c r="L204" s="148"/>
    </row>
    <row r="1048532" spans="1:59" x14ac:dyDescent="0.3">
      <c r="O1048532" s="57"/>
    </row>
    <row r="1048536" spans="1:59" s="70" customFormat="1" x14ac:dyDescent="0.3">
      <c r="A1048536" s="148"/>
      <c r="B1048536" s="148"/>
      <c r="C1048536" s="148"/>
      <c r="D1048536" s="148"/>
      <c r="E1048536" s="148"/>
      <c r="F1048536" s="148"/>
      <c r="G1048536" s="148"/>
      <c r="H1048536" s="148"/>
      <c r="I1048536" s="148"/>
      <c r="J1048536" s="150"/>
      <c r="K1048536" s="150"/>
      <c r="L1048536" s="150"/>
      <c r="M1048536" s="150"/>
      <c r="N1048536" s="150"/>
      <c r="O1048536" s="148"/>
      <c r="AU1048536" s="69"/>
      <c r="AV1048536" s="69"/>
      <c r="AW1048536" s="148"/>
      <c r="AX1048536" s="148"/>
      <c r="AY1048536" s="148"/>
      <c r="AZ1048536" s="148"/>
      <c r="BA1048536" s="148"/>
      <c r="BB1048536" s="148"/>
      <c r="BC1048536" s="148"/>
      <c r="BD1048536" s="148"/>
      <c r="BE1048536" s="148"/>
      <c r="BF1048536" s="148"/>
      <c r="BG1048536" s="148"/>
    </row>
  </sheetData>
  <mergeCells count="43">
    <mergeCell ref="A1:O1"/>
    <mergeCell ref="A2:O2"/>
    <mergeCell ref="A31:B31"/>
    <mergeCell ref="A32:O32"/>
    <mergeCell ref="M43:O43"/>
    <mergeCell ref="D33:I33"/>
    <mergeCell ref="D34:I34"/>
    <mergeCell ref="A35:I35"/>
    <mergeCell ref="M35:O35"/>
    <mergeCell ref="A36:M36"/>
    <mergeCell ref="A37:O37"/>
    <mergeCell ref="D38:I38"/>
    <mergeCell ref="D39:I39"/>
    <mergeCell ref="D40:I40"/>
    <mergeCell ref="A41:I41"/>
    <mergeCell ref="A43:D43"/>
    <mergeCell ref="M44:N44"/>
    <mergeCell ref="M45:N45"/>
    <mergeCell ref="M46:O47"/>
    <mergeCell ref="M48:O48"/>
    <mergeCell ref="M49:N49"/>
    <mergeCell ref="M58:N58"/>
    <mergeCell ref="M55:N55"/>
    <mergeCell ref="M50:N50"/>
    <mergeCell ref="M51:N51"/>
    <mergeCell ref="M52:N52"/>
    <mergeCell ref="M53:N53"/>
    <mergeCell ref="E43:G97"/>
    <mergeCell ref="M65:N65"/>
    <mergeCell ref="M66:N66"/>
    <mergeCell ref="M67:N67"/>
    <mergeCell ref="M68:N68"/>
    <mergeCell ref="M69:O69"/>
    <mergeCell ref="M70:N70"/>
    <mergeCell ref="M59:N59"/>
    <mergeCell ref="M60:N60"/>
    <mergeCell ref="M62:N62"/>
    <mergeCell ref="M63:N63"/>
    <mergeCell ref="M64:N64"/>
    <mergeCell ref="M54:N54"/>
    <mergeCell ref="M56:N56"/>
    <mergeCell ref="M57:N57"/>
    <mergeCell ref="M61:N61"/>
  </mergeCells>
  <pageMargins left="0" right="0" top="0" bottom="0" header="0.31496062992125984" footer="0.31496062992125984"/>
  <pageSetup paperSize="9" scale="1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538CF-17A4-4135-9BB2-4DCADF4C904D}">
  <sheetPr>
    <pageSetUpPr fitToPage="1"/>
  </sheetPr>
  <dimension ref="A1:BG1048540"/>
  <sheetViews>
    <sheetView topLeftCell="G28" zoomScale="70" zoomScaleNormal="70" workbookViewId="0">
      <selection activeCell="M54" sqref="M54:N54"/>
    </sheetView>
  </sheetViews>
  <sheetFormatPr defaultColWidth="9.109375" defaultRowHeight="13.8" x14ac:dyDescent="0.3"/>
  <cols>
    <col min="1" max="1" width="27.6640625" style="148" customWidth="1"/>
    <col min="2" max="2" width="13.109375" style="148" bestFit="1" customWidth="1"/>
    <col min="3" max="3" width="19.88671875" style="148" customWidth="1"/>
    <col min="4" max="4" width="19.44140625" style="148" customWidth="1"/>
    <col min="5" max="5" width="21.33203125" style="148" customWidth="1"/>
    <col min="6" max="7" width="19.109375" style="148" customWidth="1"/>
    <col min="8" max="8" width="17.5546875" style="148" customWidth="1"/>
    <col min="9" max="9" width="15.5546875" style="148" bestFit="1" customWidth="1"/>
    <col min="10" max="10" width="21.44140625" style="150" customWidth="1"/>
    <col min="11" max="11" width="17.109375" style="150" bestFit="1" customWidth="1"/>
    <col min="12" max="12" width="18" style="150" bestFit="1" customWidth="1"/>
    <col min="13" max="13" width="121.44140625" style="150" bestFit="1" customWidth="1"/>
    <col min="14" max="14" width="9.5546875" style="150" customWidth="1"/>
    <col min="15" max="15" width="18.5546875" style="148" customWidth="1"/>
    <col min="16" max="16" width="40.109375" style="70" bestFit="1" customWidth="1"/>
    <col min="17" max="17" width="13.109375" style="70" bestFit="1" customWidth="1"/>
    <col min="18" max="46" width="9.109375" style="70"/>
    <col min="47" max="48" width="9.109375" style="69"/>
    <col min="49" max="16384" width="9.109375" style="148"/>
  </cols>
  <sheetData>
    <row r="1" spans="1:41" s="10" customForma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</row>
    <row r="2" spans="1:41" s="10" customFormat="1" ht="28.5" customHeight="1" x14ac:dyDescent="0.3">
      <c r="A2" s="521" t="s">
        <v>630</v>
      </c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</row>
    <row r="3" spans="1:41" s="10" customFormat="1" ht="28.5" customHeight="1" x14ac:dyDescent="0.3">
      <c r="A3" s="83" t="s">
        <v>3</v>
      </c>
      <c r="B3" s="83" t="s">
        <v>0</v>
      </c>
      <c r="C3" s="84" t="s">
        <v>1</v>
      </c>
      <c r="D3" s="84" t="s">
        <v>68</v>
      </c>
      <c r="E3" s="84" t="s">
        <v>69</v>
      </c>
      <c r="F3" s="85" t="s">
        <v>2</v>
      </c>
      <c r="G3" s="85" t="s">
        <v>592</v>
      </c>
      <c r="H3" s="84" t="s">
        <v>6</v>
      </c>
      <c r="I3" s="84" t="s">
        <v>7</v>
      </c>
      <c r="J3" s="84" t="s">
        <v>4</v>
      </c>
      <c r="K3" s="84" t="s">
        <v>5</v>
      </c>
      <c r="L3" s="84" t="s">
        <v>70</v>
      </c>
      <c r="M3" s="83" t="s">
        <v>59</v>
      </c>
      <c r="N3" s="86" t="s">
        <v>8</v>
      </c>
      <c r="O3" s="86" t="s">
        <v>10</v>
      </c>
    </row>
    <row r="4" spans="1:41" s="11" customFormat="1" x14ac:dyDescent="0.3">
      <c r="A4" s="88" t="s">
        <v>602</v>
      </c>
      <c r="B4" s="90">
        <v>18</v>
      </c>
      <c r="C4" s="2">
        <f>'GERAL 2023'!G20</f>
        <v>640</v>
      </c>
      <c r="D4" s="2">
        <v>0</v>
      </c>
      <c r="E4" s="5">
        <f>C4-D4</f>
        <v>640</v>
      </c>
      <c r="F4" s="2">
        <f>25</f>
        <v>25</v>
      </c>
      <c r="G4" s="2">
        <f>(1301.4/27)</f>
        <v>48.2</v>
      </c>
      <c r="H4" s="2">
        <f>D83</f>
        <v>1.2516548463356973</v>
      </c>
      <c r="I4" s="2">
        <v>19.809999999999999</v>
      </c>
      <c r="J4" s="109">
        <f>SUM(E4:I4)</f>
        <v>734.26165484633566</v>
      </c>
      <c r="K4" s="2">
        <f>60%*(C4+F4)</f>
        <v>399</v>
      </c>
      <c r="L4" s="2">
        <f>J4-K4</f>
        <v>335.26165484633566</v>
      </c>
      <c r="M4" s="90" t="s">
        <v>617</v>
      </c>
      <c r="N4" s="3">
        <v>10</v>
      </c>
      <c r="O4" s="3">
        <v>11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</row>
    <row r="5" spans="1:41" s="10" customFormat="1" x14ac:dyDescent="0.3">
      <c r="A5" s="518" t="s">
        <v>4</v>
      </c>
      <c r="B5" s="518"/>
      <c r="C5" s="109">
        <f t="shared" ref="C5:L5" si="0">SUM(C4:C4)</f>
        <v>640</v>
      </c>
      <c r="D5" s="109">
        <f t="shared" si="0"/>
        <v>0</v>
      </c>
      <c r="E5" s="109">
        <f t="shared" si="0"/>
        <v>640</v>
      </c>
      <c r="F5" s="109">
        <f t="shared" si="0"/>
        <v>25</v>
      </c>
      <c r="G5" s="109">
        <f t="shared" si="0"/>
        <v>48.2</v>
      </c>
      <c r="H5" s="109">
        <f t="shared" si="0"/>
        <v>1.2516548463356973</v>
      </c>
      <c r="I5" s="109">
        <f t="shared" si="0"/>
        <v>19.809999999999999</v>
      </c>
      <c r="J5" s="109">
        <f t="shared" si="0"/>
        <v>734.26165484633566</v>
      </c>
      <c r="K5" s="109">
        <f t="shared" si="0"/>
        <v>399</v>
      </c>
      <c r="L5" s="109">
        <f t="shared" si="0"/>
        <v>335.26165484633566</v>
      </c>
      <c r="M5" s="90"/>
      <c r="N5" s="3"/>
      <c r="O5" s="3"/>
    </row>
    <row r="6" spans="1:41" s="10" customFormat="1" ht="28.5" customHeight="1" x14ac:dyDescent="0.3">
      <c r="A6" s="521" t="s">
        <v>632</v>
      </c>
      <c r="B6" s="521"/>
      <c r="C6" s="521"/>
      <c r="D6" s="521"/>
      <c r="E6" s="521"/>
      <c r="F6" s="521"/>
      <c r="G6" s="521"/>
      <c r="H6" s="521"/>
      <c r="I6" s="521"/>
      <c r="J6" s="521"/>
      <c r="K6" s="521"/>
      <c r="L6" s="521"/>
      <c r="M6" s="521"/>
      <c r="N6" s="521"/>
      <c r="O6" s="521"/>
    </row>
    <row r="7" spans="1:41" s="11" customFormat="1" ht="34.5" customHeight="1" x14ac:dyDescent="0.3">
      <c r="A7" s="83" t="s">
        <v>3</v>
      </c>
      <c r="B7" s="83" t="s">
        <v>0</v>
      </c>
      <c r="C7" s="84" t="s">
        <v>1</v>
      </c>
      <c r="D7" s="84" t="s">
        <v>68</v>
      </c>
      <c r="E7" s="84" t="s">
        <v>69</v>
      </c>
      <c r="F7" s="85" t="s">
        <v>2</v>
      </c>
      <c r="G7" s="85" t="s">
        <v>592</v>
      </c>
      <c r="H7" s="84" t="s">
        <v>6</v>
      </c>
      <c r="I7" s="84" t="s">
        <v>7</v>
      </c>
      <c r="J7" s="84" t="s">
        <v>4</v>
      </c>
      <c r="K7" s="84" t="s">
        <v>5</v>
      </c>
      <c r="L7" s="84" t="s">
        <v>70</v>
      </c>
      <c r="M7" s="83" t="s">
        <v>59</v>
      </c>
      <c r="N7" s="86" t="s">
        <v>8</v>
      </c>
      <c r="O7" s="86" t="s">
        <v>10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</row>
    <row r="8" spans="1:41" s="15" customFormat="1" x14ac:dyDescent="0.3">
      <c r="A8" s="88" t="s">
        <v>397</v>
      </c>
      <c r="B8" s="90">
        <v>1</v>
      </c>
      <c r="C8" s="2">
        <f>'GERAL 2022'!G35</f>
        <v>580</v>
      </c>
      <c r="D8" s="2">
        <v>0</v>
      </c>
      <c r="E8" s="2">
        <f t="shared" ref="E8:E24" si="1">C8-D8</f>
        <v>580</v>
      </c>
      <c r="F8" s="5">
        <f>50/31*16</f>
        <v>25.806451612903224</v>
      </c>
      <c r="G8" s="2">
        <f t="shared" ref="G8:G24" si="2">1301.4/27</f>
        <v>48.2</v>
      </c>
      <c r="H8" s="2">
        <f>D49</f>
        <v>1.2516548463356973</v>
      </c>
      <c r="I8" s="2">
        <v>0</v>
      </c>
      <c r="J8" s="109">
        <f t="shared" ref="J8:J34" si="3">SUM(E8:I8)</f>
        <v>655.25810645923889</v>
      </c>
      <c r="K8" s="2">
        <f>7%*J8</f>
        <v>45.868067452146725</v>
      </c>
      <c r="L8" s="2">
        <f>J8-K8</f>
        <v>609.39003900709213</v>
      </c>
      <c r="M8" s="5" t="s">
        <v>628</v>
      </c>
      <c r="N8" s="3">
        <v>10</v>
      </c>
      <c r="O8" s="3">
        <v>11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 spans="1:41" s="96" customFormat="1" x14ac:dyDescent="0.3">
      <c r="A9" s="90" t="s">
        <v>434</v>
      </c>
      <c r="B9" s="4">
        <v>2</v>
      </c>
      <c r="C9" s="5">
        <f>'GERAL 2022'!G4</f>
        <v>580</v>
      </c>
      <c r="D9" s="5">
        <v>0</v>
      </c>
      <c r="E9" s="5">
        <f t="shared" si="1"/>
        <v>580</v>
      </c>
      <c r="F9" s="5">
        <v>50</v>
      </c>
      <c r="G9" s="2">
        <f t="shared" si="2"/>
        <v>48.2</v>
      </c>
      <c r="H9" s="2">
        <f>D51</f>
        <v>1.2516548463356973</v>
      </c>
      <c r="I9" s="5">
        <v>0</v>
      </c>
      <c r="J9" s="109">
        <f t="shared" si="3"/>
        <v>679.45165484633571</v>
      </c>
      <c r="K9" s="2">
        <f t="shared" ref="K9:K34" si="4">7%*J9</f>
        <v>47.561615839243501</v>
      </c>
      <c r="L9" s="2">
        <f t="shared" ref="L9:L33" si="5">J9-K9</f>
        <v>631.89003900709224</v>
      </c>
      <c r="M9" s="90" t="s">
        <v>618</v>
      </c>
      <c r="N9" s="3">
        <v>10</v>
      </c>
      <c r="O9" s="3">
        <v>11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16"/>
      <c r="AL9" s="17"/>
      <c r="AM9" s="17"/>
      <c r="AN9" s="17"/>
      <c r="AO9" s="17"/>
    </row>
    <row r="10" spans="1:41" s="6" customFormat="1" x14ac:dyDescent="0.3">
      <c r="A10" s="90" t="s">
        <v>438</v>
      </c>
      <c r="B10" s="4">
        <v>3</v>
      </c>
      <c r="C10" s="5">
        <f>'GERAL 2022'!G5</f>
        <v>550</v>
      </c>
      <c r="D10" s="5">
        <v>0</v>
      </c>
      <c r="E10" s="5">
        <f t="shared" si="1"/>
        <v>550</v>
      </c>
      <c r="F10" s="5">
        <v>0</v>
      </c>
      <c r="G10" s="2">
        <f t="shared" si="2"/>
        <v>48.2</v>
      </c>
      <c r="H10" s="2">
        <f>D53</f>
        <v>1.2516548463356973</v>
      </c>
      <c r="I10" s="5">
        <v>0</v>
      </c>
      <c r="J10" s="109">
        <f t="shared" si="3"/>
        <v>599.45165484633571</v>
      </c>
      <c r="K10" s="2">
        <f t="shared" si="4"/>
        <v>41.961615839243507</v>
      </c>
      <c r="L10" s="2">
        <f t="shared" si="5"/>
        <v>557.49003900709226</v>
      </c>
      <c r="M10" s="90" t="s">
        <v>618</v>
      </c>
      <c r="N10" s="3">
        <v>10</v>
      </c>
      <c r="O10" s="3">
        <v>11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</row>
    <row r="11" spans="1:41" s="15" customFormat="1" x14ac:dyDescent="0.3">
      <c r="A11" s="90" t="s">
        <v>263</v>
      </c>
      <c r="B11" s="90">
        <v>4</v>
      </c>
      <c r="C11" s="2">
        <f>'GERAL 2022'!G16</f>
        <v>550</v>
      </c>
      <c r="D11" s="2">
        <v>0</v>
      </c>
      <c r="E11" s="2">
        <f t="shared" si="1"/>
        <v>550</v>
      </c>
      <c r="F11" s="2">
        <v>50</v>
      </c>
      <c r="G11" s="2">
        <f t="shared" si="2"/>
        <v>48.2</v>
      </c>
      <c r="H11" s="2">
        <f>D55</f>
        <v>1.2516548463356973</v>
      </c>
      <c r="I11" s="2">
        <v>0</v>
      </c>
      <c r="J11" s="109">
        <f t="shared" si="3"/>
        <v>649.45165484633571</v>
      </c>
      <c r="K11" s="2">
        <f t="shared" si="4"/>
        <v>45.461615839243507</v>
      </c>
      <c r="L11" s="2">
        <f t="shared" si="5"/>
        <v>603.99003900709226</v>
      </c>
      <c r="M11" s="90" t="s">
        <v>618</v>
      </c>
      <c r="N11" s="3">
        <v>10</v>
      </c>
      <c r="O11" s="4">
        <v>11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</row>
    <row r="12" spans="1:41" s="15" customFormat="1" x14ac:dyDescent="0.3">
      <c r="A12" s="95" t="s">
        <v>625</v>
      </c>
      <c r="B12" s="90">
        <v>5</v>
      </c>
      <c r="C12" s="2">
        <f>'GERAL 2023'!G7/31*6</f>
        <v>112.25806451612904</v>
      </c>
      <c r="D12" s="2">
        <v>0</v>
      </c>
      <c r="E12" s="2">
        <f>C12-D12</f>
        <v>112.25806451612904</v>
      </c>
      <c r="F12" s="2">
        <f>50/31*6</f>
        <v>9.6774193548387082</v>
      </c>
      <c r="G12" s="2">
        <f>(1301.4/27)/31*6</f>
        <v>9.3290322580645171</v>
      </c>
      <c r="H12" s="2">
        <f>D57/31*6</f>
        <v>0.24225577671013496</v>
      </c>
      <c r="I12" s="2">
        <v>19.68</v>
      </c>
      <c r="J12" s="109">
        <f t="shared" si="3"/>
        <v>151.1867719057424</v>
      </c>
      <c r="K12" s="2">
        <f t="shared" si="4"/>
        <v>10.583074033401969</v>
      </c>
      <c r="L12" s="2">
        <f t="shared" si="5"/>
        <v>140.60369787234043</v>
      </c>
      <c r="M12" s="90" t="s">
        <v>626</v>
      </c>
      <c r="N12" s="3">
        <v>10</v>
      </c>
      <c r="O12" s="3">
        <v>11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</row>
    <row r="13" spans="1:41" s="11" customFormat="1" x14ac:dyDescent="0.3">
      <c r="A13" s="95" t="s">
        <v>627</v>
      </c>
      <c r="B13" s="90">
        <v>6</v>
      </c>
      <c r="C13" s="5">
        <f>'GERAL 2023'!G8/31</f>
        <v>21.93548387096774</v>
      </c>
      <c r="D13" s="5">
        <v>0</v>
      </c>
      <c r="E13" s="2">
        <f>C13-D13</f>
        <v>21.93548387096774</v>
      </c>
      <c r="F13" s="2">
        <f>100/31</f>
        <v>3.225806451612903</v>
      </c>
      <c r="G13" s="2">
        <f>48.2/31</f>
        <v>1.5548387096774194</v>
      </c>
      <c r="H13" s="2">
        <f>D59/31</f>
        <v>5.6526347899031493E-2</v>
      </c>
      <c r="I13" s="2">
        <v>19.91</v>
      </c>
      <c r="J13" s="109">
        <f t="shared" si="3"/>
        <v>46.682655380157094</v>
      </c>
      <c r="K13" s="2">
        <f>7%*J13</f>
        <v>3.2677858766109971</v>
      </c>
      <c r="L13" s="2">
        <f>J13-K13</f>
        <v>43.4148695035461</v>
      </c>
      <c r="M13" s="90" t="s">
        <v>629</v>
      </c>
      <c r="N13" s="3">
        <v>10</v>
      </c>
      <c r="O13" s="3">
        <v>11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</row>
    <row r="14" spans="1:41" s="15" customFormat="1" ht="14.25" customHeight="1" x14ac:dyDescent="0.3">
      <c r="A14" s="90" t="s">
        <v>442</v>
      </c>
      <c r="B14" s="90">
        <v>7</v>
      </c>
      <c r="C14" s="2">
        <f>'GERAL 2022'!G9</f>
        <v>580</v>
      </c>
      <c r="D14" s="2">
        <v>0</v>
      </c>
      <c r="E14" s="5">
        <f t="shared" si="1"/>
        <v>580</v>
      </c>
      <c r="F14" s="2">
        <v>50</v>
      </c>
      <c r="G14" s="2">
        <f t="shared" si="2"/>
        <v>48.2</v>
      </c>
      <c r="H14" s="2">
        <f>D61</f>
        <v>1.2516548463356973</v>
      </c>
      <c r="I14" s="2">
        <v>0</v>
      </c>
      <c r="J14" s="109">
        <f t="shared" si="3"/>
        <v>679.45165484633571</v>
      </c>
      <c r="K14" s="2">
        <f t="shared" si="4"/>
        <v>47.561615839243501</v>
      </c>
      <c r="L14" s="2">
        <f t="shared" si="5"/>
        <v>631.89003900709224</v>
      </c>
      <c r="M14" s="90" t="s">
        <v>618</v>
      </c>
      <c r="N14" s="3">
        <v>10</v>
      </c>
      <c r="O14" s="3">
        <v>11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</row>
    <row r="15" spans="1:41" s="15" customFormat="1" x14ac:dyDescent="0.3">
      <c r="A15" s="90" t="s">
        <v>493</v>
      </c>
      <c r="B15" s="90">
        <v>8</v>
      </c>
      <c r="C15" s="2">
        <f>'GERAL 2022'!G37</f>
        <v>580</v>
      </c>
      <c r="D15" s="2">
        <v>0</v>
      </c>
      <c r="E15" s="5">
        <f t="shared" si="1"/>
        <v>580</v>
      </c>
      <c r="F15" s="2">
        <v>50</v>
      </c>
      <c r="G15" s="2">
        <f t="shared" si="2"/>
        <v>48.2</v>
      </c>
      <c r="H15" s="2">
        <f>D63</f>
        <v>1.2516548463356973</v>
      </c>
      <c r="I15" s="2">
        <f>D62</f>
        <v>19.696666666666669</v>
      </c>
      <c r="J15" s="109">
        <f t="shared" si="3"/>
        <v>699.14832151300243</v>
      </c>
      <c r="K15" s="2">
        <f t="shared" si="4"/>
        <v>48.940382505910172</v>
      </c>
      <c r="L15" s="2">
        <f t="shared" si="5"/>
        <v>650.20793900709225</v>
      </c>
      <c r="M15" s="90" t="s">
        <v>619</v>
      </c>
      <c r="N15" s="125">
        <v>10</v>
      </c>
      <c r="O15" s="3">
        <v>11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</row>
    <row r="16" spans="1:41" s="15" customFormat="1" ht="14.25" customHeight="1" x14ac:dyDescent="0.3">
      <c r="A16" s="90" t="s">
        <v>246</v>
      </c>
      <c r="B16" s="90">
        <v>9</v>
      </c>
      <c r="C16" s="2">
        <f>'GERAL 2022'!G11+(5.45129%*580)</f>
        <v>611.617482</v>
      </c>
      <c r="D16" s="2">
        <v>0</v>
      </c>
      <c r="E16" s="5">
        <f t="shared" si="1"/>
        <v>611.617482</v>
      </c>
      <c r="F16" s="2">
        <f>25</f>
        <v>25</v>
      </c>
      <c r="G16" s="2">
        <f t="shared" si="2"/>
        <v>48.2</v>
      </c>
      <c r="H16" s="2">
        <f>D65</f>
        <v>1.2516548463356973</v>
      </c>
      <c r="I16" s="2">
        <v>19.68</v>
      </c>
      <c r="J16" s="109">
        <f t="shared" si="3"/>
        <v>705.74913684633566</v>
      </c>
      <c r="K16" s="2">
        <f t="shared" si="4"/>
        <v>49.402439579243499</v>
      </c>
      <c r="L16" s="2">
        <f t="shared" si="5"/>
        <v>656.34669726709217</v>
      </c>
      <c r="M16" s="90" t="s">
        <v>624</v>
      </c>
      <c r="N16" s="125">
        <v>10</v>
      </c>
      <c r="O16" s="3">
        <v>11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</row>
    <row r="17" spans="1:46" s="69" customFormat="1" x14ac:dyDescent="0.3">
      <c r="A17" s="4" t="s">
        <v>402</v>
      </c>
      <c r="B17" s="4">
        <v>10</v>
      </c>
      <c r="C17" s="2">
        <f>'GERAL 2022'!G38</f>
        <v>550</v>
      </c>
      <c r="D17" s="2">
        <v>0</v>
      </c>
      <c r="E17" s="5">
        <f t="shared" si="1"/>
        <v>550</v>
      </c>
      <c r="F17" s="2">
        <v>50</v>
      </c>
      <c r="G17" s="2">
        <f t="shared" si="2"/>
        <v>48.2</v>
      </c>
      <c r="H17" s="2">
        <f>D67</f>
        <v>1.2516548463356973</v>
      </c>
      <c r="I17" s="2">
        <v>0</v>
      </c>
      <c r="J17" s="109">
        <f t="shared" si="3"/>
        <v>649.45165484633571</v>
      </c>
      <c r="K17" s="2">
        <f t="shared" si="4"/>
        <v>45.461615839243507</v>
      </c>
      <c r="L17" s="2">
        <f t="shared" si="5"/>
        <v>603.99003900709226</v>
      </c>
      <c r="M17" s="90" t="s">
        <v>618</v>
      </c>
      <c r="N17" s="3">
        <v>10</v>
      </c>
      <c r="O17" s="4">
        <v>11</v>
      </c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</row>
    <row r="18" spans="1:46" s="69" customFormat="1" x14ac:dyDescent="0.3">
      <c r="A18" s="4" t="s">
        <v>321</v>
      </c>
      <c r="B18" s="4">
        <v>11</v>
      </c>
      <c r="C18" s="2">
        <f>'GERAL 2022'!G13</f>
        <v>550</v>
      </c>
      <c r="D18" s="2">
        <v>0</v>
      </c>
      <c r="E18" s="5">
        <f t="shared" si="1"/>
        <v>550</v>
      </c>
      <c r="F18" s="2">
        <v>0</v>
      </c>
      <c r="G18" s="2">
        <f t="shared" si="2"/>
        <v>48.2</v>
      </c>
      <c r="H18" s="2">
        <f>D69</f>
        <v>1.2516548463356973</v>
      </c>
      <c r="I18" s="2">
        <v>0</v>
      </c>
      <c r="J18" s="109">
        <f t="shared" si="3"/>
        <v>599.45165484633571</v>
      </c>
      <c r="K18" s="2">
        <f t="shared" si="4"/>
        <v>41.961615839243507</v>
      </c>
      <c r="L18" s="2">
        <f t="shared" si="5"/>
        <v>557.49003900709226</v>
      </c>
      <c r="M18" s="5" t="s">
        <v>618</v>
      </c>
      <c r="N18" s="3">
        <v>10</v>
      </c>
      <c r="O18" s="4">
        <v>11</v>
      </c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</row>
    <row r="19" spans="1:46" s="15" customFormat="1" x14ac:dyDescent="0.3">
      <c r="A19" s="90" t="s">
        <v>566</v>
      </c>
      <c r="B19" s="90">
        <v>12</v>
      </c>
      <c r="C19" s="2">
        <f>'GERAL 2022'!G14</f>
        <v>550</v>
      </c>
      <c r="D19" s="2">
        <v>0</v>
      </c>
      <c r="E19" s="5">
        <f t="shared" si="1"/>
        <v>550</v>
      </c>
      <c r="F19" s="5">
        <v>25</v>
      </c>
      <c r="G19" s="2">
        <f t="shared" si="2"/>
        <v>48.2</v>
      </c>
      <c r="H19" s="2">
        <f>D71</f>
        <v>1.2516548463356973</v>
      </c>
      <c r="I19" s="5">
        <v>0</v>
      </c>
      <c r="J19" s="109">
        <f t="shared" si="3"/>
        <v>624.45165484633571</v>
      </c>
      <c r="K19" s="2">
        <f t="shared" si="4"/>
        <v>43.711615839243507</v>
      </c>
      <c r="L19" s="2">
        <f t="shared" si="5"/>
        <v>580.74003900709226</v>
      </c>
      <c r="M19" s="90" t="s">
        <v>618</v>
      </c>
      <c r="N19" s="3">
        <v>10</v>
      </c>
      <c r="O19" s="3">
        <v>11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</row>
    <row r="20" spans="1:46" s="11" customFormat="1" x14ac:dyDescent="0.3">
      <c r="A20" s="90" t="s">
        <v>362</v>
      </c>
      <c r="B20" s="90">
        <v>13</v>
      </c>
      <c r="C20" s="5">
        <f>'GERAL 2022'!G15</f>
        <v>550</v>
      </c>
      <c r="D20" s="5">
        <v>0</v>
      </c>
      <c r="E20" s="5">
        <f t="shared" si="1"/>
        <v>550</v>
      </c>
      <c r="F20" s="2">
        <v>0</v>
      </c>
      <c r="G20" s="2">
        <f t="shared" si="2"/>
        <v>48.2</v>
      </c>
      <c r="H20" s="2">
        <f>D73</f>
        <v>1.2516548463356973</v>
      </c>
      <c r="I20" s="2">
        <v>0</v>
      </c>
      <c r="J20" s="109">
        <f t="shared" si="3"/>
        <v>599.45165484633571</v>
      </c>
      <c r="K20" s="2">
        <f t="shared" si="4"/>
        <v>41.961615839243507</v>
      </c>
      <c r="L20" s="2">
        <f t="shared" si="5"/>
        <v>557.49003900709226</v>
      </c>
      <c r="M20" s="90" t="s">
        <v>618</v>
      </c>
      <c r="N20" s="3">
        <v>10</v>
      </c>
      <c r="O20" s="3">
        <v>11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</row>
    <row r="21" spans="1:46" s="69" customFormat="1" x14ac:dyDescent="0.3">
      <c r="A21" s="4" t="s">
        <v>559</v>
      </c>
      <c r="B21" s="4">
        <v>14</v>
      </c>
      <c r="C21" s="2">
        <f>'GERAL 2022'!G39</f>
        <v>580</v>
      </c>
      <c r="D21" s="2">
        <v>0</v>
      </c>
      <c r="E21" s="5">
        <f t="shared" si="1"/>
        <v>580</v>
      </c>
      <c r="F21" s="2">
        <f>50</f>
        <v>50</v>
      </c>
      <c r="G21" s="2">
        <f t="shared" si="2"/>
        <v>48.2</v>
      </c>
      <c r="H21" s="2">
        <f>D75</f>
        <v>1.2516548463356973</v>
      </c>
      <c r="I21" s="2">
        <f>D74</f>
        <v>19.696666666666669</v>
      </c>
      <c r="J21" s="109">
        <f t="shared" si="3"/>
        <v>699.14832151300243</v>
      </c>
      <c r="K21" s="2">
        <f>7%*J21</f>
        <v>48.940382505910172</v>
      </c>
      <c r="L21" s="2">
        <f t="shared" si="5"/>
        <v>650.20793900709225</v>
      </c>
      <c r="M21" s="90" t="s">
        <v>620</v>
      </c>
      <c r="N21" s="3">
        <v>10</v>
      </c>
      <c r="O21" s="4">
        <v>11</v>
      </c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</row>
    <row r="22" spans="1:46" s="6" customFormat="1" x14ac:dyDescent="0.3">
      <c r="A22" s="90" t="s">
        <v>272</v>
      </c>
      <c r="B22" s="90">
        <v>15</v>
      </c>
      <c r="C22" s="2">
        <f>'GERAL 2022'!G40</f>
        <v>650</v>
      </c>
      <c r="D22" s="2">
        <v>0</v>
      </c>
      <c r="E22" s="5">
        <f t="shared" si="1"/>
        <v>650</v>
      </c>
      <c r="F22" s="2">
        <v>25</v>
      </c>
      <c r="G22" s="2">
        <f t="shared" si="2"/>
        <v>48.2</v>
      </c>
      <c r="H22" s="2">
        <f>D77</f>
        <v>1.7523167848699763</v>
      </c>
      <c r="I22" s="2">
        <v>0</v>
      </c>
      <c r="J22" s="109">
        <f t="shared" si="3"/>
        <v>724.95231678487005</v>
      </c>
      <c r="K22" s="2">
        <f t="shared" si="4"/>
        <v>50.746662174940909</v>
      </c>
      <c r="L22" s="2">
        <f t="shared" si="5"/>
        <v>674.20565460992918</v>
      </c>
      <c r="M22" s="90" t="s">
        <v>618</v>
      </c>
      <c r="N22" s="3">
        <v>10</v>
      </c>
      <c r="O22" s="3">
        <v>11</v>
      </c>
      <c r="P22" s="9"/>
      <c r="Q22" s="9"/>
      <c r="R22" s="9"/>
      <c r="S22" s="9"/>
      <c r="T22" s="9"/>
      <c r="U22" s="9"/>
      <c r="V22" s="9"/>
      <c r="W22" s="9"/>
      <c r="X22" s="9"/>
    </row>
    <row r="23" spans="1:46" s="11" customFormat="1" x14ac:dyDescent="0.3">
      <c r="A23" s="3" t="s">
        <v>100</v>
      </c>
      <c r="B23" s="3">
        <v>16</v>
      </c>
      <c r="C23" s="2">
        <f>'GERAL 2022'!G18+(10.72339%*640)</f>
        <v>708.62969599999997</v>
      </c>
      <c r="D23" s="2">
        <v>0</v>
      </c>
      <c r="E23" s="5">
        <f t="shared" si="1"/>
        <v>708.62969599999997</v>
      </c>
      <c r="F23" s="2">
        <f>60</f>
        <v>60</v>
      </c>
      <c r="G23" s="2">
        <f t="shared" si="2"/>
        <v>48.2</v>
      </c>
      <c r="H23" s="2">
        <f>D79</f>
        <v>1.2516548463356973</v>
      </c>
      <c r="I23" s="2">
        <v>0</v>
      </c>
      <c r="J23" s="109">
        <f t="shared" si="3"/>
        <v>818.08135084633568</v>
      </c>
      <c r="K23" s="2">
        <f t="shared" si="4"/>
        <v>57.265694559243506</v>
      </c>
      <c r="L23" s="2">
        <f t="shared" si="5"/>
        <v>760.81565628709222</v>
      </c>
      <c r="M23" s="90" t="s">
        <v>623</v>
      </c>
      <c r="N23" s="3">
        <v>10</v>
      </c>
      <c r="O23" s="3">
        <v>11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</row>
    <row r="24" spans="1:46" s="11" customFormat="1" x14ac:dyDescent="0.3">
      <c r="A24" s="88" t="s">
        <v>392</v>
      </c>
      <c r="B24" s="88">
        <v>17</v>
      </c>
      <c r="C24" s="2">
        <f>'GERAL 2022'!G41</f>
        <v>580</v>
      </c>
      <c r="D24" s="2">
        <v>0</v>
      </c>
      <c r="E24" s="5">
        <f t="shared" si="1"/>
        <v>580</v>
      </c>
      <c r="F24" s="2">
        <v>0</v>
      </c>
      <c r="G24" s="2">
        <f t="shared" si="2"/>
        <v>48.2</v>
      </c>
      <c r="H24" s="2">
        <f>D81</f>
        <v>1.2516548463356973</v>
      </c>
      <c r="I24" s="2">
        <v>0</v>
      </c>
      <c r="J24" s="109">
        <f t="shared" si="3"/>
        <v>629.45165484633571</v>
      </c>
      <c r="K24" s="2">
        <f t="shared" si="4"/>
        <v>44.061615839243501</v>
      </c>
      <c r="L24" s="2">
        <f t="shared" si="5"/>
        <v>585.39003900709224</v>
      </c>
      <c r="M24" s="5" t="s">
        <v>618</v>
      </c>
      <c r="N24" s="3">
        <v>10</v>
      </c>
      <c r="O24" s="3">
        <v>11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</row>
    <row r="25" spans="1:46" s="11" customFormat="1" x14ac:dyDescent="0.3">
      <c r="A25" s="88" t="s">
        <v>602</v>
      </c>
      <c r="B25" s="90">
        <v>18</v>
      </c>
      <c r="C25" s="2">
        <v>0</v>
      </c>
      <c r="D25" s="2">
        <v>0</v>
      </c>
      <c r="E25" s="5">
        <f>C25-D25</f>
        <v>0</v>
      </c>
      <c r="F25" s="2">
        <v>0</v>
      </c>
      <c r="G25" s="2">
        <v>0</v>
      </c>
      <c r="H25" s="2">
        <v>0</v>
      </c>
      <c r="I25" s="2">
        <v>0</v>
      </c>
      <c r="J25" s="109">
        <f t="shared" si="3"/>
        <v>0</v>
      </c>
      <c r="K25" s="2">
        <f t="shared" si="4"/>
        <v>0</v>
      </c>
      <c r="L25" s="2">
        <f t="shared" si="5"/>
        <v>0</v>
      </c>
      <c r="M25" s="90" t="s">
        <v>108</v>
      </c>
      <c r="N25" s="3">
        <v>10</v>
      </c>
      <c r="O25" s="3">
        <v>11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</row>
    <row r="26" spans="1:46" s="11" customFormat="1" x14ac:dyDescent="0.3">
      <c r="A26" s="90" t="s">
        <v>500</v>
      </c>
      <c r="B26" s="90">
        <v>19</v>
      </c>
      <c r="C26" s="2">
        <f>'GERAL 2022'!G43</f>
        <v>550</v>
      </c>
      <c r="D26" s="2">
        <v>0</v>
      </c>
      <c r="E26" s="5">
        <f>(C26-D26)</f>
        <v>550</v>
      </c>
      <c r="F26" s="2">
        <v>50</v>
      </c>
      <c r="G26" s="2">
        <f t="shared" ref="G26:G34" si="6">1301.4/27</f>
        <v>48.2</v>
      </c>
      <c r="H26" s="2">
        <f>D85</f>
        <v>1.2516548463356973</v>
      </c>
      <c r="I26" s="2">
        <f>D84</f>
        <v>19.641666666666666</v>
      </c>
      <c r="J26" s="109">
        <f t="shared" si="3"/>
        <v>669.09332151300237</v>
      </c>
      <c r="K26" s="2">
        <f t="shared" si="4"/>
        <v>46.836532505910171</v>
      </c>
      <c r="L26" s="2">
        <f t="shared" si="5"/>
        <v>622.25678900709215</v>
      </c>
      <c r="M26" s="90" t="s">
        <v>619</v>
      </c>
      <c r="N26" s="3">
        <v>10</v>
      </c>
      <c r="O26" s="3">
        <v>11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</row>
    <row r="27" spans="1:46" s="11" customFormat="1" x14ac:dyDescent="0.3">
      <c r="A27" s="88" t="s">
        <v>345</v>
      </c>
      <c r="B27" s="90">
        <v>20</v>
      </c>
      <c r="C27" s="2">
        <f>'GERAL 2022'!G22</f>
        <v>660</v>
      </c>
      <c r="D27" s="2">
        <v>0</v>
      </c>
      <c r="E27" s="5">
        <f t="shared" ref="E27:E34" si="7">C27-D27</f>
        <v>660</v>
      </c>
      <c r="F27" s="2">
        <v>50</v>
      </c>
      <c r="G27" s="2">
        <f t="shared" si="6"/>
        <v>48.2</v>
      </c>
      <c r="H27" s="2">
        <f>D87</f>
        <v>1.2516548463356973</v>
      </c>
      <c r="I27" s="2">
        <v>0</v>
      </c>
      <c r="J27" s="109">
        <f t="shared" si="3"/>
        <v>759.45165484633571</v>
      </c>
      <c r="K27" s="2">
        <f>7%*J27</f>
        <v>53.161615839243503</v>
      </c>
      <c r="L27" s="2">
        <f t="shared" si="5"/>
        <v>706.29003900709222</v>
      </c>
      <c r="M27" s="90" t="s">
        <v>618</v>
      </c>
      <c r="N27" s="125">
        <v>10</v>
      </c>
      <c r="O27" s="3">
        <v>11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</row>
    <row r="28" spans="1:46" s="11" customFormat="1" x14ac:dyDescent="0.3">
      <c r="A28" s="88" t="s">
        <v>346</v>
      </c>
      <c r="B28" s="90">
        <v>21</v>
      </c>
      <c r="C28" s="2">
        <f>'GERAL 2022'!G23</f>
        <v>500</v>
      </c>
      <c r="D28" s="2">
        <v>0</v>
      </c>
      <c r="E28" s="5">
        <f t="shared" si="7"/>
        <v>500</v>
      </c>
      <c r="F28" s="2">
        <v>25</v>
      </c>
      <c r="G28" s="2">
        <f t="shared" si="6"/>
        <v>48.2</v>
      </c>
      <c r="H28" s="2">
        <f>D89</f>
        <v>1.2516548463356973</v>
      </c>
      <c r="I28" s="2">
        <v>0</v>
      </c>
      <c r="J28" s="109">
        <f t="shared" si="3"/>
        <v>574.45165484633571</v>
      </c>
      <c r="K28" s="2">
        <f>7%*J28</f>
        <v>40.211615839243507</v>
      </c>
      <c r="L28" s="2">
        <f t="shared" si="5"/>
        <v>534.24003900709226</v>
      </c>
      <c r="M28" s="90" t="s">
        <v>618</v>
      </c>
      <c r="N28" s="125">
        <v>10</v>
      </c>
      <c r="O28" s="3">
        <v>11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</row>
    <row r="29" spans="1:46" s="11" customFormat="1" ht="15.75" customHeight="1" x14ac:dyDescent="0.3">
      <c r="A29" s="88" t="s">
        <v>119</v>
      </c>
      <c r="B29" s="90">
        <v>22</v>
      </c>
      <c r="C29" s="2">
        <f>'GERAL 2022'!G24</f>
        <v>500</v>
      </c>
      <c r="D29" s="2">
        <v>0</v>
      </c>
      <c r="E29" s="5">
        <f t="shared" si="7"/>
        <v>500</v>
      </c>
      <c r="F29" s="2">
        <v>25</v>
      </c>
      <c r="G29" s="2">
        <f t="shared" si="6"/>
        <v>48.2</v>
      </c>
      <c r="H29" s="2">
        <f>D91</f>
        <v>1.2516548463356973</v>
      </c>
      <c r="I29" s="2">
        <v>0</v>
      </c>
      <c r="J29" s="109">
        <f t="shared" si="3"/>
        <v>574.45165484633571</v>
      </c>
      <c r="K29" s="2">
        <f t="shared" si="4"/>
        <v>40.211615839243507</v>
      </c>
      <c r="L29" s="2">
        <f t="shared" si="5"/>
        <v>534.24003900709226</v>
      </c>
      <c r="M29" s="90" t="s">
        <v>618</v>
      </c>
      <c r="N29" s="125">
        <v>10</v>
      </c>
      <c r="O29" s="3">
        <v>11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</row>
    <row r="30" spans="1:46" s="11" customFormat="1" x14ac:dyDescent="0.3">
      <c r="A30" s="88" t="s">
        <v>379</v>
      </c>
      <c r="B30" s="90">
        <v>23</v>
      </c>
      <c r="C30" s="2">
        <f>'GERAL 2022'!G25</f>
        <v>550</v>
      </c>
      <c r="D30" s="2">
        <v>0</v>
      </c>
      <c r="E30" s="5">
        <f t="shared" si="7"/>
        <v>550</v>
      </c>
      <c r="F30" s="2">
        <v>0</v>
      </c>
      <c r="G30" s="2">
        <f t="shared" si="6"/>
        <v>48.2</v>
      </c>
      <c r="H30" s="2">
        <f>D93</f>
        <v>1.2516548463356973</v>
      </c>
      <c r="I30" s="2">
        <v>0</v>
      </c>
      <c r="J30" s="109">
        <f t="shared" si="3"/>
        <v>599.45165484633571</v>
      </c>
      <c r="K30" s="2">
        <f t="shared" si="4"/>
        <v>41.961615839243507</v>
      </c>
      <c r="L30" s="2">
        <f t="shared" si="5"/>
        <v>557.49003900709226</v>
      </c>
      <c r="M30" s="90" t="s">
        <v>618</v>
      </c>
      <c r="N30" s="3">
        <v>10</v>
      </c>
      <c r="O30" s="3">
        <v>11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</row>
    <row r="31" spans="1:46" s="6" customFormat="1" x14ac:dyDescent="0.3">
      <c r="A31" s="90" t="s">
        <v>267</v>
      </c>
      <c r="B31" s="90">
        <v>24</v>
      </c>
      <c r="C31" s="2">
        <f>'GERAL 2022'!G26</f>
        <v>650</v>
      </c>
      <c r="D31" s="2">
        <v>0</v>
      </c>
      <c r="E31" s="5">
        <f t="shared" si="7"/>
        <v>650</v>
      </c>
      <c r="F31" s="2">
        <v>50</v>
      </c>
      <c r="G31" s="2">
        <f t="shared" si="6"/>
        <v>48.2</v>
      </c>
      <c r="H31" s="2">
        <f>D95</f>
        <v>1.7523167848699763</v>
      </c>
      <c r="I31" s="2">
        <v>0</v>
      </c>
      <c r="J31" s="109">
        <f t="shared" si="3"/>
        <v>749.95231678487005</v>
      </c>
      <c r="K31" s="2">
        <f>7%*J31</f>
        <v>52.496662174940909</v>
      </c>
      <c r="L31" s="2">
        <f t="shared" si="5"/>
        <v>697.45565460992918</v>
      </c>
      <c r="M31" s="90" t="s">
        <v>618</v>
      </c>
      <c r="N31" s="125">
        <v>10</v>
      </c>
      <c r="O31" s="3">
        <v>11</v>
      </c>
      <c r="P31" s="9"/>
      <c r="Q31" s="9"/>
      <c r="R31" s="9"/>
      <c r="S31" s="9"/>
      <c r="T31" s="9"/>
      <c r="U31" s="9"/>
      <c r="V31" s="9"/>
      <c r="W31" s="9"/>
      <c r="X31" s="9"/>
    </row>
    <row r="32" spans="1:46" s="6" customFormat="1" x14ac:dyDescent="0.3">
      <c r="A32" s="11" t="s">
        <v>563</v>
      </c>
      <c r="B32" s="90">
        <v>25</v>
      </c>
      <c r="C32" s="2">
        <f>'GERAL 2022'!G44</f>
        <v>610</v>
      </c>
      <c r="D32" s="2">
        <v>0</v>
      </c>
      <c r="E32" s="5">
        <f t="shared" si="7"/>
        <v>610</v>
      </c>
      <c r="F32" s="2">
        <v>0</v>
      </c>
      <c r="G32" s="2">
        <f t="shared" si="6"/>
        <v>48.2</v>
      </c>
      <c r="H32" s="2">
        <f>D97</f>
        <v>1.2516548463356973</v>
      </c>
      <c r="I32" s="2">
        <f>D96</f>
        <v>19.754999999999999</v>
      </c>
      <c r="J32" s="109">
        <f t="shared" si="3"/>
        <v>679.20665484633571</v>
      </c>
      <c r="K32" s="2">
        <f>7%*J32</f>
        <v>47.544465839243507</v>
      </c>
      <c r="L32" s="2">
        <f t="shared" si="5"/>
        <v>631.66218900709225</v>
      </c>
      <c r="M32" s="90" t="s">
        <v>620</v>
      </c>
      <c r="N32" s="125">
        <v>10</v>
      </c>
      <c r="O32" s="3">
        <v>11</v>
      </c>
      <c r="P32" s="9"/>
      <c r="Q32" s="9"/>
      <c r="R32" s="9"/>
      <c r="S32" s="9"/>
      <c r="T32" s="9"/>
      <c r="U32" s="9"/>
      <c r="V32" s="9"/>
      <c r="W32" s="9"/>
      <c r="X32" s="9"/>
    </row>
    <row r="33" spans="1:59" s="11" customFormat="1" x14ac:dyDescent="0.3">
      <c r="A33" s="88" t="s">
        <v>348</v>
      </c>
      <c r="B33" s="90">
        <v>26</v>
      </c>
      <c r="C33" s="2">
        <f>'GERAL 2022'!G28</f>
        <v>560</v>
      </c>
      <c r="D33" s="2">
        <v>0</v>
      </c>
      <c r="E33" s="5">
        <f t="shared" si="7"/>
        <v>560</v>
      </c>
      <c r="F33" s="2">
        <v>25</v>
      </c>
      <c r="G33" s="2">
        <f t="shared" si="6"/>
        <v>48.2</v>
      </c>
      <c r="H33" s="2">
        <f>D99</f>
        <v>1.2516548463356973</v>
      </c>
      <c r="I33" s="2">
        <v>0</v>
      </c>
      <c r="J33" s="109">
        <f t="shared" si="3"/>
        <v>634.45165484633571</v>
      </c>
      <c r="K33" s="2">
        <f t="shared" si="4"/>
        <v>44.411615839243503</v>
      </c>
      <c r="L33" s="2">
        <f t="shared" si="5"/>
        <v>590.04003900709222</v>
      </c>
      <c r="M33" s="90" t="s">
        <v>618</v>
      </c>
      <c r="N33" s="3">
        <v>10</v>
      </c>
      <c r="O33" s="3">
        <v>11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</row>
    <row r="34" spans="1:59" s="11" customFormat="1" x14ac:dyDescent="0.3">
      <c r="A34" s="88" t="s">
        <v>349</v>
      </c>
      <c r="B34" s="90">
        <v>27</v>
      </c>
      <c r="C34" s="72">
        <f>'GERAL 2022'!G45</f>
        <v>580</v>
      </c>
      <c r="D34" s="72">
        <v>0</v>
      </c>
      <c r="E34" s="5">
        <f t="shared" si="7"/>
        <v>580</v>
      </c>
      <c r="F34" s="72">
        <v>0</v>
      </c>
      <c r="G34" s="2">
        <f t="shared" si="6"/>
        <v>48.2</v>
      </c>
      <c r="H34" s="72">
        <f>D101</f>
        <v>1.2516548463356973</v>
      </c>
      <c r="I34" s="72">
        <v>0</v>
      </c>
      <c r="J34" s="109">
        <f t="shared" si="3"/>
        <v>629.45165484633571</v>
      </c>
      <c r="K34" s="2">
        <f t="shared" si="4"/>
        <v>44.061615839243501</v>
      </c>
      <c r="L34" s="2">
        <f>J34-K34</f>
        <v>585.39003900709224</v>
      </c>
      <c r="M34" s="90" t="s">
        <v>618</v>
      </c>
      <c r="N34" s="3">
        <v>10</v>
      </c>
      <c r="O34" s="3">
        <v>11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</row>
    <row r="35" spans="1:59" s="11" customFormat="1" x14ac:dyDescent="0.3">
      <c r="A35" s="518" t="s">
        <v>4</v>
      </c>
      <c r="B35" s="518"/>
      <c r="C35" s="109">
        <f>SUM(C8:C34)</f>
        <v>14044.440726387096</v>
      </c>
      <c r="D35" s="109">
        <f t="shared" ref="D35:L35" si="8">SUM(D8:D34)</f>
        <v>0</v>
      </c>
      <c r="E35" s="109">
        <f t="shared" si="8"/>
        <v>14044.440726387096</v>
      </c>
      <c r="F35" s="109">
        <f t="shared" si="8"/>
        <v>698.70967741935488</v>
      </c>
      <c r="G35" s="109">
        <f t="shared" si="8"/>
        <v>1167.6838709677425</v>
      </c>
      <c r="H35" s="109">
        <f t="shared" si="8"/>
        <v>31.339822313734452</v>
      </c>
      <c r="I35" s="109">
        <f t="shared" si="8"/>
        <v>138.06</v>
      </c>
      <c r="J35" s="109">
        <f t="shared" si="8"/>
        <v>16080.234097087932</v>
      </c>
      <c r="K35" s="109">
        <f t="shared" si="8"/>
        <v>1125.616386796155</v>
      </c>
      <c r="L35" s="109">
        <f t="shared" si="8"/>
        <v>14954.617710291774</v>
      </c>
      <c r="M35" s="90"/>
      <c r="N35" s="3"/>
      <c r="O35" s="3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</row>
    <row r="36" spans="1:59" s="11" customFormat="1" ht="28.5" customHeight="1" x14ac:dyDescent="0.3">
      <c r="A36" s="521" t="s">
        <v>631</v>
      </c>
      <c r="B36" s="521"/>
      <c r="C36" s="521"/>
      <c r="D36" s="521"/>
      <c r="E36" s="521"/>
      <c r="F36" s="521"/>
      <c r="G36" s="521"/>
      <c r="H36" s="521"/>
      <c r="I36" s="521"/>
      <c r="J36" s="521"/>
      <c r="K36" s="521"/>
      <c r="L36" s="521"/>
      <c r="M36" s="521"/>
      <c r="N36" s="521"/>
      <c r="O36" s="521"/>
      <c r="P36" s="10"/>
      <c r="Q36" s="10"/>
      <c r="R36" s="10"/>
      <c r="S36" s="10"/>
      <c r="T36" s="10"/>
      <c r="U36" s="10"/>
      <c r="V36" s="10"/>
      <c r="W36" s="10"/>
      <c r="X36" s="10"/>
    </row>
    <row r="37" spans="1:59" s="11" customFormat="1" ht="27.75" customHeight="1" x14ac:dyDescent="0.3">
      <c r="A37" s="127" t="s">
        <v>3</v>
      </c>
      <c r="B37" s="127" t="s">
        <v>0</v>
      </c>
      <c r="C37" s="128" t="s">
        <v>174</v>
      </c>
      <c r="D37" s="555" t="s">
        <v>175</v>
      </c>
      <c r="E37" s="556"/>
      <c r="F37" s="556"/>
      <c r="G37" s="556"/>
      <c r="H37" s="556"/>
      <c r="I37" s="557"/>
      <c r="J37" s="128" t="s">
        <v>4</v>
      </c>
      <c r="K37" s="128" t="s">
        <v>5</v>
      </c>
      <c r="L37" s="128" t="s">
        <v>70</v>
      </c>
      <c r="M37" s="127" t="s">
        <v>59</v>
      </c>
      <c r="N37" s="130" t="s">
        <v>8</v>
      </c>
      <c r="O37" s="130" t="s">
        <v>10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59" s="15" customFormat="1" x14ac:dyDescent="0.3">
      <c r="A38" s="90" t="s">
        <v>552</v>
      </c>
      <c r="B38" s="90">
        <v>6</v>
      </c>
      <c r="C38" s="2">
        <v>1475.65</v>
      </c>
      <c r="D38" s="546" t="s">
        <v>605</v>
      </c>
      <c r="E38" s="547"/>
      <c r="F38" s="547"/>
      <c r="G38" s="547"/>
      <c r="H38" s="547"/>
      <c r="I38" s="548"/>
      <c r="J38" s="2">
        <v>184.46</v>
      </c>
      <c r="K38" s="2">
        <f>7%*J38</f>
        <v>12.912200000000002</v>
      </c>
      <c r="L38" s="2">
        <f>J38-K38</f>
        <v>171.5478</v>
      </c>
      <c r="M38" s="90" t="s">
        <v>621</v>
      </c>
      <c r="N38" s="3">
        <v>10</v>
      </c>
      <c r="O38" s="3">
        <v>11</v>
      </c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</row>
    <row r="39" spans="1:59" s="11" customFormat="1" x14ac:dyDescent="0.3">
      <c r="A39" s="518" t="s">
        <v>4</v>
      </c>
      <c r="B39" s="518"/>
      <c r="C39" s="518"/>
      <c r="D39" s="518"/>
      <c r="E39" s="518"/>
      <c r="F39" s="518"/>
      <c r="G39" s="518"/>
      <c r="H39" s="518"/>
      <c r="I39" s="518"/>
      <c r="J39" s="109">
        <f>SUM(J38:J38)</f>
        <v>184.46</v>
      </c>
      <c r="K39" s="109">
        <f>SUM(K38:K38)</f>
        <v>12.912200000000002</v>
      </c>
      <c r="L39" s="109">
        <f>SUM(L38:L38)</f>
        <v>171.5478</v>
      </c>
      <c r="M39" s="527"/>
      <c r="N39" s="527"/>
      <c r="O39" s="527"/>
      <c r="P39" s="10"/>
      <c r="Q39" s="10"/>
      <c r="R39" s="10"/>
      <c r="S39" s="10"/>
      <c r="T39" s="10"/>
      <c r="U39" s="10"/>
      <c r="V39" s="10"/>
      <c r="W39" s="10"/>
      <c r="X39" s="10"/>
    </row>
    <row r="40" spans="1:59" s="11" customFormat="1" x14ac:dyDescent="0.3">
      <c r="A40" s="518"/>
      <c r="B40" s="518"/>
      <c r="C40" s="518"/>
      <c r="D40" s="518"/>
      <c r="E40" s="518"/>
      <c r="F40" s="518"/>
      <c r="G40" s="518"/>
      <c r="H40" s="518"/>
      <c r="I40" s="518"/>
      <c r="J40" s="518"/>
      <c r="K40" s="518"/>
      <c r="L40" s="518"/>
      <c r="M40" s="518"/>
      <c r="N40" s="109"/>
      <c r="O40" s="109"/>
      <c r="P40" s="10"/>
      <c r="Q40" s="10"/>
      <c r="R40" s="10"/>
      <c r="S40" s="10"/>
      <c r="T40" s="10"/>
      <c r="U40" s="10"/>
      <c r="V40" s="10"/>
      <c r="W40" s="10"/>
      <c r="X40" s="10"/>
    </row>
    <row r="41" spans="1:59" s="11" customFormat="1" ht="28.5" customHeight="1" x14ac:dyDescent="0.3">
      <c r="A41" s="521" t="s">
        <v>177</v>
      </c>
      <c r="B41" s="521"/>
      <c r="C41" s="521"/>
      <c r="D41" s="521"/>
      <c r="E41" s="521"/>
      <c r="F41" s="521"/>
      <c r="G41" s="521"/>
      <c r="H41" s="521"/>
      <c r="I41" s="521"/>
      <c r="J41" s="521"/>
      <c r="K41" s="521"/>
      <c r="L41" s="521"/>
      <c r="M41" s="521"/>
      <c r="N41" s="521"/>
      <c r="O41" s="521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 spans="1:59" s="11" customFormat="1" ht="25.5" customHeight="1" x14ac:dyDescent="0.3">
      <c r="A42" s="126" t="s">
        <v>173</v>
      </c>
      <c r="B42" s="126" t="s">
        <v>0</v>
      </c>
      <c r="C42" s="126" t="s">
        <v>174</v>
      </c>
      <c r="D42" s="521" t="s">
        <v>175</v>
      </c>
      <c r="E42" s="521"/>
      <c r="F42" s="521"/>
      <c r="G42" s="521"/>
      <c r="H42" s="521"/>
      <c r="I42" s="521"/>
      <c r="J42" s="129" t="s">
        <v>4</v>
      </c>
      <c r="K42" s="128"/>
      <c r="L42" s="128"/>
      <c r="M42" s="127" t="s">
        <v>59</v>
      </c>
      <c r="N42" s="130" t="s">
        <v>8</v>
      </c>
      <c r="O42" s="130" t="s">
        <v>10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 spans="1:59" s="69" customFormat="1" ht="15" customHeight="1" x14ac:dyDescent="0.3">
      <c r="A43" s="4" t="s">
        <v>132</v>
      </c>
      <c r="B43" s="4">
        <v>1</v>
      </c>
      <c r="C43" s="5">
        <f>4977.59-1520</f>
        <v>3457.59</v>
      </c>
      <c r="D43" s="546" t="s">
        <v>284</v>
      </c>
      <c r="E43" s="547"/>
      <c r="F43" s="547"/>
      <c r="G43" s="547"/>
      <c r="H43" s="547"/>
      <c r="I43" s="548"/>
      <c r="J43" s="5">
        <f>4977.59-1520</f>
        <v>3457.59</v>
      </c>
      <c r="K43" s="5"/>
      <c r="L43" s="5"/>
      <c r="M43" s="5" t="s">
        <v>510</v>
      </c>
      <c r="N43" s="140">
        <v>10</v>
      </c>
      <c r="O43" s="4">
        <v>11</v>
      </c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</row>
    <row r="44" spans="1:59" s="11" customFormat="1" x14ac:dyDescent="0.3">
      <c r="A44" s="90" t="s">
        <v>87</v>
      </c>
      <c r="B44" s="90">
        <v>25</v>
      </c>
      <c r="C44" s="5">
        <v>3013.33</v>
      </c>
      <c r="D44" s="546" t="s">
        <v>543</v>
      </c>
      <c r="E44" s="547"/>
      <c r="F44" s="547"/>
      <c r="G44" s="547"/>
      <c r="H44" s="547"/>
      <c r="I44" s="548"/>
      <c r="J44" s="5">
        <v>3040.58</v>
      </c>
      <c r="K44" s="2"/>
      <c r="L44" s="2"/>
      <c r="M44" s="5" t="s">
        <v>545</v>
      </c>
      <c r="N44" s="98">
        <v>10</v>
      </c>
      <c r="O44" s="3">
        <v>11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</row>
    <row r="45" spans="1:59" s="40" customFormat="1" ht="15" customHeight="1" thickBot="1" x14ac:dyDescent="0.35">
      <c r="A45" s="534" t="s">
        <v>4</v>
      </c>
      <c r="B45" s="549"/>
      <c r="C45" s="549"/>
      <c r="D45" s="549"/>
      <c r="E45" s="549"/>
      <c r="F45" s="549"/>
      <c r="G45" s="549"/>
      <c r="H45" s="549"/>
      <c r="I45" s="535"/>
      <c r="J45" s="114">
        <f>SUM(J43:J44)</f>
        <v>6498.17</v>
      </c>
      <c r="K45" s="90"/>
      <c r="L45" s="90"/>
      <c r="M45" s="90"/>
      <c r="N45" s="90"/>
      <c r="O45" s="9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1"/>
      <c r="AT45" s="11"/>
      <c r="AU45" s="11"/>
      <c r="AV45" s="11"/>
    </row>
    <row r="46" spans="1:59" s="19" customFormat="1" x14ac:dyDescent="0.3">
      <c r="A46" s="179"/>
      <c r="B46" s="180"/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1"/>
      <c r="O46" s="182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</row>
    <row r="47" spans="1:59" s="40" customFormat="1" x14ac:dyDescent="0.3">
      <c r="A47" s="575" t="s">
        <v>9</v>
      </c>
      <c r="B47" s="576"/>
      <c r="C47" s="576"/>
      <c r="D47" s="577"/>
      <c r="E47" s="574"/>
      <c r="F47" s="540"/>
      <c r="G47" s="540"/>
      <c r="H47" s="46"/>
      <c r="I47" s="46"/>
      <c r="J47" s="46"/>
      <c r="K47" s="46"/>
      <c r="L47" s="46"/>
      <c r="M47" s="544" t="s">
        <v>315</v>
      </c>
      <c r="N47" s="544"/>
      <c r="O47" s="545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1"/>
      <c r="AT47" s="11"/>
      <c r="AU47" s="11"/>
      <c r="AV47" s="11"/>
    </row>
    <row r="48" spans="1:59" s="40" customFormat="1" x14ac:dyDescent="0.3">
      <c r="A48" s="76" t="s">
        <v>40</v>
      </c>
      <c r="B48" s="77">
        <f>'GERAL 2022'!J35</f>
        <v>118.18</v>
      </c>
      <c r="C48" s="78">
        <v>6</v>
      </c>
      <c r="D48" s="77">
        <f t="shared" ref="D48:D101" si="9">B48/C48</f>
        <v>19.696666666666669</v>
      </c>
      <c r="E48" s="574"/>
      <c r="F48" s="540"/>
      <c r="G48" s="540"/>
      <c r="H48" s="11"/>
      <c r="I48" s="11"/>
      <c r="J48" s="87"/>
      <c r="K48" s="87"/>
      <c r="L48" s="87"/>
      <c r="M48" s="527" t="s">
        <v>94</v>
      </c>
      <c r="N48" s="527"/>
      <c r="O48" s="114">
        <f>K35+K39</f>
        <v>1138.528586796155</v>
      </c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1"/>
      <c r="AT48" s="11"/>
      <c r="AU48" s="11"/>
      <c r="AV48" s="11"/>
    </row>
    <row r="49" spans="1:48" s="40" customFormat="1" x14ac:dyDescent="0.3">
      <c r="A49" s="12" t="s">
        <v>46</v>
      </c>
      <c r="B49" s="2">
        <f>'GERAL 2023'!H3</f>
        <v>15.019858156028368</v>
      </c>
      <c r="C49" s="88">
        <v>12</v>
      </c>
      <c r="D49" s="2">
        <f t="shared" si="9"/>
        <v>1.2516548463356973</v>
      </c>
      <c r="E49" s="574"/>
      <c r="F49" s="540"/>
      <c r="G49" s="540"/>
      <c r="H49" s="11"/>
      <c r="I49" s="11"/>
      <c r="J49" s="14"/>
      <c r="K49" s="14"/>
      <c r="L49" s="14"/>
      <c r="M49" s="518" t="s">
        <v>260</v>
      </c>
      <c r="N49" s="518"/>
      <c r="O49" s="114">
        <f>K5</f>
        <v>399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1"/>
      <c r="AT49" s="11"/>
      <c r="AU49" s="11"/>
      <c r="AV49" s="11"/>
    </row>
    <row r="50" spans="1:48" s="40" customFormat="1" x14ac:dyDescent="0.3">
      <c r="A50" s="79" t="s">
        <v>29</v>
      </c>
      <c r="B50" s="80">
        <f>'GERAL 2022'!J4</f>
        <v>118.18</v>
      </c>
      <c r="C50" s="78">
        <v>6</v>
      </c>
      <c r="D50" s="80">
        <f t="shared" si="9"/>
        <v>19.696666666666669</v>
      </c>
      <c r="E50" s="574"/>
      <c r="F50" s="540"/>
      <c r="G50" s="540"/>
      <c r="H50" s="11"/>
      <c r="I50" s="11"/>
      <c r="J50" s="14"/>
      <c r="K50" s="14"/>
      <c r="L50" s="14"/>
      <c r="M50" s="520"/>
      <c r="N50" s="520"/>
      <c r="O50" s="52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1"/>
      <c r="AT50" s="11"/>
      <c r="AU50" s="11"/>
      <c r="AV50" s="11"/>
    </row>
    <row r="51" spans="1:48" s="40" customFormat="1" x14ac:dyDescent="0.3">
      <c r="A51" s="12" t="s">
        <v>30</v>
      </c>
      <c r="B51" s="2">
        <f>'GERAL 2023'!H4</f>
        <v>15.019858156028368</v>
      </c>
      <c r="C51" s="88">
        <v>12</v>
      </c>
      <c r="D51" s="2">
        <f t="shared" si="9"/>
        <v>1.2516548463356973</v>
      </c>
      <c r="E51" s="574"/>
      <c r="F51" s="540"/>
      <c r="G51" s="540"/>
      <c r="H51" s="11"/>
      <c r="I51" s="11"/>
      <c r="J51" s="62"/>
      <c r="K51" s="62"/>
      <c r="L51" s="62"/>
      <c r="M51" s="520"/>
      <c r="N51" s="520"/>
      <c r="O51" s="52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1"/>
      <c r="AT51" s="11"/>
      <c r="AU51" s="11"/>
      <c r="AV51" s="11"/>
    </row>
    <row r="52" spans="1:48" s="40" customFormat="1" ht="14.4" x14ac:dyDescent="0.3">
      <c r="A52" s="79" t="s">
        <v>65</v>
      </c>
      <c r="B52" s="80">
        <f>'GERAL 2022'!J5</f>
        <v>117.85</v>
      </c>
      <c r="C52" s="78">
        <v>6</v>
      </c>
      <c r="D52" s="80">
        <f t="shared" si="9"/>
        <v>19.641666666666666</v>
      </c>
      <c r="E52" s="574"/>
      <c r="F52" s="540"/>
      <c r="G52" s="540"/>
      <c r="H52" s="11"/>
      <c r="I52" s="11"/>
      <c r="J52" s="14"/>
      <c r="K52" s="14"/>
      <c r="L52" s="14"/>
      <c r="M52" s="529" t="s">
        <v>12</v>
      </c>
      <c r="N52" s="529"/>
      <c r="O52" s="529"/>
      <c r="P52" s="175"/>
      <c r="Q52" s="178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1"/>
      <c r="AT52" s="11"/>
      <c r="AU52" s="11"/>
      <c r="AV52" s="11"/>
    </row>
    <row r="53" spans="1:48" s="11" customFormat="1" ht="15" customHeight="1" x14ac:dyDescent="0.3">
      <c r="A53" s="12" t="s">
        <v>62</v>
      </c>
      <c r="B53" s="2">
        <f>'GERAL 2023'!H5</f>
        <v>15.019858156028368</v>
      </c>
      <c r="C53" s="88">
        <v>12</v>
      </c>
      <c r="D53" s="2">
        <f t="shared" si="9"/>
        <v>1.2516548463356973</v>
      </c>
      <c r="E53" s="574"/>
      <c r="F53" s="540"/>
      <c r="G53" s="540"/>
      <c r="J53" s="63"/>
      <c r="K53" s="63"/>
      <c r="L53" s="63"/>
      <c r="M53" s="514" t="s">
        <v>449</v>
      </c>
      <c r="N53" s="514"/>
      <c r="O53" s="2">
        <v>19.68</v>
      </c>
      <c r="P53" s="175"/>
      <c r="Q53" s="178"/>
    </row>
    <row r="54" spans="1:48" s="11" customFormat="1" ht="14.4" x14ac:dyDescent="0.3">
      <c r="A54" s="79" t="s">
        <v>60</v>
      </c>
      <c r="B54" s="80">
        <f>'GERAL 2022'!J6</f>
        <v>117.85</v>
      </c>
      <c r="C54" s="78">
        <v>6</v>
      </c>
      <c r="D54" s="80">
        <f t="shared" si="9"/>
        <v>19.641666666666666</v>
      </c>
      <c r="E54" s="574"/>
      <c r="F54" s="540"/>
      <c r="G54" s="540"/>
      <c r="J54" s="14"/>
      <c r="K54" s="14"/>
      <c r="L54" s="14"/>
      <c r="M54" s="514" t="s">
        <v>307</v>
      </c>
      <c r="N54" s="514"/>
      <c r="O54" s="2">
        <v>19.91</v>
      </c>
      <c r="P54" s="175"/>
      <c r="Q54" s="178"/>
    </row>
    <row r="55" spans="1:48" s="11" customFormat="1" ht="15" customHeight="1" x14ac:dyDescent="0.3">
      <c r="A55" s="12" t="s">
        <v>61</v>
      </c>
      <c r="B55" s="2">
        <f>'GERAL 2023'!H6</f>
        <v>15.019858156028368</v>
      </c>
      <c r="C55" s="88">
        <v>12</v>
      </c>
      <c r="D55" s="2">
        <f t="shared" si="9"/>
        <v>1.2516548463356973</v>
      </c>
      <c r="E55" s="574"/>
      <c r="F55" s="540"/>
      <c r="G55" s="540"/>
      <c r="J55" s="63"/>
      <c r="K55" s="63"/>
      <c r="L55" s="63"/>
      <c r="M55" s="514" t="s">
        <v>452</v>
      </c>
      <c r="N55" s="514"/>
      <c r="O55" s="2">
        <v>19.7</v>
      </c>
      <c r="P55" s="175"/>
      <c r="Q55" s="178"/>
    </row>
    <row r="56" spans="1:48" s="11" customFormat="1" ht="14.4" x14ac:dyDescent="0.3">
      <c r="A56" s="79" t="s">
        <v>31</v>
      </c>
      <c r="B56" s="80">
        <f>'GERAL 2023'!J7</f>
        <v>118.18</v>
      </c>
      <c r="C56" s="78">
        <v>6</v>
      </c>
      <c r="D56" s="80">
        <f>B56/C56</f>
        <v>19.696666666666669</v>
      </c>
      <c r="E56" s="574"/>
      <c r="F56" s="540"/>
      <c r="G56" s="540"/>
      <c r="J56" s="14"/>
      <c r="K56" s="14"/>
      <c r="L56" s="14"/>
      <c r="M56" s="514" t="s">
        <v>239</v>
      </c>
      <c r="N56" s="514"/>
      <c r="O56" s="2">
        <v>19.68</v>
      </c>
      <c r="P56" s="175"/>
      <c r="Q56" s="178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</row>
    <row r="57" spans="1:48" s="11" customFormat="1" ht="14.4" x14ac:dyDescent="0.3">
      <c r="A57" s="12" t="s">
        <v>32</v>
      </c>
      <c r="B57" s="2">
        <f>'GERAL 2023'!H7</f>
        <v>15.019858156028368</v>
      </c>
      <c r="C57" s="88">
        <v>12</v>
      </c>
      <c r="D57" s="2">
        <f t="shared" si="9"/>
        <v>1.2516548463356973</v>
      </c>
      <c r="E57" s="574"/>
      <c r="F57" s="540"/>
      <c r="G57" s="540"/>
      <c r="J57" s="63"/>
      <c r="K57" s="63"/>
      <c r="L57" s="63"/>
      <c r="M57" s="514" t="s">
        <v>415</v>
      </c>
      <c r="N57" s="514"/>
      <c r="O57" s="2">
        <v>19.7</v>
      </c>
      <c r="P57" s="175"/>
      <c r="Q57" s="178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</row>
    <row r="58" spans="1:48" s="11" customFormat="1" ht="14.4" x14ac:dyDescent="0.3">
      <c r="A58" s="79" t="s">
        <v>57</v>
      </c>
      <c r="B58" s="80">
        <f>'GERAL 2022'!J36</f>
        <v>119.36</v>
      </c>
      <c r="C58" s="78">
        <v>6</v>
      </c>
      <c r="D58" s="80">
        <f t="shared" si="9"/>
        <v>19.893333333333334</v>
      </c>
      <c r="E58" s="574"/>
      <c r="F58" s="540"/>
      <c r="G58" s="540"/>
      <c r="J58" s="14"/>
      <c r="K58" s="14"/>
      <c r="L58" s="14"/>
      <c r="M58" s="514" t="s">
        <v>123</v>
      </c>
      <c r="N58" s="514"/>
      <c r="O58" s="2">
        <v>19.809999999999999</v>
      </c>
      <c r="P58" s="175"/>
      <c r="Q58" s="185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</row>
    <row r="59" spans="1:48" s="11" customFormat="1" ht="12.75" customHeight="1" x14ac:dyDescent="0.3">
      <c r="A59" s="12" t="s">
        <v>58</v>
      </c>
      <c r="B59" s="2">
        <f>'GERAL 2023'!H8</f>
        <v>21.027801418439715</v>
      </c>
      <c r="C59" s="88">
        <v>12</v>
      </c>
      <c r="D59" s="2">
        <f t="shared" si="9"/>
        <v>1.7523167848699763</v>
      </c>
      <c r="E59" s="574"/>
      <c r="F59" s="540"/>
      <c r="G59" s="540"/>
      <c r="J59" s="63"/>
      <c r="K59" s="63"/>
      <c r="L59" s="63"/>
      <c r="M59" s="514" t="s">
        <v>238</v>
      </c>
      <c r="N59" s="514"/>
      <c r="O59" s="2">
        <v>19.64</v>
      </c>
      <c r="P59" s="175"/>
      <c r="Q59" s="178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</row>
    <row r="60" spans="1:48" s="11" customFormat="1" ht="14.4" x14ac:dyDescent="0.3">
      <c r="A60" s="79" t="s">
        <v>63</v>
      </c>
      <c r="B60" s="80">
        <f>'GERAL 2022'!J9</f>
        <v>118.18</v>
      </c>
      <c r="C60" s="78">
        <v>6</v>
      </c>
      <c r="D60" s="80">
        <f t="shared" si="9"/>
        <v>19.696666666666669</v>
      </c>
      <c r="E60" s="574"/>
      <c r="F60" s="540"/>
      <c r="G60" s="540"/>
      <c r="J60" s="14"/>
      <c r="K60" s="14"/>
      <c r="L60" s="14"/>
      <c r="M60" s="514" t="s">
        <v>170</v>
      </c>
      <c r="N60" s="514"/>
      <c r="O60" s="2">
        <v>19.760000000000002</v>
      </c>
      <c r="P60" s="175"/>
      <c r="Q60" s="178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</row>
    <row r="61" spans="1:48" s="11" customFormat="1" ht="15" customHeight="1" x14ac:dyDescent="0.3">
      <c r="A61" s="12" t="s">
        <v>64</v>
      </c>
      <c r="B61" s="2">
        <f>'GERAL 2023'!H9</f>
        <v>15.019858156028368</v>
      </c>
      <c r="C61" s="88">
        <v>12</v>
      </c>
      <c r="D61" s="2">
        <f t="shared" si="9"/>
        <v>1.2516548463356973</v>
      </c>
      <c r="E61" s="574"/>
      <c r="F61" s="540"/>
      <c r="G61" s="540"/>
      <c r="J61" s="63"/>
      <c r="K61" s="63"/>
      <c r="L61" s="63"/>
      <c r="M61" s="542" t="s">
        <v>622</v>
      </c>
      <c r="N61" s="542"/>
      <c r="O61" s="2">
        <f>120*4</f>
        <v>480</v>
      </c>
      <c r="Q61" s="14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</row>
    <row r="62" spans="1:48" s="11" customFormat="1" ht="14.4" x14ac:dyDescent="0.3">
      <c r="A62" s="79" t="s">
        <v>33</v>
      </c>
      <c r="B62" s="80">
        <f>'GERAL 2022'!J37</f>
        <v>118.18</v>
      </c>
      <c r="C62" s="78">
        <v>6</v>
      </c>
      <c r="D62" s="80">
        <f t="shared" si="9"/>
        <v>19.696666666666669</v>
      </c>
      <c r="E62" s="574"/>
      <c r="F62" s="540"/>
      <c r="G62" s="540"/>
      <c r="J62" s="14"/>
      <c r="K62" s="14"/>
      <c r="L62" s="14"/>
      <c r="M62" s="520" t="s">
        <v>126</v>
      </c>
      <c r="N62" s="520"/>
      <c r="O62" s="2">
        <v>129.26</v>
      </c>
      <c r="P62" s="175"/>
      <c r="Q62" s="178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</row>
    <row r="63" spans="1:48" s="11" customFormat="1" ht="13.5" customHeight="1" x14ac:dyDescent="0.3">
      <c r="A63" s="12" t="s">
        <v>34</v>
      </c>
      <c r="B63" s="2">
        <f>'GERAL 2023'!H10</f>
        <v>15.019858156028368</v>
      </c>
      <c r="C63" s="88">
        <v>12</v>
      </c>
      <c r="D63" s="2">
        <f t="shared" si="9"/>
        <v>1.2516548463356973</v>
      </c>
      <c r="E63" s="574"/>
      <c r="F63" s="540"/>
      <c r="G63" s="540"/>
      <c r="J63" s="63"/>
      <c r="K63" s="63"/>
      <c r="L63" s="63"/>
      <c r="M63" s="570" t="s">
        <v>277</v>
      </c>
      <c r="N63" s="570"/>
      <c r="O63" s="2">
        <v>40</v>
      </c>
      <c r="P63" s="175"/>
      <c r="Q63" s="178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</row>
    <row r="64" spans="1:48" s="11" customFormat="1" ht="14.4" x14ac:dyDescent="0.3">
      <c r="A64" s="79" t="s">
        <v>41</v>
      </c>
      <c r="B64" s="80">
        <f>'GERAL 2022'!J11</f>
        <v>118.18</v>
      </c>
      <c r="C64" s="78">
        <v>6</v>
      </c>
      <c r="D64" s="80">
        <f t="shared" si="9"/>
        <v>19.696666666666669</v>
      </c>
      <c r="E64" s="574"/>
      <c r="F64" s="540"/>
      <c r="G64" s="540"/>
      <c r="M64" s="516"/>
      <c r="N64" s="517"/>
      <c r="O64" s="5"/>
      <c r="P64" s="175"/>
      <c r="Q64" s="178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</row>
    <row r="65" spans="1:47" s="11" customFormat="1" ht="14.4" x14ac:dyDescent="0.3">
      <c r="A65" s="12" t="s">
        <v>42</v>
      </c>
      <c r="B65" s="2">
        <f>'GERAL 2023'!H11</f>
        <v>15.019858156028368</v>
      </c>
      <c r="C65" s="88">
        <v>12</v>
      </c>
      <c r="D65" s="2">
        <f t="shared" si="9"/>
        <v>1.2516548463356973</v>
      </c>
      <c r="E65" s="574"/>
      <c r="F65" s="540"/>
      <c r="G65" s="540"/>
      <c r="J65" s="63"/>
      <c r="K65" s="63"/>
      <c r="L65" s="63"/>
      <c r="M65" s="563"/>
      <c r="N65" s="563"/>
      <c r="O65" s="141"/>
      <c r="P65" s="175"/>
      <c r="Q65" s="178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</row>
    <row r="66" spans="1:47" s="11" customFormat="1" ht="14.4" x14ac:dyDescent="0.3">
      <c r="A66" s="79" t="s">
        <v>66</v>
      </c>
      <c r="B66" s="80">
        <f>'GERAL 2022'!J38</f>
        <v>117.85</v>
      </c>
      <c r="C66" s="78">
        <v>6</v>
      </c>
      <c r="D66" s="80">
        <f t="shared" si="9"/>
        <v>19.641666666666666</v>
      </c>
      <c r="E66" s="574"/>
      <c r="F66" s="540"/>
      <c r="G66" s="540"/>
      <c r="J66" s="14"/>
      <c r="K66" s="14"/>
      <c r="L66" s="14"/>
      <c r="M66" s="520"/>
      <c r="N66" s="520"/>
      <c r="O66" s="5"/>
      <c r="P66" s="175"/>
      <c r="Q66" s="185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</row>
    <row r="67" spans="1:47" s="11" customFormat="1" ht="14.4" x14ac:dyDescent="0.3">
      <c r="A67" s="12" t="s">
        <v>67</v>
      </c>
      <c r="B67" s="2">
        <f>'GERAL 2023'!H12</f>
        <v>15.019858156028368</v>
      </c>
      <c r="C67" s="88">
        <v>12</v>
      </c>
      <c r="D67" s="2">
        <f t="shared" si="9"/>
        <v>1.2516548463356973</v>
      </c>
      <c r="E67" s="574"/>
      <c r="F67" s="540"/>
      <c r="G67" s="540"/>
      <c r="J67" s="63"/>
      <c r="K67" s="63"/>
      <c r="L67" s="63"/>
      <c r="M67" s="563"/>
      <c r="N67" s="563"/>
      <c r="O67" s="141"/>
      <c r="P67" s="175"/>
      <c r="Q67" s="176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</row>
    <row r="68" spans="1:47" s="11" customFormat="1" ht="14.4" x14ac:dyDescent="0.3">
      <c r="A68" s="79" t="s">
        <v>14</v>
      </c>
      <c r="B68" s="80">
        <f>'GERAL 2022'!J13</f>
        <v>117.85</v>
      </c>
      <c r="C68" s="78">
        <v>6</v>
      </c>
      <c r="D68" s="80">
        <f t="shared" si="9"/>
        <v>19.641666666666666</v>
      </c>
      <c r="E68" s="574"/>
      <c r="F68" s="540"/>
      <c r="G68" s="540"/>
      <c r="J68" s="14"/>
      <c r="K68" s="14"/>
      <c r="L68" s="14"/>
      <c r="M68" s="520"/>
      <c r="N68" s="520"/>
      <c r="O68" s="165"/>
      <c r="P68" s="175"/>
      <c r="Q68" s="176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</row>
    <row r="69" spans="1:47" s="11" customFormat="1" ht="14.4" x14ac:dyDescent="0.3">
      <c r="A69" s="12" t="s">
        <v>15</v>
      </c>
      <c r="B69" s="2">
        <f>'GERAL 2023'!H13</f>
        <v>15.019858156028368</v>
      </c>
      <c r="C69" s="88">
        <v>12</v>
      </c>
      <c r="D69" s="2">
        <f t="shared" si="9"/>
        <v>1.2516548463356973</v>
      </c>
      <c r="E69" s="574"/>
      <c r="F69" s="540"/>
      <c r="G69" s="540"/>
      <c r="J69" s="87"/>
      <c r="K69" s="87"/>
      <c r="L69" s="87"/>
      <c r="M69" s="518" t="s">
        <v>26</v>
      </c>
      <c r="N69" s="518"/>
      <c r="O69" s="109">
        <f>SUM(O48:O68)</f>
        <v>2344.6685867961551</v>
      </c>
      <c r="P69" s="175"/>
      <c r="Q69" s="176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</row>
    <row r="70" spans="1:47" s="11" customFormat="1" ht="14.4" x14ac:dyDescent="0.3">
      <c r="A70" s="79" t="s">
        <v>55</v>
      </c>
      <c r="B70" s="80">
        <f>'GERAL 2022'!J14</f>
        <v>117.85</v>
      </c>
      <c r="C70" s="78">
        <v>6</v>
      </c>
      <c r="D70" s="80">
        <f t="shared" si="9"/>
        <v>19.641666666666666</v>
      </c>
      <c r="E70" s="574"/>
      <c r="F70" s="540"/>
      <c r="G70" s="540"/>
      <c r="M70" s="543"/>
      <c r="N70" s="543"/>
      <c r="O70" s="135"/>
      <c r="P70" s="175"/>
      <c r="Q70" s="176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</row>
    <row r="71" spans="1:47" s="11" customFormat="1" ht="14.4" x14ac:dyDescent="0.3">
      <c r="A71" s="12" t="s">
        <v>56</v>
      </c>
      <c r="B71" s="2">
        <f>'GERAL 2023'!H14</f>
        <v>15.019858156028368</v>
      </c>
      <c r="C71" s="88">
        <v>12</v>
      </c>
      <c r="D71" s="2">
        <f t="shared" si="9"/>
        <v>1.2516548463356973</v>
      </c>
      <c r="E71" s="574"/>
      <c r="F71" s="540"/>
      <c r="G71" s="540"/>
      <c r="M71" s="564" t="s">
        <v>11</v>
      </c>
      <c r="N71" s="565"/>
      <c r="O71" s="153">
        <f>J5+J35+J39</f>
        <v>16998.955751934267</v>
      </c>
      <c r="P71" s="175"/>
      <c r="Q71" s="176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</row>
    <row r="72" spans="1:47" s="11" customFormat="1" ht="14.4" x14ac:dyDescent="0.3">
      <c r="A72" s="79" t="s">
        <v>35</v>
      </c>
      <c r="B72" s="80">
        <f>'GERAL 2022'!J15</f>
        <v>117.85</v>
      </c>
      <c r="C72" s="78">
        <v>6</v>
      </c>
      <c r="D72" s="80">
        <f t="shared" si="9"/>
        <v>19.641666666666666</v>
      </c>
      <c r="E72" s="574"/>
      <c r="F72" s="540"/>
      <c r="G72" s="540"/>
      <c r="M72" s="518"/>
      <c r="N72" s="518"/>
      <c r="O72" s="519"/>
      <c r="P72" s="175"/>
      <c r="Q72" s="178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</row>
    <row r="73" spans="1:47" s="11" customFormat="1" ht="14.4" x14ac:dyDescent="0.3">
      <c r="A73" s="12" t="s">
        <v>36</v>
      </c>
      <c r="B73" s="2">
        <f>'GERAL 2023'!H15</f>
        <v>15.019858156028368</v>
      </c>
      <c r="C73" s="88">
        <v>12</v>
      </c>
      <c r="D73" s="2">
        <f t="shared" si="9"/>
        <v>1.2516548463356973</v>
      </c>
      <c r="E73" s="574"/>
      <c r="F73" s="540"/>
      <c r="G73" s="540"/>
      <c r="J73" s="14"/>
      <c r="K73" s="14"/>
      <c r="L73" s="14"/>
      <c r="M73" s="513" t="s">
        <v>13</v>
      </c>
      <c r="N73" s="513"/>
      <c r="O73" s="151">
        <f>O71-O69</f>
        <v>14654.287165138112</v>
      </c>
      <c r="P73" s="175"/>
      <c r="Q73" s="178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</row>
    <row r="74" spans="1:47" s="11" customFormat="1" ht="14.4" x14ac:dyDescent="0.3">
      <c r="A74" s="79" t="s">
        <v>47</v>
      </c>
      <c r="B74" s="80">
        <f>'GERAL 2022'!J39</f>
        <v>118.18</v>
      </c>
      <c r="C74" s="78">
        <v>6</v>
      </c>
      <c r="D74" s="80">
        <f t="shared" si="9"/>
        <v>19.696666666666669</v>
      </c>
      <c r="E74" s="574"/>
      <c r="F74" s="540"/>
      <c r="G74" s="540"/>
      <c r="J74" s="15"/>
      <c r="K74" s="15"/>
      <c r="L74" s="15"/>
      <c r="M74" s="124"/>
      <c r="N74" s="124"/>
      <c r="O74" s="57"/>
      <c r="P74" s="175"/>
      <c r="Q74" s="178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</row>
    <row r="75" spans="1:47" s="11" customFormat="1" ht="14.4" x14ac:dyDescent="0.3">
      <c r="A75" s="12" t="s">
        <v>48</v>
      </c>
      <c r="B75" s="2">
        <f>'GERAL 2023'!H16</f>
        <v>15.019858156028368</v>
      </c>
      <c r="C75" s="88">
        <v>12</v>
      </c>
      <c r="D75" s="2">
        <f t="shared" si="9"/>
        <v>1.2516548463356973</v>
      </c>
      <c r="E75" s="574"/>
      <c r="F75" s="540"/>
      <c r="G75" s="540"/>
      <c r="J75" s="14"/>
      <c r="K75" s="14"/>
      <c r="L75" s="14"/>
      <c r="M75" s="124"/>
      <c r="N75" s="124"/>
      <c r="O75" s="57"/>
      <c r="P75" s="175"/>
      <c r="Q75" s="178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</row>
    <row r="76" spans="1:47" s="11" customFormat="1" ht="14.4" x14ac:dyDescent="0.3">
      <c r="A76" s="79" t="s">
        <v>16</v>
      </c>
      <c r="B76" s="80">
        <f>'GERAL 2022'!J40</f>
        <v>119.02</v>
      </c>
      <c r="C76" s="78">
        <v>6</v>
      </c>
      <c r="D76" s="80">
        <f t="shared" si="9"/>
        <v>19.836666666666666</v>
      </c>
      <c r="E76" s="574"/>
      <c r="F76" s="540"/>
      <c r="G76" s="540"/>
      <c r="J76" s="14"/>
      <c r="K76" s="14"/>
      <c r="L76" s="14"/>
      <c r="M76" s="124"/>
      <c r="N76" s="124"/>
      <c r="O76" s="57"/>
      <c r="P76" s="175"/>
      <c r="Q76" s="178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</row>
    <row r="77" spans="1:47" s="11" customFormat="1" ht="14.4" x14ac:dyDescent="0.3">
      <c r="A77" s="12" t="s">
        <v>17</v>
      </c>
      <c r="B77" s="2">
        <f>'GERAL 2023'!H17</f>
        <v>21.027801418439715</v>
      </c>
      <c r="C77" s="88">
        <v>12</v>
      </c>
      <c r="D77" s="2">
        <f t="shared" si="9"/>
        <v>1.7523167848699763</v>
      </c>
      <c r="E77" s="574"/>
      <c r="F77" s="540"/>
      <c r="G77" s="540"/>
      <c r="J77" s="14"/>
      <c r="K77" s="14"/>
      <c r="L77" s="14"/>
      <c r="M77" s="124"/>
      <c r="N77" s="124"/>
      <c r="O77" s="57"/>
      <c r="P77" s="175"/>
      <c r="Q77" s="178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</row>
    <row r="78" spans="1:47" s="11" customFormat="1" x14ac:dyDescent="0.3">
      <c r="A78" s="79" t="s">
        <v>27</v>
      </c>
      <c r="B78" s="80">
        <f>'GERAL 2022'!J18</f>
        <v>118.87</v>
      </c>
      <c r="C78" s="78">
        <v>6</v>
      </c>
      <c r="D78" s="80">
        <f t="shared" si="9"/>
        <v>19.811666666666667</v>
      </c>
      <c r="E78" s="574"/>
      <c r="F78" s="540"/>
      <c r="G78" s="540"/>
      <c r="J78" s="14"/>
      <c r="K78" s="14"/>
      <c r="L78" s="14"/>
      <c r="M78" s="15"/>
      <c r="N78" s="14"/>
      <c r="O78" s="57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</row>
    <row r="79" spans="1:47" s="69" customFormat="1" x14ac:dyDescent="0.3">
      <c r="A79" s="12" t="s">
        <v>28</v>
      </c>
      <c r="B79" s="2">
        <f>'GERAL 2023'!H18</f>
        <v>15.019858156028368</v>
      </c>
      <c r="C79" s="88">
        <v>12</v>
      </c>
      <c r="D79" s="2">
        <f t="shared" si="9"/>
        <v>1.2516548463356973</v>
      </c>
      <c r="E79" s="574"/>
      <c r="F79" s="540"/>
      <c r="G79" s="540"/>
      <c r="H79" s="11"/>
      <c r="I79" s="11"/>
      <c r="J79" s="14"/>
      <c r="K79" s="14"/>
      <c r="L79" s="14"/>
      <c r="M79" s="11"/>
      <c r="N79" s="15"/>
      <c r="O79" s="57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</row>
    <row r="80" spans="1:47" s="69" customFormat="1" x14ac:dyDescent="0.3">
      <c r="A80" s="79" t="s">
        <v>18</v>
      </c>
      <c r="B80" s="80">
        <f>'GERAL 2022'!J41</f>
        <v>118.18</v>
      </c>
      <c r="C80" s="78">
        <v>6</v>
      </c>
      <c r="D80" s="80">
        <f t="shared" si="9"/>
        <v>19.696666666666669</v>
      </c>
      <c r="E80" s="574"/>
      <c r="F80" s="540"/>
      <c r="G80" s="540"/>
      <c r="H80" s="11"/>
      <c r="I80" s="11"/>
      <c r="J80" s="14"/>
      <c r="K80" s="14"/>
      <c r="L80" s="14"/>
      <c r="M80" s="11"/>
      <c r="N80" s="11"/>
      <c r="O80" s="57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</row>
    <row r="81" spans="1:47" s="69" customFormat="1" x14ac:dyDescent="0.3">
      <c r="A81" s="12" t="s">
        <v>19</v>
      </c>
      <c r="B81" s="2">
        <f>'GERAL 2023'!H19</f>
        <v>15.019858156028368</v>
      </c>
      <c r="C81" s="88">
        <v>12</v>
      </c>
      <c r="D81" s="2">
        <f>B81/C81</f>
        <v>1.2516548463356973</v>
      </c>
      <c r="E81" s="574"/>
      <c r="F81" s="540"/>
      <c r="G81" s="540"/>
      <c r="H81" s="11"/>
      <c r="I81" s="11"/>
      <c r="J81" s="14"/>
      <c r="K81" s="14"/>
      <c r="L81" s="14"/>
      <c r="M81" s="14"/>
      <c r="N81" s="14"/>
      <c r="O81" s="57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</row>
    <row r="82" spans="1:47" s="69" customFormat="1" x14ac:dyDescent="0.3">
      <c r="A82" s="79" t="s">
        <v>37</v>
      </c>
      <c r="B82" s="80">
        <f>'GERAL 2022'!J42</f>
        <v>118.92</v>
      </c>
      <c r="C82" s="78">
        <v>6</v>
      </c>
      <c r="D82" s="80">
        <f t="shared" si="9"/>
        <v>19.82</v>
      </c>
      <c r="E82" s="574"/>
      <c r="F82" s="540"/>
      <c r="G82" s="540"/>
      <c r="H82" s="11"/>
      <c r="I82" s="11"/>
      <c r="J82" s="14"/>
      <c r="K82" s="14"/>
      <c r="L82" s="14"/>
      <c r="M82" s="14"/>
      <c r="N82" s="15"/>
      <c r="O82" s="57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</row>
    <row r="83" spans="1:47" s="69" customFormat="1" x14ac:dyDescent="0.3">
      <c r="A83" s="12" t="s">
        <v>38</v>
      </c>
      <c r="B83" s="2">
        <f>'GERAL 2023'!H20</f>
        <v>15.019858156028368</v>
      </c>
      <c r="C83" s="88">
        <v>12</v>
      </c>
      <c r="D83" s="2">
        <f t="shared" si="9"/>
        <v>1.2516548463356973</v>
      </c>
      <c r="E83" s="574"/>
      <c r="F83" s="540"/>
      <c r="G83" s="540"/>
      <c r="H83" s="11"/>
      <c r="I83" s="11"/>
      <c r="J83" s="14"/>
      <c r="K83" s="14"/>
      <c r="L83" s="14"/>
      <c r="M83" s="14"/>
      <c r="N83" s="11"/>
      <c r="O83" s="57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</row>
    <row r="84" spans="1:47" s="69" customFormat="1" x14ac:dyDescent="0.3">
      <c r="A84" s="79" t="s">
        <v>45</v>
      </c>
      <c r="B84" s="80">
        <f>'GERAL 2022'!J43</f>
        <v>117.85</v>
      </c>
      <c r="C84" s="78">
        <v>6</v>
      </c>
      <c r="D84" s="80">
        <f t="shared" si="9"/>
        <v>19.641666666666666</v>
      </c>
      <c r="E84" s="574"/>
      <c r="F84" s="540"/>
      <c r="G84" s="540"/>
      <c r="H84" s="11"/>
      <c r="I84" s="11"/>
      <c r="J84" s="14"/>
      <c r="K84" s="14"/>
      <c r="L84" s="14"/>
      <c r="M84" s="14"/>
      <c r="N84" s="11"/>
      <c r="O84" s="57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</row>
    <row r="85" spans="1:47" s="69" customFormat="1" x14ac:dyDescent="0.3">
      <c r="A85" s="12" t="s">
        <v>39</v>
      </c>
      <c r="B85" s="2">
        <f>'GERAL 2023'!H21</f>
        <v>15.019858156028368</v>
      </c>
      <c r="C85" s="88">
        <v>12</v>
      </c>
      <c r="D85" s="2">
        <f t="shared" si="9"/>
        <v>1.2516548463356973</v>
      </c>
      <c r="E85" s="574"/>
      <c r="F85" s="540"/>
      <c r="G85" s="540"/>
      <c r="H85" s="11"/>
      <c r="I85" s="11"/>
      <c r="J85" s="14"/>
      <c r="K85" s="14"/>
      <c r="L85" s="14"/>
      <c r="M85" s="11"/>
      <c r="N85" s="11"/>
      <c r="O85" s="57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</row>
    <row r="86" spans="1:47" s="69" customFormat="1" x14ac:dyDescent="0.3">
      <c r="A86" s="81" t="s">
        <v>49</v>
      </c>
      <c r="B86" s="80">
        <f>'GERAL 2022'!J22</f>
        <v>119.12</v>
      </c>
      <c r="C86" s="78">
        <v>6</v>
      </c>
      <c r="D86" s="80">
        <f t="shared" si="9"/>
        <v>19.853333333333335</v>
      </c>
      <c r="E86" s="574"/>
      <c r="F86" s="540"/>
      <c r="G86" s="540"/>
      <c r="H86" s="11"/>
      <c r="I86" s="11"/>
      <c r="J86" s="14"/>
      <c r="K86" s="14"/>
      <c r="L86" s="14"/>
      <c r="M86" s="11"/>
      <c r="N86" s="14"/>
      <c r="O86" s="57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</row>
    <row r="87" spans="1:47" s="69" customFormat="1" x14ac:dyDescent="0.3">
      <c r="A87" s="90" t="s">
        <v>50</v>
      </c>
      <c r="B87" s="2">
        <f>'GERAL 2023'!H22</f>
        <v>15.019858156028368</v>
      </c>
      <c r="C87" s="88">
        <v>12</v>
      </c>
      <c r="D87" s="2">
        <f t="shared" si="9"/>
        <v>1.2516548463356973</v>
      </c>
      <c r="E87" s="574"/>
      <c r="F87" s="540"/>
      <c r="G87" s="540"/>
      <c r="H87" s="11"/>
      <c r="I87" s="11"/>
      <c r="J87" s="14"/>
      <c r="K87" s="14"/>
      <c r="L87" s="14"/>
      <c r="M87" s="11"/>
      <c r="N87" s="14"/>
      <c r="O87" s="57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</row>
    <row r="88" spans="1:47" s="69" customFormat="1" x14ac:dyDescent="0.3">
      <c r="A88" s="81" t="s">
        <v>43</v>
      </c>
      <c r="B88" s="80">
        <f>'GERAL 2022'!J23</f>
        <v>117.26</v>
      </c>
      <c r="C88" s="78">
        <v>6</v>
      </c>
      <c r="D88" s="80">
        <f t="shared" si="9"/>
        <v>19.543333333333333</v>
      </c>
      <c r="E88" s="574"/>
      <c r="F88" s="540"/>
      <c r="G88" s="540"/>
      <c r="H88" s="11"/>
      <c r="I88" s="11"/>
      <c r="J88" s="14"/>
      <c r="K88" s="14"/>
      <c r="L88" s="14"/>
      <c r="M88" s="11"/>
      <c r="N88" s="14"/>
      <c r="O88" s="57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</row>
    <row r="89" spans="1:47" s="69" customFormat="1" x14ac:dyDescent="0.3">
      <c r="A89" s="90" t="s">
        <v>44</v>
      </c>
      <c r="B89" s="2">
        <f>'GERAL 2023'!H23</f>
        <v>15.019858156028368</v>
      </c>
      <c r="C89" s="88">
        <v>12</v>
      </c>
      <c r="D89" s="2">
        <f t="shared" si="9"/>
        <v>1.2516548463356973</v>
      </c>
      <c r="E89" s="574"/>
      <c r="F89" s="540"/>
      <c r="G89" s="540"/>
      <c r="H89" s="11"/>
      <c r="I89" s="11"/>
      <c r="J89" s="14"/>
      <c r="K89" s="14"/>
      <c r="L89" s="14"/>
      <c r="M89" s="11"/>
      <c r="N89" s="14"/>
      <c r="O89" s="57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</row>
    <row r="90" spans="1:47" s="69" customFormat="1" x14ac:dyDescent="0.3">
      <c r="A90" s="81" t="s">
        <v>51</v>
      </c>
      <c r="B90" s="80">
        <f>'GERAL 2022'!J24</f>
        <v>117.26</v>
      </c>
      <c r="C90" s="78">
        <v>6</v>
      </c>
      <c r="D90" s="80">
        <f t="shared" si="9"/>
        <v>19.543333333333333</v>
      </c>
      <c r="E90" s="574"/>
      <c r="F90" s="540"/>
      <c r="G90" s="540"/>
      <c r="J90" s="142"/>
      <c r="K90" s="142"/>
      <c r="L90" s="142"/>
      <c r="M90" s="11"/>
      <c r="N90" s="11"/>
      <c r="O90" s="57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</row>
    <row r="91" spans="1:47" s="70" customFormat="1" x14ac:dyDescent="0.3">
      <c r="A91" s="90" t="s">
        <v>52</v>
      </c>
      <c r="B91" s="2">
        <f>'GERAL 2023'!H24</f>
        <v>15.019858156028368</v>
      </c>
      <c r="C91" s="88">
        <v>12</v>
      </c>
      <c r="D91" s="2">
        <f t="shared" si="9"/>
        <v>1.2516548463356973</v>
      </c>
      <c r="E91" s="574"/>
      <c r="F91" s="540"/>
      <c r="G91" s="540"/>
      <c r="H91" s="63"/>
      <c r="I91" s="63"/>
      <c r="J91" s="69"/>
      <c r="K91" s="69"/>
      <c r="L91" s="69"/>
      <c r="M91" s="11"/>
      <c r="N91" s="11"/>
      <c r="O91" s="57"/>
    </row>
    <row r="92" spans="1:47" s="70" customFormat="1" ht="15" customHeight="1" x14ac:dyDescent="0.3">
      <c r="A92" s="81" t="s">
        <v>53</v>
      </c>
      <c r="B92" s="80">
        <f>'GERAL 2022'!J25</f>
        <v>117.85</v>
      </c>
      <c r="C92" s="78">
        <v>6</v>
      </c>
      <c r="D92" s="80">
        <f t="shared" si="9"/>
        <v>19.641666666666666</v>
      </c>
      <c r="E92" s="574"/>
      <c r="F92" s="540"/>
      <c r="G92" s="540"/>
      <c r="H92" s="11"/>
      <c r="I92" s="63"/>
      <c r="J92" s="142"/>
      <c r="K92" s="142"/>
      <c r="L92" s="142"/>
      <c r="M92" s="69"/>
      <c r="N92" s="69"/>
      <c r="O92" s="69"/>
      <c r="AU92" s="69"/>
    </row>
    <row r="93" spans="1:47" s="70" customFormat="1" x14ac:dyDescent="0.3">
      <c r="A93" s="90" t="s">
        <v>54</v>
      </c>
      <c r="B93" s="2">
        <f>'GERAL 2023'!H25</f>
        <v>15.019858156028368</v>
      </c>
      <c r="C93" s="88">
        <v>12</v>
      </c>
      <c r="D93" s="2">
        <f t="shared" si="9"/>
        <v>1.2516548463356973</v>
      </c>
      <c r="E93" s="574"/>
      <c r="F93" s="540"/>
      <c r="G93" s="540"/>
      <c r="H93" s="142"/>
      <c r="I93" s="142"/>
      <c r="J93" s="142"/>
      <c r="K93" s="142"/>
      <c r="L93" s="142"/>
      <c r="M93" s="69"/>
      <c r="N93" s="69"/>
      <c r="O93" s="69"/>
      <c r="AU93" s="69"/>
    </row>
    <row r="94" spans="1:47" s="70" customFormat="1" x14ac:dyDescent="0.3">
      <c r="A94" s="81" t="s">
        <v>78</v>
      </c>
      <c r="B94" s="80">
        <f>'GERAL 2022'!J26</f>
        <v>119.02</v>
      </c>
      <c r="C94" s="78">
        <v>6</v>
      </c>
      <c r="D94" s="80">
        <f t="shared" si="9"/>
        <v>19.836666666666666</v>
      </c>
      <c r="E94" s="574"/>
      <c r="F94" s="540"/>
      <c r="G94" s="540"/>
      <c r="H94" s="11"/>
      <c r="I94" s="63"/>
      <c r="J94" s="142"/>
      <c r="K94" s="142"/>
      <c r="L94" s="142"/>
      <c r="M94" s="69"/>
      <c r="N94" s="69"/>
      <c r="O94" s="69"/>
      <c r="AU94" s="69"/>
    </row>
    <row r="95" spans="1:47" s="70" customFormat="1" x14ac:dyDescent="0.3">
      <c r="A95" s="90" t="s">
        <v>79</v>
      </c>
      <c r="B95" s="2">
        <f>'GERAL 2023'!H26</f>
        <v>21.027801418439715</v>
      </c>
      <c r="C95" s="88">
        <v>12</v>
      </c>
      <c r="D95" s="2">
        <f t="shared" si="9"/>
        <v>1.7523167848699763</v>
      </c>
      <c r="E95" s="574"/>
      <c r="F95" s="540"/>
      <c r="G95" s="540"/>
      <c r="H95" s="142"/>
      <c r="I95" s="142"/>
      <c r="J95" s="142"/>
      <c r="K95" s="142"/>
      <c r="L95" s="142"/>
      <c r="M95" s="69"/>
      <c r="N95" s="69"/>
      <c r="O95" s="69"/>
      <c r="AU95" s="69"/>
    </row>
    <row r="96" spans="1:47" s="70" customFormat="1" x14ac:dyDescent="0.3">
      <c r="A96" s="81" t="s">
        <v>80</v>
      </c>
      <c r="B96" s="80">
        <f>'GERAL 2022'!J44</f>
        <v>118.53</v>
      </c>
      <c r="C96" s="78">
        <v>6</v>
      </c>
      <c r="D96" s="80">
        <f t="shared" si="9"/>
        <v>19.754999999999999</v>
      </c>
      <c r="E96" s="574"/>
      <c r="F96" s="540"/>
      <c r="G96" s="540"/>
      <c r="H96" s="11"/>
      <c r="I96" s="63"/>
      <c r="J96" s="142"/>
      <c r="K96" s="142"/>
      <c r="L96" s="142"/>
      <c r="M96" s="69"/>
      <c r="N96" s="69"/>
      <c r="O96" s="69"/>
      <c r="AU96" s="69"/>
    </row>
    <row r="97" spans="1:47" s="70" customFormat="1" x14ac:dyDescent="0.3">
      <c r="A97" s="90" t="s">
        <v>81</v>
      </c>
      <c r="B97" s="2">
        <f>'GERAL 2023'!H27</f>
        <v>15.019858156028368</v>
      </c>
      <c r="C97" s="88">
        <v>12</v>
      </c>
      <c r="D97" s="2">
        <f t="shared" si="9"/>
        <v>1.2516548463356973</v>
      </c>
      <c r="E97" s="574"/>
      <c r="F97" s="540"/>
      <c r="G97" s="540"/>
      <c r="H97" s="142"/>
      <c r="I97" s="142"/>
      <c r="J97" s="142"/>
      <c r="K97" s="142"/>
      <c r="L97" s="142"/>
      <c r="M97" s="69"/>
      <c r="N97" s="69"/>
      <c r="O97" s="69"/>
      <c r="AU97" s="69"/>
    </row>
    <row r="98" spans="1:47" s="70" customFormat="1" x14ac:dyDescent="0.3">
      <c r="A98" s="81" t="s">
        <v>82</v>
      </c>
      <c r="B98" s="80">
        <f>'GERAL 2022'!J28</f>
        <v>117.95</v>
      </c>
      <c r="C98" s="78">
        <v>6</v>
      </c>
      <c r="D98" s="80">
        <f t="shared" si="9"/>
        <v>19.658333333333335</v>
      </c>
      <c r="E98" s="574"/>
      <c r="F98" s="540"/>
      <c r="G98" s="540"/>
      <c r="H98" s="11"/>
      <c r="I98" s="63"/>
      <c r="J98" s="142"/>
      <c r="K98" s="142"/>
      <c r="L98" s="142"/>
      <c r="M98" s="69"/>
      <c r="N98" s="69"/>
      <c r="O98" s="69"/>
      <c r="AU98" s="69"/>
    </row>
    <row r="99" spans="1:47" s="70" customFormat="1" x14ac:dyDescent="0.3">
      <c r="A99" s="90" t="s">
        <v>83</v>
      </c>
      <c r="B99" s="2">
        <f>'GERAL 2023'!H28</f>
        <v>15.019858156028368</v>
      </c>
      <c r="C99" s="88">
        <v>12</v>
      </c>
      <c r="D99" s="2">
        <f t="shared" si="9"/>
        <v>1.2516548463356973</v>
      </c>
      <c r="E99" s="574"/>
      <c r="F99" s="540"/>
      <c r="G99" s="540"/>
      <c r="H99" s="142"/>
      <c r="I99" s="142"/>
      <c r="J99" s="142"/>
      <c r="K99" s="142"/>
      <c r="L99" s="142"/>
      <c r="M99" s="144"/>
      <c r="N99" s="69"/>
      <c r="O99" s="69"/>
      <c r="AU99" s="69"/>
    </row>
    <row r="100" spans="1:47" s="70" customFormat="1" x14ac:dyDescent="0.3">
      <c r="A100" s="81" t="s">
        <v>84</v>
      </c>
      <c r="B100" s="80">
        <f>'GERAL 2022'!J45</f>
        <v>118.18</v>
      </c>
      <c r="C100" s="78">
        <v>6</v>
      </c>
      <c r="D100" s="80">
        <f t="shared" si="9"/>
        <v>19.696666666666669</v>
      </c>
      <c r="E100" s="574"/>
      <c r="F100" s="540"/>
      <c r="G100" s="540"/>
      <c r="H100" s="11"/>
      <c r="I100" s="63"/>
      <c r="J100" s="142"/>
      <c r="K100" s="142"/>
      <c r="L100" s="142"/>
      <c r="M100" s="144"/>
      <c r="N100" s="69"/>
      <c r="O100" s="69"/>
      <c r="AU100" s="69"/>
    </row>
    <row r="101" spans="1:47" s="70" customFormat="1" x14ac:dyDescent="0.3">
      <c r="A101" s="90" t="s">
        <v>85</v>
      </c>
      <c r="B101" s="2">
        <f>'GERAL 2023'!H29</f>
        <v>15.019858156028368</v>
      </c>
      <c r="C101" s="88">
        <v>12</v>
      </c>
      <c r="D101" s="2">
        <f t="shared" si="9"/>
        <v>1.2516548463356973</v>
      </c>
      <c r="E101" s="574"/>
      <c r="F101" s="540"/>
      <c r="G101" s="540"/>
      <c r="H101" s="142"/>
      <c r="I101" s="142"/>
      <c r="J101" s="142"/>
      <c r="K101" s="142"/>
      <c r="L101" s="142"/>
      <c r="M101" s="144"/>
      <c r="N101" s="69"/>
      <c r="AU101" s="69"/>
    </row>
    <row r="102" spans="1:47" s="70" customFormat="1" x14ac:dyDescent="0.3">
      <c r="A102" s="69"/>
      <c r="B102" s="189">
        <f>B49+B51+B53+B55+B57+B59+B61+B63+B65+B67+B69+B71+B73+B75+B77+B79+B81+B83+B85+B87+B89+B91+B93+B95+B97+B99+B101</f>
        <v>423.55999999999989</v>
      </c>
      <c r="C102" s="189">
        <f>C49+C51+C53+C55+C57+C59+C61+C63+C65+C67+C69+C71+C73+C75+C77+C79+C81+C83+C85+C87+C89+C91+C93+C95+C97+C99+C101</f>
        <v>324</v>
      </c>
      <c r="D102" s="189">
        <f>D49+D51+D53+D55+D57+D59+D61+D63+D65+D67+D69+D71+D73+D75+D77+D79+D81+D83+D85+D87+D89+D91+D93+D95+D97+D99+D101</f>
        <v>35.29666666666666</v>
      </c>
      <c r="E102" s="69"/>
      <c r="F102" s="69"/>
      <c r="G102" s="69"/>
      <c r="H102" s="142"/>
      <c r="I102" s="142"/>
      <c r="J102" s="142"/>
      <c r="K102" s="142"/>
      <c r="L102" s="142"/>
      <c r="M102" s="144"/>
      <c r="N102" s="69"/>
      <c r="AU102" s="69"/>
    </row>
    <row r="103" spans="1:47" s="70" customFormat="1" x14ac:dyDescent="0.3">
      <c r="A103" s="69"/>
      <c r="B103" s="69"/>
      <c r="C103" s="69"/>
      <c r="D103" s="69"/>
      <c r="E103" s="69"/>
      <c r="F103" s="69"/>
      <c r="G103" s="69"/>
      <c r="H103" s="69"/>
      <c r="I103" s="69"/>
      <c r="J103" s="142"/>
      <c r="K103" s="142"/>
      <c r="L103" s="142"/>
      <c r="M103" s="144"/>
      <c r="N103" s="69"/>
      <c r="AU103" s="69"/>
    </row>
    <row r="104" spans="1:47" s="70" customFormat="1" x14ac:dyDescent="0.3">
      <c r="A104" s="69"/>
      <c r="B104" s="69"/>
      <c r="C104" s="69"/>
      <c r="D104" s="69"/>
      <c r="E104" s="69"/>
      <c r="F104" s="69"/>
      <c r="G104" s="69"/>
      <c r="H104" s="69"/>
      <c r="I104" s="69"/>
      <c r="J104" s="142"/>
      <c r="K104" s="142"/>
      <c r="L104" s="142"/>
      <c r="M104" s="144"/>
      <c r="N104" s="144"/>
      <c r="AU104" s="69"/>
    </row>
    <row r="105" spans="1:47" s="70" customFormat="1" x14ac:dyDescent="0.3">
      <c r="A105" s="69"/>
      <c r="B105" s="69"/>
      <c r="C105" s="69"/>
      <c r="D105" s="69"/>
      <c r="E105" s="69"/>
      <c r="F105" s="69"/>
      <c r="G105" s="69"/>
      <c r="H105" s="69"/>
      <c r="I105" s="69"/>
      <c r="J105" s="142"/>
      <c r="K105" s="142"/>
      <c r="L105" s="142"/>
      <c r="M105" s="144"/>
      <c r="N105" s="144"/>
      <c r="AU105" s="69"/>
    </row>
    <row r="106" spans="1:47" s="70" customFormat="1" x14ac:dyDescent="0.3">
      <c r="A106" s="69"/>
      <c r="B106" s="69"/>
      <c r="C106" s="69"/>
      <c r="D106" s="69"/>
      <c r="E106" s="69"/>
      <c r="F106" s="69"/>
      <c r="G106" s="69"/>
      <c r="H106" s="69"/>
      <c r="I106" s="69"/>
      <c r="J106" s="142"/>
      <c r="K106" s="142"/>
      <c r="L106" s="142"/>
      <c r="M106" s="144"/>
      <c r="N106" s="144"/>
      <c r="AU106" s="69"/>
    </row>
    <row r="107" spans="1:47" s="70" customFormat="1" x14ac:dyDescent="0.3">
      <c r="A107" s="69"/>
      <c r="B107" s="69"/>
      <c r="C107" s="69"/>
      <c r="D107" s="69"/>
      <c r="E107" s="69"/>
      <c r="F107" s="69"/>
      <c r="G107" s="69"/>
      <c r="H107" s="69"/>
      <c r="I107" s="69"/>
      <c r="J107" s="142"/>
      <c r="K107" s="142"/>
      <c r="L107" s="142"/>
      <c r="M107" s="144"/>
      <c r="N107" s="144"/>
      <c r="AU107" s="69"/>
    </row>
    <row r="108" spans="1:47" s="70" customFormat="1" x14ac:dyDescent="0.3">
      <c r="A108" s="69"/>
      <c r="B108" s="69"/>
      <c r="C108" s="69"/>
      <c r="D108" s="69"/>
      <c r="E108" s="69"/>
      <c r="F108" s="69"/>
      <c r="G108" s="69"/>
      <c r="H108" s="69"/>
      <c r="I108" s="69"/>
      <c r="J108" s="142"/>
      <c r="K108" s="142"/>
      <c r="L108" s="142"/>
      <c r="M108" s="144"/>
      <c r="N108" s="144"/>
      <c r="AU108" s="69"/>
    </row>
    <row r="109" spans="1:47" s="70" customFormat="1" x14ac:dyDescent="0.3">
      <c r="A109" s="69"/>
      <c r="B109" s="69"/>
      <c r="C109" s="69"/>
      <c r="D109" s="69"/>
      <c r="E109" s="69"/>
      <c r="F109" s="69"/>
      <c r="G109" s="69"/>
      <c r="H109" s="69"/>
      <c r="I109" s="69"/>
      <c r="J109" s="142"/>
      <c r="K109" s="142"/>
      <c r="L109" s="142"/>
      <c r="M109" s="144"/>
      <c r="N109" s="144"/>
      <c r="AU109" s="69"/>
    </row>
    <row r="110" spans="1:47" s="70" customFormat="1" x14ac:dyDescent="0.3">
      <c r="H110" s="69"/>
      <c r="I110" s="69"/>
      <c r="J110" s="142"/>
      <c r="K110" s="142"/>
      <c r="L110" s="142"/>
      <c r="M110" s="144"/>
      <c r="N110" s="144"/>
      <c r="AU110" s="69"/>
    </row>
    <row r="111" spans="1:47" s="70" customFormat="1" x14ac:dyDescent="0.3">
      <c r="J111" s="142"/>
      <c r="K111" s="142"/>
      <c r="L111" s="142"/>
      <c r="M111" s="144"/>
      <c r="N111" s="144"/>
      <c r="AU111" s="69"/>
    </row>
    <row r="112" spans="1:47" s="70" customFormat="1" x14ac:dyDescent="0.3">
      <c r="J112" s="142"/>
      <c r="K112" s="142"/>
      <c r="L112" s="142"/>
      <c r="M112" s="144"/>
      <c r="N112" s="144"/>
      <c r="AU112" s="69"/>
    </row>
    <row r="113" spans="10:47" s="70" customFormat="1" x14ac:dyDescent="0.3">
      <c r="J113" s="142"/>
      <c r="K113" s="142"/>
      <c r="L113" s="142"/>
      <c r="M113" s="144"/>
      <c r="N113" s="144"/>
      <c r="AU113" s="69"/>
    </row>
    <row r="114" spans="10:47" s="70" customFormat="1" x14ac:dyDescent="0.3">
      <c r="J114" s="142"/>
      <c r="K114" s="142"/>
      <c r="L114" s="142"/>
      <c r="M114" s="144"/>
      <c r="N114" s="144"/>
      <c r="AU114" s="69"/>
    </row>
    <row r="115" spans="10:47" s="70" customFormat="1" x14ac:dyDescent="0.3">
      <c r="J115" s="142"/>
      <c r="K115" s="142"/>
      <c r="L115" s="142"/>
      <c r="M115" s="144"/>
      <c r="N115" s="144"/>
      <c r="AU115" s="69"/>
    </row>
    <row r="116" spans="10:47" s="70" customFormat="1" x14ac:dyDescent="0.3">
      <c r="J116" s="142"/>
      <c r="K116" s="142"/>
      <c r="L116" s="142"/>
      <c r="M116" s="144"/>
      <c r="N116" s="144"/>
      <c r="AU116" s="69"/>
    </row>
    <row r="117" spans="10:47" s="70" customFormat="1" x14ac:dyDescent="0.3">
      <c r="J117" s="142"/>
      <c r="K117" s="142"/>
      <c r="L117" s="142"/>
      <c r="M117" s="144"/>
      <c r="N117" s="144"/>
      <c r="AU117" s="69"/>
    </row>
    <row r="118" spans="10:47" s="70" customFormat="1" x14ac:dyDescent="0.3">
      <c r="J118" s="142"/>
      <c r="K118" s="142"/>
      <c r="L118" s="142"/>
      <c r="M118" s="144"/>
      <c r="N118" s="144"/>
      <c r="AU118" s="69"/>
    </row>
    <row r="119" spans="10:47" s="70" customFormat="1" x14ac:dyDescent="0.3">
      <c r="J119" s="142"/>
      <c r="K119" s="142"/>
      <c r="L119" s="142"/>
      <c r="M119" s="144"/>
      <c r="N119" s="144"/>
      <c r="AU119" s="69"/>
    </row>
    <row r="120" spans="10:47" s="70" customFormat="1" x14ac:dyDescent="0.3">
      <c r="J120" s="142"/>
      <c r="K120" s="142"/>
      <c r="L120" s="142"/>
      <c r="M120" s="144"/>
      <c r="N120" s="144"/>
      <c r="AU120" s="69"/>
    </row>
    <row r="121" spans="10:47" s="70" customFormat="1" x14ac:dyDescent="0.3">
      <c r="J121" s="142"/>
      <c r="K121" s="142"/>
      <c r="L121" s="142"/>
      <c r="M121" s="144"/>
      <c r="N121" s="144"/>
      <c r="AU121" s="69"/>
    </row>
    <row r="122" spans="10:47" s="70" customFormat="1" x14ac:dyDescent="0.3">
      <c r="J122" s="142"/>
      <c r="K122" s="142"/>
      <c r="L122" s="142"/>
      <c r="M122" s="144"/>
      <c r="N122" s="144"/>
      <c r="AU122" s="69"/>
    </row>
    <row r="123" spans="10:47" s="70" customFormat="1" x14ac:dyDescent="0.3">
      <c r="J123" s="142"/>
      <c r="K123" s="142"/>
      <c r="L123" s="142"/>
      <c r="M123" s="144"/>
      <c r="N123" s="144"/>
      <c r="AU123" s="69"/>
    </row>
    <row r="124" spans="10:47" s="70" customFormat="1" x14ac:dyDescent="0.3">
      <c r="J124" s="142"/>
      <c r="K124" s="142"/>
      <c r="L124" s="142"/>
      <c r="M124" s="144"/>
      <c r="N124" s="144"/>
      <c r="AU124" s="69"/>
    </row>
    <row r="125" spans="10:47" s="70" customFormat="1" x14ac:dyDescent="0.3">
      <c r="J125" s="142"/>
      <c r="K125" s="142"/>
      <c r="L125" s="142"/>
      <c r="M125" s="144"/>
      <c r="N125" s="144"/>
      <c r="AU125" s="69"/>
    </row>
    <row r="126" spans="10:47" s="70" customFormat="1" x14ac:dyDescent="0.3">
      <c r="J126" s="142"/>
      <c r="K126" s="142"/>
      <c r="L126" s="142"/>
      <c r="M126" s="144"/>
      <c r="N126" s="144"/>
      <c r="AU126" s="69"/>
    </row>
    <row r="127" spans="10:47" s="70" customFormat="1" x14ac:dyDescent="0.3">
      <c r="J127" s="142"/>
      <c r="K127" s="142"/>
      <c r="L127" s="142"/>
      <c r="M127" s="144"/>
      <c r="N127" s="144"/>
      <c r="AU127" s="69"/>
    </row>
    <row r="128" spans="10:47" s="70" customFormat="1" x14ac:dyDescent="0.3">
      <c r="J128" s="142"/>
      <c r="K128" s="142"/>
      <c r="L128" s="142"/>
      <c r="M128" s="144"/>
      <c r="N128" s="144"/>
      <c r="AU128" s="69"/>
    </row>
    <row r="129" spans="10:47" s="70" customFormat="1" x14ac:dyDescent="0.3">
      <c r="J129" s="142"/>
      <c r="K129" s="142"/>
      <c r="L129" s="142"/>
      <c r="M129" s="144"/>
      <c r="N129" s="144"/>
      <c r="AU129" s="69"/>
    </row>
    <row r="130" spans="10:47" s="70" customFormat="1" x14ac:dyDescent="0.3">
      <c r="J130" s="142"/>
      <c r="K130" s="142"/>
      <c r="L130" s="142"/>
      <c r="M130" s="144"/>
      <c r="N130" s="144"/>
      <c r="AU130" s="69"/>
    </row>
    <row r="131" spans="10:47" s="70" customFormat="1" x14ac:dyDescent="0.3">
      <c r="J131" s="142"/>
      <c r="K131" s="142"/>
      <c r="L131" s="142"/>
      <c r="M131" s="144"/>
      <c r="N131" s="144"/>
      <c r="AU131" s="69"/>
    </row>
    <row r="132" spans="10:47" s="70" customFormat="1" x14ac:dyDescent="0.3">
      <c r="J132" s="142"/>
      <c r="K132" s="142"/>
      <c r="L132" s="142"/>
      <c r="M132" s="144"/>
      <c r="N132" s="144"/>
      <c r="AU132" s="69"/>
    </row>
    <row r="133" spans="10:47" s="70" customFormat="1" x14ac:dyDescent="0.3">
      <c r="J133" s="142"/>
      <c r="K133" s="142"/>
      <c r="L133" s="142"/>
      <c r="M133" s="144"/>
      <c r="N133" s="144"/>
      <c r="AU133" s="69"/>
    </row>
    <row r="134" spans="10:47" s="70" customFormat="1" x14ac:dyDescent="0.3">
      <c r="J134" s="142"/>
      <c r="K134" s="142"/>
      <c r="L134" s="142"/>
      <c r="M134" s="144"/>
      <c r="N134" s="144"/>
      <c r="AU134" s="69"/>
    </row>
    <row r="135" spans="10:47" s="70" customFormat="1" x14ac:dyDescent="0.3">
      <c r="J135" s="142"/>
      <c r="K135" s="142"/>
      <c r="L135" s="142"/>
      <c r="M135" s="144"/>
      <c r="N135" s="144"/>
      <c r="AU135" s="69"/>
    </row>
    <row r="136" spans="10:47" s="70" customFormat="1" x14ac:dyDescent="0.3">
      <c r="J136" s="142"/>
      <c r="K136" s="142"/>
      <c r="L136" s="142"/>
      <c r="M136" s="144"/>
      <c r="N136" s="144"/>
      <c r="AU136" s="69"/>
    </row>
    <row r="137" spans="10:47" s="70" customFormat="1" x14ac:dyDescent="0.3">
      <c r="J137" s="142"/>
      <c r="K137" s="142"/>
      <c r="L137" s="142"/>
      <c r="M137" s="144"/>
      <c r="N137" s="144"/>
      <c r="AU137" s="69"/>
    </row>
    <row r="138" spans="10:47" s="70" customFormat="1" x14ac:dyDescent="0.3">
      <c r="J138" s="142"/>
      <c r="K138" s="142"/>
      <c r="L138" s="142"/>
      <c r="M138" s="144"/>
      <c r="N138" s="144"/>
      <c r="AU138" s="69"/>
    </row>
    <row r="139" spans="10:47" s="70" customFormat="1" x14ac:dyDescent="0.3">
      <c r="J139" s="142"/>
      <c r="K139" s="142"/>
      <c r="L139" s="142"/>
      <c r="M139" s="144"/>
      <c r="N139" s="144"/>
      <c r="AU139" s="69"/>
    </row>
    <row r="140" spans="10:47" s="70" customFormat="1" x14ac:dyDescent="0.3">
      <c r="J140" s="142"/>
      <c r="K140" s="142"/>
      <c r="L140" s="142"/>
      <c r="M140" s="144"/>
      <c r="N140" s="144"/>
      <c r="AU140" s="69"/>
    </row>
    <row r="141" spans="10:47" s="70" customFormat="1" x14ac:dyDescent="0.3">
      <c r="J141" s="142"/>
      <c r="K141" s="142"/>
      <c r="L141" s="142"/>
      <c r="M141" s="144"/>
      <c r="N141" s="144"/>
      <c r="AU141" s="69"/>
    </row>
    <row r="142" spans="10:47" s="70" customFormat="1" x14ac:dyDescent="0.3">
      <c r="J142" s="142"/>
      <c r="K142" s="142"/>
      <c r="L142" s="142"/>
      <c r="M142" s="144"/>
      <c r="N142" s="144"/>
      <c r="AU142" s="69"/>
    </row>
    <row r="143" spans="10:47" s="70" customFormat="1" x14ac:dyDescent="0.3">
      <c r="J143" s="142"/>
      <c r="K143" s="142"/>
      <c r="L143" s="142"/>
      <c r="M143" s="144"/>
      <c r="N143" s="144"/>
      <c r="AU143" s="69"/>
    </row>
    <row r="144" spans="10:47" s="70" customFormat="1" x14ac:dyDescent="0.3">
      <c r="J144" s="142"/>
      <c r="K144" s="142"/>
      <c r="L144" s="142"/>
      <c r="M144" s="144"/>
      <c r="N144" s="144"/>
      <c r="AU144" s="69"/>
    </row>
    <row r="145" spans="10:47" s="70" customFormat="1" x14ac:dyDescent="0.3">
      <c r="J145" s="142"/>
      <c r="K145" s="142"/>
      <c r="L145" s="142"/>
      <c r="M145" s="144"/>
      <c r="N145" s="144"/>
      <c r="AU145" s="69"/>
    </row>
    <row r="146" spans="10:47" s="70" customFormat="1" x14ac:dyDescent="0.3">
      <c r="J146" s="142"/>
      <c r="K146" s="142"/>
      <c r="L146" s="142"/>
      <c r="M146" s="144"/>
      <c r="N146" s="144"/>
      <c r="AU146" s="69"/>
    </row>
    <row r="147" spans="10:47" s="70" customFormat="1" x14ac:dyDescent="0.3">
      <c r="J147" s="142"/>
      <c r="K147" s="142"/>
      <c r="L147" s="142"/>
      <c r="M147" s="144"/>
      <c r="N147" s="144"/>
      <c r="AU147" s="69"/>
    </row>
    <row r="148" spans="10:47" s="70" customFormat="1" x14ac:dyDescent="0.3">
      <c r="J148" s="142"/>
      <c r="K148" s="142"/>
      <c r="L148" s="142"/>
      <c r="M148" s="144"/>
      <c r="N148" s="144"/>
      <c r="AU148" s="69"/>
    </row>
    <row r="149" spans="10:47" s="70" customFormat="1" x14ac:dyDescent="0.3">
      <c r="J149" s="142"/>
      <c r="K149" s="142"/>
      <c r="L149" s="142"/>
      <c r="M149" s="144"/>
      <c r="N149" s="144"/>
      <c r="AU149" s="69"/>
    </row>
    <row r="150" spans="10:47" s="70" customFormat="1" x14ac:dyDescent="0.3">
      <c r="J150" s="142"/>
      <c r="K150" s="142"/>
      <c r="L150" s="142"/>
      <c r="M150" s="144"/>
      <c r="N150" s="144"/>
      <c r="AU150" s="69"/>
    </row>
    <row r="151" spans="10:47" s="70" customFormat="1" x14ac:dyDescent="0.3">
      <c r="J151" s="142"/>
      <c r="K151" s="142"/>
      <c r="L151" s="142"/>
      <c r="M151" s="144"/>
      <c r="N151" s="144"/>
      <c r="AU151" s="69"/>
    </row>
    <row r="152" spans="10:47" s="70" customFormat="1" x14ac:dyDescent="0.3">
      <c r="J152" s="142"/>
      <c r="K152" s="142"/>
      <c r="L152" s="142"/>
      <c r="M152" s="144"/>
      <c r="N152" s="144"/>
      <c r="AU152" s="69"/>
    </row>
    <row r="153" spans="10:47" s="70" customFormat="1" x14ac:dyDescent="0.3">
      <c r="J153" s="142"/>
      <c r="K153" s="142"/>
      <c r="L153" s="142"/>
      <c r="M153" s="144"/>
      <c r="N153" s="144"/>
      <c r="AU153" s="69"/>
    </row>
    <row r="154" spans="10:47" s="70" customFormat="1" x14ac:dyDescent="0.3">
      <c r="J154" s="142"/>
      <c r="K154" s="142"/>
      <c r="L154" s="142"/>
      <c r="M154" s="144"/>
      <c r="N154" s="144"/>
      <c r="AU154" s="69"/>
    </row>
    <row r="155" spans="10:47" s="70" customFormat="1" x14ac:dyDescent="0.3">
      <c r="J155" s="142"/>
      <c r="K155" s="142"/>
      <c r="L155" s="142"/>
      <c r="M155" s="144"/>
      <c r="N155" s="144"/>
      <c r="AU155" s="69"/>
    </row>
    <row r="156" spans="10:47" s="70" customFormat="1" x14ac:dyDescent="0.3">
      <c r="J156" s="142"/>
      <c r="K156" s="142"/>
      <c r="L156" s="142"/>
      <c r="M156" s="144"/>
      <c r="N156" s="144"/>
      <c r="AU156" s="69"/>
    </row>
    <row r="157" spans="10:47" s="70" customFormat="1" x14ac:dyDescent="0.3">
      <c r="J157" s="142"/>
      <c r="K157" s="142"/>
      <c r="L157" s="142"/>
      <c r="M157" s="144"/>
      <c r="N157" s="144"/>
      <c r="AU157" s="69"/>
    </row>
    <row r="158" spans="10:47" s="70" customFormat="1" x14ac:dyDescent="0.3">
      <c r="J158" s="142"/>
      <c r="K158" s="142"/>
      <c r="L158" s="142"/>
      <c r="M158" s="144"/>
      <c r="N158" s="144"/>
      <c r="AU158" s="69"/>
    </row>
    <row r="159" spans="10:47" s="70" customFormat="1" x14ac:dyDescent="0.3">
      <c r="J159" s="142"/>
      <c r="K159" s="142"/>
      <c r="L159" s="142"/>
      <c r="M159" s="144"/>
      <c r="N159" s="144"/>
      <c r="AU159" s="69"/>
    </row>
    <row r="160" spans="10:47" s="70" customFormat="1" x14ac:dyDescent="0.3">
      <c r="J160" s="142"/>
      <c r="K160" s="142"/>
      <c r="L160" s="142"/>
      <c r="M160" s="144"/>
      <c r="N160" s="144"/>
      <c r="AU160" s="69"/>
    </row>
    <row r="161" spans="1:48" s="70" customFormat="1" x14ac:dyDescent="0.3">
      <c r="J161" s="142"/>
      <c r="K161" s="142"/>
      <c r="L161" s="142"/>
      <c r="M161" s="144"/>
      <c r="N161" s="144"/>
      <c r="AU161" s="69"/>
    </row>
    <row r="162" spans="1:48" s="70" customFormat="1" x14ac:dyDescent="0.3">
      <c r="J162" s="142"/>
      <c r="K162" s="142"/>
      <c r="L162" s="142"/>
      <c r="M162" s="144"/>
      <c r="N162" s="144"/>
      <c r="AU162" s="69"/>
    </row>
    <row r="163" spans="1:48" s="70" customFormat="1" x14ac:dyDescent="0.3">
      <c r="J163" s="142"/>
      <c r="K163" s="142"/>
      <c r="L163" s="142"/>
      <c r="M163" s="144"/>
      <c r="N163" s="144"/>
      <c r="AU163" s="69"/>
    </row>
    <row r="164" spans="1:48" s="70" customFormat="1" x14ac:dyDescent="0.3">
      <c r="J164" s="142"/>
      <c r="K164" s="142"/>
      <c r="L164" s="142"/>
      <c r="M164" s="144"/>
      <c r="N164" s="144"/>
      <c r="AU164" s="69"/>
    </row>
    <row r="165" spans="1:48" s="70" customFormat="1" x14ac:dyDescent="0.3">
      <c r="J165" s="142"/>
      <c r="K165" s="142"/>
      <c r="L165" s="142"/>
      <c r="M165" s="144"/>
      <c r="N165" s="144"/>
      <c r="AU165" s="69"/>
    </row>
    <row r="166" spans="1:48" s="145" customFormat="1" x14ac:dyDescent="0.3">
      <c r="A166" s="70"/>
      <c r="B166" s="70"/>
      <c r="C166" s="70"/>
      <c r="D166" s="70"/>
      <c r="E166" s="70"/>
      <c r="F166" s="70"/>
      <c r="G166" s="70"/>
      <c r="H166" s="70"/>
      <c r="I166" s="70"/>
      <c r="J166" s="142"/>
      <c r="K166" s="142"/>
      <c r="L166" s="142"/>
      <c r="M166" s="144"/>
      <c r="N166" s="144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69"/>
      <c r="AV166" s="70"/>
    </row>
    <row r="167" spans="1:48" s="145" customFormat="1" x14ac:dyDescent="0.3">
      <c r="A167" s="70"/>
      <c r="B167" s="70"/>
      <c r="C167" s="70"/>
      <c r="D167" s="70"/>
      <c r="E167" s="70"/>
      <c r="F167" s="70"/>
      <c r="G167" s="70"/>
      <c r="H167" s="70"/>
      <c r="I167" s="70"/>
      <c r="J167" s="142"/>
      <c r="K167" s="142"/>
      <c r="L167" s="142"/>
      <c r="M167" s="144"/>
      <c r="N167" s="144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69"/>
      <c r="AV167" s="70"/>
    </row>
    <row r="168" spans="1:48" s="145" customFormat="1" x14ac:dyDescent="0.3">
      <c r="A168" s="70"/>
      <c r="B168" s="70"/>
      <c r="C168" s="70"/>
      <c r="D168" s="70"/>
      <c r="E168" s="70"/>
      <c r="F168" s="70"/>
      <c r="G168" s="70"/>
      <c r="H168" s="70"/>
      <c r="I168" s="70"/>
      <c r="J168" s="142"/>
      <c r="K168" s="142"/>
      <c r="L168" s="142"/>
      <c r="M168" s="144"/>
      <c r="N168" s="144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69"/>
      <c r="AV168" s="70"/>
    </row>
    <row r="169" spans="1:48" s="145" customFormat="1" x14ac:dyDescent="0.3">
      <c r="A169" s="70"/>
      <c r="B169" s="70"/>
      <c r="C169" s="70"/>
      <c r="D169" s="70"/>
      <c r="E169" s="70"/>
      <c r="F169" s="70"/>
      <c r="G169" s="70"/>
      <c r="H169" s="70"/>
      <c r="I169" s="70"/>
      <c r="J169" s="142"/>
      <c r="K169" s="142"/>
      <c r="L169" s="142"/>
      <c r="M169" s="144"/>
      <c r="N169" s="144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69"/>
      <c r="AV169" s="70"/>
    </row>
    <row r="170" spans="1:48" s="145" customFormat="1" x14ac:dyDescent="0.3">
      <c r="A170" s="70"/>
      <c r="B170" s="70"/>
      <c r="C170" s="70"/>
      <c r="D170" s="70"/>
      <c r="E170" s="70"/>
      <c r="F170" s="70"/>
      <c r="G170" s="70"/>
      <c r="H170" s="70"/>
      <c r="I170" s="70"/>
      <c r="J170" s="142"/>
      <c r="K170" s="142"/>
      <c r="L170" s="142"/>
      <c r="M170" s="144"/>
      <c r="N170" s="144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69"/>
      <c r="AV170" s="70"/>
    </row>
    <row r="171" spans="1:48" s="145" customFormat="1" x14ac:dyDescent="0.3">
      <c r="A171" s="70"/>
      <c r="B171" s="70"/>
      <c r="C171" s="70"/>
      <c r="D171" s="70"/>
      <c r="E171" s="70"/>
      <c r="F171" s="70"/>
      <c r="G171" s="70"/>
      <c r="H171" s="70"/>
      <c r="I171" s="70"/>
      <c r="J171" s="142"/>
      <c r="K171" s="142"/>
      <c r="L171" s="142"/>
      <c r="M171" s="144"/>
      <c r="N171" s="144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69"/>
      <c r="AV171" s="70"/>
    </row>
    <row r="172" spans="1:48" s="145" customFormat="1" x14ac:dyDescent="0.3">
      <c r="A172" s="70"/>
      <c r="B172" s="70"/>
      <c r="C172" s="70"/>
      <c r="D172" s="70"/>
      <c r="E172" s="70"/>
      <c r="F172" s="70"/>
      <c r="G172" s="70"/>
      <c r="H172" s="70"/>
      <c r="I172" s="70"/>
      <c r="J172" s="142"/>
      <c r="K172" s="142"/>
      <c r="L172" s="142"/>
      <c r="M172" s="144"/>
      <c r="N172" s="144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69"/>
      <c r="AV172" s="70"/>
    </row>
    <row r="173" spans="1:48" s="145" customFormat="1" x14ac:dyDescent="0.3">
      <c r="A173" s="70"/>
      <c r="B173" s="70"/>
      <c r="C173" s="70"/>
      <c r="D173" s="70"/>
      <c r="E173" s="70"/>
      <c r="F173" s="70"/>
      <c r="G173" s="70"/>
      <c r="H173" s="70"/>
      <c r="I173" s="70"/>
      <c r="J173" s="142"/>
      <c r="K173" s="142"/>
      <c r="L173" s="142"/>
      <c r="M173" s="144"/>
      <c r="N173" s="144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69"/>
      <c r="AV173" s="70"/>
    </row>
    <row r="174" spans="1:48" s="145" customFormat="1" x14ac:dyDescent="0.3">
      <c r="A174" s="70"/>
      <c r="B174" s="70"/>
      <c r="C174" s="70"/>
      <c r="D174" s="70"/>
      <c r="E174" s="70"/>
      <c r="F174" s="70"/>
      <c r="G174" s="70"/>
      <c r="H174" s="70"/>
      <c r="I174" s="70"/>
      <c r="J174" s="142"/>
      <c r="K174" s="142"/>
      <c r="L174" s="142"/>
      <c r="M174" s="144"/>
      <c r="N174" s="144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69"/>
      <c r="AV174" s="70"/>
    </row>
    <row r="175" spans="1:48" s="145" customFormat="1" x14ac:dyDescent="0.3">
      <c r="A175" s="70"/>
      <c r="B175" s="70"/>
      <c r="C175" s="70"/>
      <c r="D175" s="70"/>
      <c r="E175" s="70"/>
      <c r="F175" s="70"/>
      <c r="G175" s="70"/>
      <c r="H175" s="70"/>
      <c r="I175" s="70"/>
      <c r="J175" s="142"/>
      <c r="K175" s="142"/>
      <c r="L175" s="142"/>
      <c r="M175" s="144"/>
      <c r="N175" s="144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69"/>
      <c r="AV175" s="70"/>
    </row>
    <row r="176" spans="1:48" s="145" customFormat="1" x14ac:dyDescent="0.3">
      <c r="A176" s="70"/>
      <c r="B176" s="70"/>
      <c r="C176" s="70"/>
      <c r="D176" s="70"/>
      <c r="E176" s="70"/>
      <c r="F176" s="70"/>
      <c r="G176" s="70"/>
      <c r="H176" s="70"/>
      <c r="I176" s="70"/>
      <c r="J176" s="142"/>
      <c r="K176" s="142"/>
      <c r="L176" s="142"/>
      <c r="M176" s="147"/>
      <c r="N176" s="144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69"/>
      <c r="AV176" s="70"/>
    </row>
    <row r="177" spans="1:48" s="145" customFormat="1" x14ac:dyDescent="0.3">
      <c r="A177" s="70"/>
      <c r="B177" s="70"/>
      <c r="C177" s="70"/>
      <c r="D177" s="70"/>
      <c r="E177" s="70"/>
      <c r="F177" s="70"/>
      <c r="G177" s="70"/>
      <c r="H177" s="70"/>
      <c r="I177" s="70"/>
      <c r="J177" s="142"/>
      <c r="K177" s="142"/>
      <c r="L177" s="142"/>
      <c r="M177" s="147"/>
      <c r="N177" s="144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69"/>
      <c r="AV177" s="70"/>
    </row>
    <row r="178" spans="1:48" s="145" customFormat="1" x14ac:dyDescent="0.3">
      <c r="A178" s="70"/>
      <c r="B178" s="70"/>
      <c r="C178" s="70"/>
      <c r="D178" s="70"/>
      <c r="E178" s="70"/>
      <c r="F178" s="70"/>
      <c r="G178" s="70"/>
      <c r="H178" s="70"/>
      <c r="I178" s="70"/>
      <c r="J178" s="146"/>
      <c r="K178" s="146"/>
      <c r="L178" s="146"/>
      <c r="M178" s="147"/>
      <c r="N178" s="144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69"/>
      <c r="AV178" s="70"/>
    </row>
    <row r="179" spans="1:48" s="145" customFormat="1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146"/>
      <c r="K179" s="146"/>
      <c r="L179" s="146"/>
      <c r="M179" s="147"/>
      <c r="N179" s="144"/>
      <c r="O179" s="149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69"/>
      <c r="AV179" s="70"/>
    </row>
    <row r="180" spans="1:48" s="145" customFormat="1" x14ac:dyDescent="0.3">
      <c r="A180" s="70"/>
      <c r="B180" s="70"/>
      <c r="C180" s="70"/>
      <c r="D180" s="70"/>
      <c r="E180" s="70"/>
      <c r="F180" s="70"/>
      <c r="G180" s="70"/>
      <c r="H180" s="70"/>
      <c r="I180" s="70"/>
      <c r="J180" s="146"/>
      <c r="K180" s="146"/>
      <c r="L180" s="146"/>
      <c r="M180" s="147"/>
      <c r="N180" s="144"/>
      <c r="O180" s="149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69"/>
      <c r="AV180" s="70"/>
    </row>
    <row r="181" spans="1:48" s="145" customFormat="1" x14ac:dyDescent="0.3">
      <c r="A181" s="70"/>
      <c r="B181" s="70"/>
      <c r="C181" s="70"/>
      <c r="D181" s="70"/>
      <c r="E181" s="70"/>
      <c r="F181" s="70"/>
      <c r="G181" s="70"/>
      <c r="H181" s="70"/>
      <c r="I181" s="70"/>
      <c r="J181" s="146"/>
      <c r="K181" s="146"/>
      <c r="L181" s="146"/>
      <c r="M181" s="147"/>
      <c r="N181" s="147"/>
      <c r="O181" s="149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69"/>
      <c r="AV181" s="70"/>
    </row>
    <row r="182" spans="1:48" s="145" customFormat="1" x14ac:dyDescent="0.3">
      <c r="A182" s="70"/>
      <c r="B182" s="70"/>
      <c r="C182" s="70"/>
      <c r="D182" s="70"/>
      <c r="E182" s="70"/>
      <c r="F182" s="70"/>
      <c r="G182" s="70"/>
      <c r="H182" s="70"/>
      <c r="I182" s="70"/>
      <c r="J182" s="146"/>
      <c r="K182" s="146"/>
      <c r="L182" s="146"/>
      <c r="M182" s="147"/>
      <c r="N182" s="147"/>
      <c r="O182" s="149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69"/>
      <c r="AV182" s="70"/>
    </row>
    <row r="183" spans="1:48" x14ac:dyDescent="0.3">
      <c r="A183" s="70"/>
      <c r="B183" s="70"/>
      <c r="C183" s="70"/>
      <c r="D183" s="70"/>
      <c r="E183" s="70"/>
      <c r="F183" s="70"/>
      <c r="G183" s="70"/>
      <c r="H183" s="70"/>
      <c r="I183" s="70"/>
      <c r="J183" s="146"/>
      <c r="K183" s="146"/>
      <c r="L183" s="146"/>
      <c r="M183" s="147"/>
      <c r="N183" s="147"/>
      <c r="O183" s="149"/>
      <c r="AU183" s="148"/>
      <c r="AV183" s="148"/>
    </row>
    <row r="184" spans="1:48" x14ac:dyDescent="0.3">
      <c r="A184" s="70"/>
      <c r="B184" s="70"/>
      <c r="C184" s="70"/>
      <c r="D184" s="70"/>
      <c r="E184" s="70"/>
      <c r="F184" s="70"/>
      <c r="G184" s="70"/>
      <c r="H184" s="70"/>
      <c r="I184" s="70"/>
      <c r="J184" s="146"/>
      <c r="K184" s="146"/>
      <c r="L184" s="146"/>
      <c r="M184" s="147"/>
      <c r="N184" s="147"/>
      <c r="O184" s="149"/>
      <c r="AU184" s="148"/>
      <c r="AV184" s="148"/>
    </row>
    <row r="185" spans="1:48" x14ac:dyDescent="0.3">
      <c r="A185" s="70"/>
      <c r="B185" s="70"/>
      <c r="C185" s="70"/>
      <c r="D185" s="70"/>
      <c r="E185" s="70"/>
      <c r="F185" s="70"/>
      <c r="G185" s="70"/>
      <c r="H185" s="70"/>
      <c r="I185" s="70"/>
      <c r="J185" s="146"/>
      <c r="K185" s="146"/>
      <c r="L185" s="146"/>
      <c r="M185" s="147"/>
      <c r="N185" s="147"/>
      <c r="O185" s="149"/>
      <c r="AU185" s="148"/>
      <c r="AV185" s="148"/>
    </row>
    <row r="186" spans="1:48" x14ac:dyDescent="0.3">
      <c r="A186" s="70"/>
      <c r="B186" s="70"/>
      <c r="C186" s="70"/>
      <c r="D186" s="70"/>
      <c r="E186" s="70"/>
      <c r="F186" s="70"/>
      <c r="G186" s="70"/>
      <c r="H186" s="70"/>
      <c r="I186" s="70"/>
      <c r="J186" s="146"/>
      <c r="K186" s="146"/>
      <c r="L186" s="146"/>
      <c r="M186" s="147"/>
      <c r="N186" s="147"/>
      <c r="O186" s="149"/>
      <c r="AU186" s="148"/>
      <c r="AV186" s="148"/>
    </row>
    <row r="187" spans="1:48" x14ac:dyDescent="0.3">
      <c r="A187" s="149"/>
      <c r="B187" s="149"/>
      <c r="C187" s="149"/>
      <c r="D187" s="149"/>
      <c r="E187" s="149"/>
      <c r="F187" s="149"/>
      <c r="G187" s="149"/>
      <c r="H187" s="70"/>
      <c r="I187" s="70"/>
      <c r="J187" s="146"/>
      <c r="K187" s="146"/>
      <c r="L187" s="146"/>
      <c r="M187" s="147"/>
      <c r="N187" s="147"/>
      <c r="O187" s="149"/>
      <c r="AU187" s="148"/>
      <c r="AV187" s="148"/>
    </row>
    <row r="188" spans="1:48" x14ac:dyDescent="0.3">
      <c r="A188" s="149"/>
      <c r="B188" s="149"/>
      <c r="C188" s="149"/>
      <c r="D188" s="149"/>
      <c r="E188" s="149"/>
      <c r="F188" s="149"/>
      <c r="G188" s="149"/>
      <c r="H188" s="149"/>
      <c r="I188" s="149"/>
      <c r="J188" s="146"/>
      <c r="K188" s="146"/>
      <c r="L188" s="146"/>
      <c r="M188" s="147"/>
      <c r="N188" s="147"/>
      <c r="O188" s="149"/>
      <c r="AU188" s="148"/>
      <c r="AV188" s="148"/>
    </row>
    <row r="189" spans="1:48" x14ac:dyDescent="0.3">
      <c r="A189" s="149"/>
      <c r="B189" s="149"/>
      <c r="C189" s="149"/>
      <c r="D189" s="149"/>
      <c r="E189" s="149"/>
      <c r="F189" s="149"/>
      <c r="G189" s="149"/>
      <c r="H189" s="149"/>
      <c r="I189" s="149"/>
      <c r="J189" s="146"/>
      <c r="K189" s="146"/>
      <c r="L189" s="146"/>
      <c r="M189" s="147"/>
      <c r="N189" s="147"/>
      <c r="O189" s="149"/>
      <c r="AU189" s="148"/>
      <c r="AV189" s="148"/>
    </row>
    <row r="190" spans="1:48" x14ac:dyDescent="0.3">
      <c r="A190" s="149"/>
      <c r="B190" s="149"/>
      <c r="C190" s="149"/>
      <c r="D190" s="149"/>
      <c r="E190" s="149"/>
      <c r="F190" s="149"/>
      <c r="G190" s="149"/>
      <c r="H190" s="149"/>
      <c r="I190" s="149"/>
      <c r="J190" s="146"/>
      <c r="K190" s="146"/>
      <c r="L190" s="146"/>
      <c r="M190" s="147"/>
      <c r="N190" s="147"/>
      <c r="O190" s="149"/>
      <c r="AU190" s="148"/>
      <c r="AV190" s="148"/>
    </row>
    <row r="191" spans="1:48" x14ac:dyDescent="0.3">
      <c r="A191" s="149"/>
      <c r="B191" s="149"/>
      <c r="C191" s="149"/>
      <c r="D191" s="149"/>
      <c r="E191" s="149"/>
      <c r="F191" s="149"/>
      <c r="G191" s="149"/>
      <c r="H191" s="149"/>
      <c r="I191" s="149"/>
      <c r="J191" s="146"/>
      <c r="K191" s="146"/>
      <c r="L191" s="146"/>
      <c r="M191" s="147"/>
      <c r="N191" s="147"/>
      <c r="AU191" s="148"/>
      <c r="AV191" s="148"/>
    </row>
    <row r="192" spans="1:48" x14ac:dyDescent="0.3">
      <c r="A192" s="149"/>
      <c r="B192" s="149"/>
      <c r="C192" s="149"/>
      <c r="D192" s="149"/>
      <c r="E192" s="149"/>
      <c r="F192" s="149"/>
      <c r="G192" s="149"/>
      <c r="H192" s="149"/>
      <c r="I192" s="149"/>
      <c r="J192" s="146"/>
      <c r="K192" s="146"/>
      <c r="L192" s="146"/>
      <c r="M192" s="147"/>
      <c r="N192" s="147"/>
      <c r="AU192" s="148"/>
      <c r="AV192" s="148"/>
    </row>
    <row r="193" spans="1:48" x14ac:dyDescent="0.3">
      <c r="A193" s="149"/>
      <c r="B193" s="149"/>
      <c r="C193" s="149"/>
      <c r="D193" s="149"/>
      <c r="E193" s="149"/>
      <c r="F193" s="149"/>
      <c r="G193" s="149"/>
      <c r="H193" s="149"/>
      <c r="I193" s="149"/>
      <c r="J193" s="146"/>
      <c r="K193" s="146"/>
      <c r="L193" s="146"/>
      <c r="N193" s="147"/>
      <c r="AU193" s="148"/>
      <c r="AV193" s="148"/>
    </row>
    <row r="194" spans="1:48" x14ac:dyDescent="0.3">
      <c r="A194" s="149"/>
      <c r="B194" s="149"/>
      <c r="C194" s="149"/>
      <c r="D194" s="149"/>
      <c r="E194" s="149"/>
      <c r="F194" s="149"/>
      <c r="G194" s="149"/>
      <c r="H194" s="149"/>
      <c r="I194" s="149"/>
      <c r="J194" s="146"/>
      <c r="K194" s="146"/>
      <c r="L194" s="146"/>
      <c r="N194" s="147"/>
      <c r="AU194" s="148"/>
      <c r="AV194" s="148"/>
    </row>
    <row r="195" spans="1:48" x14ac:dyDescent="0.3">
      <c r="A195" s="149"/>
      <c r="B195" s="149"/>
      <c r="C195" s="149"/>
      <c r="D195" s="149"/>
      <c r="E195" s="149"/>
      <c r="F195" s="149"/>
      <c r="G195" s="149"/>
      <c r="H195" s="149"/>
      <c r="I195" s="149"/>
      <c r="N195" s="147"/>
    </row>
    <row r="196" spans="1:48" x14ac:dyDescent="0.3">
      <c r="A196" s="149"/>
      <c r="B196" s="149"/>
      <c r="C196" s="149"/>
      <c r="D196" s="149"/>
      <c r="E196" s="149"/>
      <c r="F196" s="149"/>
      <c r="G196" s="149"/>
      <c r="H196" s="149"/>
      <c r="I196" s="149"/>
      <c r="N196" s="147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69"/>
      <c r="AO196" s="69"/>
      <c r="AP196" s="69"/>
      <c r="AQ196" s="69"/>
      <c r="AR196" s="69"/>
      <c r="AS196" s="69"/>
      <c r="AT196" s="69"/>
      <c r="AU196" s="148"/>
      <c r="AV196" s="148"/>
    </row>
    <row r="197" spans="1:48" x14ac:dyDescent="0.3">
      <c r="A197" s="149"/>
      <c r="B197" s="149"/>
      <c r="C197" s="149"/>
      <c r="D197" s="149"/>
      <c r="E197" s="149"/>
      <c r="F197" s="149"/>
      <c r="G197" s="149"/>
      <c r="H197" s="149"/>
      <c r="I197" s="149"/>
      <c r="M197" s="148"/>
      <c r="N197" s="147"/>
    </row>
    <row r="198" spans="1:48" x14ac:dyDescent="0.3">
      <c r="A198" s="149"/>
      <c r="B198" s="149"/>
      <c r="C198" s="149"/>
      <c r="D198" s="149"/>
      <c r="E198" s="149"/>
      <c r="F198" s="149"/>
      <c r="G198" s="149"/>
      <c r="H198" s="149"/>
      <c r="I198" s="149"/>
    </row>
    <row r="199" spans="1:48" x14ac:dyDescent="0.3">
      <c r="A199" s="149"/>
      <c r="B199" s="149"/>
      <c r="C199" s="149"/>
      <c r="D199" s="149"/>
      <c r="E199" s="149"/>
      <c r="F199" s="149"/>
      <c r="G199" s="149"/>
      <c r="H199" s="149"/>
      <c r="I199" s="149"/>
    </row>
    <row r="200" spans="1:48" x14ac:dyDescent="0.3">
      <c r="A200" s="149"/>
      <c r="B200" s="149"/>
      <c r="C200" s="149"/>
      <c r="D200" s="149"/>
      <c r="E200" s="149"/>
      <c r="F200" s="149"/>
      <c r="G200" s="149"/>
      <c r="H200" s="149"/>
      <c r="I200" s="149"/>
    </row>
    <row r="201" spans="1:48" x14ac:dyDescent="0.3">
      <c r="A201" s="149"/>
      <c r="B201" s="149"/>
      <c r="C201" s="149"/>
      <c r="D201" s="149"/>
      <c r="E201" s="149"/>
      <c r="F201" s="149"/>
      <c r="G201" s="149"/>
      <c r="H201" s="149"/>
      <c r="I201" s="149"/>
    </row>
    <row r="202" spans="1:48" x14ac:dyDescent="0.3">
      <c r="A202" s="149"/>
      <c r="B202" s="149"/>
      <c r="C202" s="149"/>
      <c r="D202" s="149"/>
      <c r="E202" s="149"/>
      <c r="F202" s="149"/>
      <c r="G202" s="149"/>
      <c r="H202" s="149"/>
      <c r="I202" s="149"/>
    </row>
    <row r="203" spans="1:48" x14ac:dyDescent="0.3">
      <c r="A203" s="149"/>
      <c r="B203" s="149"/>
      <c r="C203" s="149"/>
      <c r="D203" s="149"/>
      <c r="E203" s="149"/>
      <c r="F203" s="149"/>
      <c r="G203" s="149"/>
      <c r="H203" s="149"/>
      <c r="I203" s="149"/>
    </row>
    <row r="204" spans="1:48" x14ac:dyDescent="0.3">
      <c r="H204" s="149"/>
      <c r="I204" s="149"/>
    </row>
    <row r="208" spans="1:48" x14ac:dyDescent="0.3">
      <c r="J208" s="148"/>
      <c r="K208" s="148"/>
      <c r="L208" s="148"/>
    </row>
    <row r="1048535" spans="1:59" x14ac:dyDescent="0.3">
      <c r="O1048535" s="57"/>
    </row>
    <row r="1048540" spans="1:59" s="70" customFormat="1" x14ac:dyDescent="0.3">
      <c r="A1048540" s="148"/>
      <c r="B1048540" s="148"/>
      <c r="C1048540" s="148"/>
      <c r="D1048540" s="148"/>
      <c r="E1048540" s="148"/>
      <c r="F1048540" s="148"/>
      <c r="G1048540" s="148"/>
      <c r="H1048540" s="148"/>
      <c r="I1048540" s="148"/>
      <c r="J1048540" s="150"/>
      <c r="K1048540" s="150"/>
      <c r="L1048540" s="150"/>
      <c r="M1048540" s="150"/>
      <c r="N1048540" s="150"/>
      <c r="O1048540" s="148"/>
      <c r="AU1048540" s="69"/>
      <c r="AV1048540" s="69"/>
      <c r="AW1048540" s="148"/>
      <c r="AX1048540" s="148"/>
      <c r="AY1048540" s="148"/>
      <c r="AZ1048540" s="148"/>
      <c r="BA1048540" s="148"/>
      <c r="BB1048540" s="148"/>
      <c r="BC1048540" s="148"/>
      <c r="BD1048540" s="148"/>
      <c r="BE1048540" s="148"/>
      <c r="BF1048540" s="148"/>
      <c r="BG1048540" s="148"/>
    </row>
  </sheetData>
  <mergeCells count="44">
    <mergeCell ref="M57:N57"/>
    <mergeCell ref="M58:N58"/>
    <mergeCell ref="M70:N70"/>
    <mergeCell ref="M59:N59"/>
    <mergeCell ref="M60:N60"/>
    <mergeCell ref="M61:N61"/>
    <mergeCell ref="M62:N62"/>
    <mergeCell ref="M63:N63"/>
    <mergeCell ref="M65:N65"/>
    <mergeCell ref="M66:N66"/>
    <mergeCell ref="M67:N67"/>
    <mergeCell ref="M68:N68"/>
    <mergeCell ref="M69:N69"/>
    <mergeCell ref="M64:N64"/>
    <mergeCell ref="D44:I44"/>
    <mergeCell ref="A45:I45"/>
    <mergeCell ref="A47:D47"/>
    <mergeCell ref="E47:G101"/>
    <mergeCell ref="M47:O47"/>
    <mergeCell ref="M48:N48"/>
    <mergeCell ref="M49:N49"/>
    <mergeCell ref="M50:O51"/>
    <mergeCell ref="M52:O52"/>
    <mergeCell ref="M71:N71"/>
    <mergeCell ref="M72:O72"/>
    <mergeCell ref="M73:N73"/>
    <mergeCell ref="M53:N53"/>
    <mergeCell ref="M54:N54"/>
    <mergeCell ref="M55:N55"/>
    <mergeCell ref="M56:N56"/>
    <mergeCell ref="D43:I43"/>
    <mergeCell ref="A1:O1"/>
    <mergeCell ref="A35:B35"/>
    <mergeCell ref="A36:O36"/>
    <mergeCell ref="D37:I37"/>
    <mergeCell ref="D38:I38"/>
    <mergeCell ref="A39:I39"/>
    <mergeCell ref="M39:O39"/>
    <mergeCell ref="A40:M40"/>
    <mergeCell ref="A41:O41"/>
    <mergeCell ref="D42:I42"/>
    <mergeCell ref="A2:O2"/>
    <mergeCell ref="A5:B5"/>
    <mergeCell ref="A6:O6"/>
  </mergeCells>
  <pageMargins left="0" right="0" top="0" bottom="0" header="0.31496062992125984" footer="0.31496062992125984"/>
  <pageSetup paperSize="9" scale="1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EA14F-0F3F-475B-99EF-F31BC4119A19}">
  <sheetPr>
    <pageSetUpPr fitToPage="1"/>
  </sheetPr>
  <dimension ref="A1:BG1048544"/>
  <sheetViews>
    <sheetView zoomScale="70" zoomScaleNormal="70" workbookViewId="0">
      <selection activeCell="L4" sqref="L4"/>
    </sheetView>
  </sheetViews>
  <sheetFormatPr defaultColWidth="9.109375" defaultRowHeight="13.8" x14ac:dyDescent="0.3"/>
  <cols>
    <col min="1" max="1" width="27.6640625" style="148" customWidth="1"/>
    <col min="2" max="2" width="13.109375" style="148" bestFit="1" customWidth="1"/>
    <col min="3" max="3" width="19.88671875" style="148" customWidth="1"/>
    <col min="4" max="4" width="19.44140625" style="148" customWidth="1"/>
    <col min="5" max="5" width="21.33203125" style="148" customWidth="1"/>
    <col min="6" max="7" width="19.109375" style="148" customWidth="1"/>
    <col min="8" max="8" width="17.5546875" style="148" customWidth="1"/>
    <col min="9" max="9" width="15.5546875" style="148" bestFit="1" customWidth="1"/>
    <col min="10" max="10" width="21.44140625" style="150" customWidth="1"/>
    <col min="11" max="11" width="17.109375" style="150" bestFit="1" customWidth="1"/>
    <col min="12" max="12" width="18" style="150" bestFit="1" customWidth="1"/>
    <col min="13" max="13" width="121.44140625" style="150" bestFit="1" customWidth="1"/>
    <col min="14" max="14" width="9.5546875" style="150" customWidth="1"/>
    <col min="15" max="15" width="18.5546875" style="148" customWidth="1"/>
    <col min="16" max="16" width="40.109375" style="70" bestFit="1" customWidth="1"/>
    <col min="17" max="17" width="13.109375" style="70" bestFit="1" customWidth="1"/>
    <col min="18" max="46" width="9.109375" style="70"/>
    <col min="47" max="48" width="9.109375" style="69"/>
    <col min="49" max="16384" width="9.109375" style="148"/>
  </cols>
  <sheetData>
    <row r="1" spans="1:41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</row>
    <row r="2" spans="1:41" s="10" customFormat="1" ht="28.5" customHeight="1" x14ac:dyDescent="0.3">
      <c r="A2" s="521" t="s">
        <v>633</v>
      </c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</row>
    <row r="3" spans="1:41" s="10" customFormat="1" ht="30.75" customHeight="1" x14ac:dyDescent="0.3">
      <c r="A3" s="83" t="s">
        <v>3</v>
      </c>
      <c r="B3" s="83" t="s">
        <v>0</v>
      </c>
      <c r="C3" s="84" t="s">
        <v>1</v>
      </c>
      <c r="D3" s="84" t="s">
        <v>68</v>
      </c>
      <c r="E3" s="84" t="s">
        <v>69</v>
      </c>
      <c r="F3" s="85" t="s">
        <v>2</v>
      </c>
      <c r="G3" s="85" t="s">
        <v>592</v>
      </c>
      <c r="H3" s="84" t="s">
        <v>6</v>
      </c>
      <c r="I3" s="84" t="s">
        <v>7</v>
      </c>
      <c r="J3" s="84" t="s">
        <v>4</v>
      </c>
      <c r="K3" s="84" t="s">
        <v>5</v>
      </c>
      <c r="L3" s="84" t="s">
        <v>70</v>
      </c>
      <c r="M3" s="83" t="s">
        <v>59</v>
      </c>
      <c r="N3" s="86" t="s">
        <v>8</v>
      </c>
      <c r="O3" s="86" t="s">
        <v>10</v>
      </c>
    </row>
    <row r="4" spans="1:41" s="15" customFormat="1" x14ac:dyDescent="0.3">
      <c r="A4" s="90" t="s">
        <v>625</v>
      </c>
      <c r="B4" s="90">
        <v>5</v>
      </c>
      <c r="C4" s="2">
        <f>'GERAL 2023'!G7</f>
        <v>580</v>
      </c>
      <c r="D4" s="2">
        <v>0</v>
      </c>
      <c r="E4" s="2">
        <f>C4-D4</f>
        <v>580</v>
      </c>
      <c r="F4" s="2">
        <f>50</f>
        <v>50</v>
      </c>
      <c r="G4" s="2">
        <f>(1316.7/27)</f>
        <v>48.766666666666666</v>
      </c>
      <c r="H4" s="2">
        <f>D53</f>
        <v>1.2516548463356973</v>
      </c>
      <c r="I4" s="2">
        <f>D60</f>
        <v>19.696666666666669</v>
      </c>
      <c r="J4" s="109">
        <f>SUM(E4:I4)</f>
        <v>699.71498817966904</v>
      </c>
      <c r="K4" s="2">
        <f>60%*(C4+F4)</f>
        <v>378</v>
      </c>
      <c r="L4" s="2">
        <f>J4-K4</f>
        <v>321.71498817966904</v>
      </c>
      <c r="M4" s="90" t="s">
        <v>635</v>
      </c>
      <c r="N4" s="3">
        <v>10</v>
      </c>
      <c r="O4" s="3">
        <v>11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1:41" s="11" customFormat="1" x14ac:dyDescent="0.3">
      <c r="A5" s="90" t="s">
        <v>627</v>
      </c>
      <c r="B5" s="90">
        <v>6</v>
      </c>
      <c r="C5" s="5">
        <f>'GERAL 2023'!G8</f>
        <v>680</v>
      </c>
      <c r="D5" s="5">
        <v>0</v>
      </c>
      <c r="E5" s="2">
        <f>C5-D5</f>
        <v>680</v>
      </c>
      <c r="F5" s="2">
        <f>100</f>
        <v>100</v>
      </c>
      <c r="G5" s="2">
        <f>1316.7/27</f>
        <v>48.766666666666666</v>
      </c>
      <c r="H5" s="2">
        <f>D63</f>
        <v>1.7523167848699763</v>
      </c>
      <c r="I5" s="2">
        <f>D62</f>
        <v>19.893333333333334</v>
      </c>
      <c r="J5" s="109">
        <f>SUM(E5:I5)</f>
        <v>850.41231678486997</v>
      </c>
      <c r="K5" s="2">
        <f>60%*(C5+F5)</f>
        <v>468</v>
      </c>
      <c r="L5" s="2">
        <f>J5-K5</f>
        <v>382.41231678486997</v>
      </c>
      <c r="M5" s="90" t="s">
        <v>641</v>
      </c>
      <c r="N5" s="3">
        <v>10</v>
      </c>
      <c r="O5" s="3">
        <v>11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</row>
    <row r="6" spans="1:41" s="10" customFormat="1" x14ac:dyDescent="0.3">
      <c r="A6" s="518" t="s">
        <v>4</v>
      </c>
      <c r="B6" s="518"/>
      <c r="C6" s="109">
        <f>SUM(C4:C5)</f>
        <v>1260</v>
      </c>
      <c r="D6" s="109">
        <f t="shared" ref="D6:L6" si="0">SUM(D4:D5)</f>
        <v>0</v>
      </c>
      <c r="E6" s="109">
        <f t="shared" si="0"/>
        <v>1260</v>
      </c>
      <c r="F6" s="109">
        <f t="shared" si="0"/>
        <v>150</v>
      </c>
      <c r="G6" s="109">
        <f t="shared" si="0"/>
        <v>97.533333333333331</v>
      </c>
      <c r="H6" s="109">
        <f t="shared" si="0"/>
        <v>3.0039716312056735</v>
      </c>
      <c r="I6" s="109">
        <f t="shared" si="0"/>
        <v>39.590000000000003</v>
      </c>
      <c r="J6" s="109">
        <f t="shared" si="0"/>
        <v>1550.127304964539</v>
      </c>
      <c r="K6" s="109">
        <f t="shared" si="0"/>
        <v>846</v>
      </c>
      <c r="L6" s="109">
        <f t="shared" si="0"/>
        <v>704.12730496453901</v>
      </c>
      <c r="M6" s="90"/>
      <c r="N6" s="3"/>
      <c r="O6" s="3"/>
    </row>
    <row r="7" spans="1:41" s="10" customFormat="1" ht="28.5" customHeight="1" x14ac:dyDescent="0.3">
      <c r="A7" s="521" t="s">
        <v>652</v>
      </c>
      <c r="B7" s="521"/>
      <c r="C7" s="521"/>
      <c r="D7" s="521"/>
      <c r="E7" s="521"/>
      <c r="F7" s="521"/>
      <c r="G7" s="521"/>
      <c r="H7" s="521"/>
      <c r="I7" s="521"/>
      <c r="J7" s="521"/>
      <c r="K7" s="521"/>
      <c r="L7" s="521"/>
      <c r="M7" s="521"/>
      <c r="N7" s="521"/>
      <c r="O7" s="521"/>
    </row>
    <row r="8" spans="1:41" s="11" customFormat="1" ht="34.5" customHeight="1" x14ac:dyDescent="0.3">
      <c r="A8" s="83" t="s">
        <v>3</v>
      </c>
      <c r="B8" s="83" t="s">
        <v>0</v>
      </c>
      <c r="C8" s="84" t="s">
        <v>1</v>
      </c>
      <c r="D8" s="84" t="s">
        <v>68</v>
      </c>
      <c r="E8" s="84" t="s">
        <v>69</v>
      </c>
      <c r="F8" s="85" t="s">
        <v>2</v>
      </c>
      <c r="G8" s="85" t="s">
        <v>592</v>
      </c>
      <c r="H8" s="84" t="s">
        <v>6</v>
      </c>
      <c r="I8" s="84" t="s">
        <v>7</v>
      </c>
      <c r="J8" s="84" t="s">
        <v>4</v>
      </c>
      <c r="K8" s="84" t="s">
        <v>5</v>
      </c>
      <c r="L8" s="84" t="s">
        <v>70</v>
      </c>
      <c r="M8" s="83" t="s">
        <v>59</v>
      </c>
      <c r="N8" s="86" t="s">
        <v>8</v>
      </c>
      <c r="O8" s="86" t="s">
        <v>10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</row>
    <row r="9" spans="1:41" s="15" customFormat="1" x14ac:dyDescent="0.3">
      <c r="A9" s="88" t="s">
        <v>397</v>
      </c>
      <c r="B9" s="90">
        <v>1</v>
      </c>
      <c r="C9" s="2">
        <f>'GERAL 2022'!G35/28*8</f>
        <v>165.71428571428572</v>
      </c>
      <c r="D9" s="2">
        <v>0</v>
      </c>
      <c r="E9" s="2">
        <f t="shared" ref="E9:E26" si="1">C9-D9</f>
        <v>165.71428571428572</v>
      </c>
      <c r="F9" s="5">
        <v>0</v>
      </c>
      <c r="G9" s="2">
        <f>(1316.7/27)/28*8</f>
        <v>13.933333333333334</v>
      </c>
      <c r="H9" s="2">
        <f>D53/28*8</f>
        <v>0.35761567038162784</v>
      </c>
      <c r="I9" s="2">
        <v>0</v>
      </c>
      <c r="J9" s="109">
        <f t="shared" ref="J9:J36" si="2">SUM(E9:I9)</f>
        <v>180.00523471800068</v>
      </c>
      <c r="K9" s="2">
        <f>7%*J9</f>
        <v>12.600366430260049</v>
      </c>
      <c r="L9" s="2">
        <f>J9-K9</f>
        <v>167.40486828774064</v>
      </c>
      <c r="M9" s="5" t="s">
        <v>638</v>
      </c>
      <c r="N9" s="3">
        <v>10</v>
      </c>
      <c r="O9" s="3">
        <v>11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</row>
    <row r="10" spans="1:41" s="15" customFormat="1" x14ac:dyDescent="0.3">
      <c r="A10" s="116" t="s">
        <v>636</v>
      </c>
      <c r="B10" s="90">
        <v>1</v>
      </c>
      <c r="C10" s="2">
        <f>'GERAL 2023'!G33/28*23</f>
        <v>476.42857142857144</v>
      </c>
      <c r="D10" s="2">
        <v>0</v>
      </c>
      <c r="E10" s="2">
        <f t="shared" si="1"/>
        <v>476.42857142857144</v>
      </c>
      <c r="F10" s="5">
        <v>0</v>
      </c>
      <c r="G10" s="2">
        <f>(1316.7/27)/28*23</f>
        <v>40.058333333333337</v>
      </c>
      <c r="H10" s="2">
        <f>D53/28*23</f>
        <v>1.02814505234718</v>
      </c>
      <c r="I10" s="2">
        <v>19.68</v>
      </c>
      <c r="J10" s="109">
        <f t="shared" si="2"/>
        <v>537.19504981425189</v>
      </c>
      <c r="K10" s="2">
        <f>7%*J10</f>
        <v>37.603653486997636</v>
      </c>
      <c r="L10" s="2">
        <f>J10-K10</f>
        <v>499.59139632725424</v>
      </c>
      <c r="M10" s="5" t="s">
        <v>637</v>
      </c>
      <c r="N10" s="3">
        <v>10</v>
      </c>
      <c r="O10" s="3">
        <v>11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</row>
    <row r="11" spans="1:41" s="96" customFormat="1" x14ac:dyDescent="0.3">
      <c r="A11" s="90" t="s">
        <v>434</v>
      </c>
      <c r="B11" s="4">
        <v>2</v>
      </c>
      <c r="C11" s="5">
        <f>'GERAL 2022'!G4</f>
        <v>580</v>
      </c>
      <c r="D11" s="5">
        <v>0</v>
      </c>
      <c r="E11" s="5">
        <f t="shared" si="1"/>
        <v>580</v>
      </c>
      <c r="F11" s="5">
        <v>50</v>
      </c>
      <c r="G11" s="2">
        <f t="shared" ref="G11:G36" si="3">1316.7/27</f>
        <v>48.766666666666666</v>
      </c>
      <c r="H11" s="2">
        <f>D55</f>
        <v>1.2516548463356973</v>
      </c>
      <c r="I11" s="5">
        <v>0</v>
      </c>
      <c r="J11" s="109">
        <f t="shared" si="2"/>
        <v>680.01832151300232</v>
      </c>
      <c r="K11" s="2">
        <f t="shared" ref="K11:K36" si="4">7%*J11</f>
        <v>47.60128250591017</v>
      </c>
      <c r="L11" s="2">
        <f t="shared" ref="L11:L35" si="5">J11-K11</f>
        <v>632.41703900709217</v>
      </c>
      <c r="M11" s="90" t="s">
        <v>639</v>
      </c>
      <c r="N11" s="3">
        <v>10</v>
      </c>
      <c r="O11" s="3">
        <v>11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16"/>
      <c r="AL11" s="17"/>
      <c r="AM11" s="17"/>
      <c r="AN11" s="17"/>
      <c r="AO11" s="17"/>
    </row>
    <row r="12" spans="1:41" s="6" customFormat="1" x14ac:dyDescent="0.3">
      <c r="A12" s="90" t="s">
        <v>438</v>
      </c>
      <c r="B12" s="4">
        <v>3</v>
      </c>
      <c r="C12" s="5">
        <f>'GERAL 2022'!G5</f>
        <v>550</v>
      </c>
      <c r="D12" s="5">
        <v>0</v>
      </c>
      <c r="E12" s="5">
        <f t="shared" si="1"/>
        <v>550</v>
      </c>
      <c r="F12" s="5">
        <v>0</v>
      </c>
      <c r="G12" s="2">
        <f t="shared" si="3"/>
        <v>48.766666666666666</v>
      </c>
      <c r="H12" s="2">
        <f>D57</f>
        <v>1.2516548463356973</v>
      </c>
      <c r="I12" s="5">
        <v>0</v>
      </c>
      <c r="J12" s="109">
        <f t="shared" si="2"/>
        <v>600.01832151300232</v>
      </c>
      <c r="K12" s="2">
        <f t="shared" si="4"/>
        <v>42.001282505910169</v>
      </c>
      <c r="L12" s="2">
        <f t="shared" si="5"/>
        <v>558.01703900709219</v>
      </c>
      <c r="M12" s="90" t="s">
        <v>639</v>
      </c>
      <c r="N12" s="3">
        <v>10</v>
      </c>
      <c r="O12" s="3">
        <v>11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</row>
    <row r="13" spans="1:41" s="15" customFormat="1" x14ac:dyDescent="0.3">
      <c r="A13" s="90" t="s">
        <v>263</v>
      </c>
      <c r="B13" s="90">
        <v>4</v>
      </c>
      <c r="C13" s="2">
        <f>550+(3.78823%*550)</f>
        <v>570.83526500000005</v>
      </c>
      <c r="D13" s="2">
        <v>0</v>
      </c>
      <c r="E13" s="2">
        <f t="shared" si="1"/>
        <v>570.83526500000005</v>
      </c>
      <c r="F13" s="2">
        <v>50</v>
      </c>
      <c r="G13" s="2">
        <f t="shared" si="3"/>
        <v>48.766666666666666</v>
      </c>
      <c r="H13" s="2">
        <f>D59</f>
        <v>1.2516548463356973</v>
      </c>
      <c r="I13" s="2">
        <v>19.649999999999999</v>
      </c>
      <c r="J13" s="109">
        <f t="shared" si="2"/>
        <v>690.50358651300235</v>
      </c>
      <c r="K13" s="2">
        <f t="shared" si="4"/>
        <v>48.33525105591017</v>
      </c>
      <c r="L13" s="2">
        <f t="shared" si="5"/>
        <v>642.16833545709221</v>
      </c>
      <c r="M13" s="90" t="s">
        <v>640</v>
      </c>
      <c r="N13" s="3">
        <v>10</v>
      </c>
      <c r="O13" s="4">
        <v>11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</row>
    <row r="14" spans="1:41" s="15" customFormat="1" x14ac:dyDescent="0.3">
      <c r="A14" s="90" t="s">
        <v>625</v>
      </c>
      <c r="B14" s="90">
        <v>5</v>
      </c>
      <c r="C14" s="2">
        <v>0</v>
      </c>
      <c r="D14" s="2">
        <v>0</v>
      </c>
      <c r="E14" s="2">
        <f>C14-D14</f>
        <v>0</v>
      </c>
      <c r="F14" s="2">
        <v>0</v>
      </c>
      <c r="G14" s="2">
        <v>0</v>
      </c>
      <c r="H14" s="2">
        <v>0</v>
      </c>
      <c r="I14" s="2">
        <v>0</v>
      </c>
      <c r="J14" s="109">
        <f t="shared" si="2"/>
        <v>0</v>
      </c>
      <c r="K14" s="2">
        <f t="shared" si="4"/>
        <v>0</v>
      </c>
      <c r="L14" s="2">
        <f t="shared" si="5"/>
        <v>0</v>
      </c>
      <c r="M14" s="90" t="s">
        <v>108</v>
      </c>
      <c r="N14" s="3">
        <v>10</v>
      </c>
      <c r="O14" s="3">
        <v>11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</row>
    <row r="15" spans="1:41" s="11" customFormat="1" x14ac:dyDescent="0.3">
      <c r="A15" s="90" t="s">
        <v>627</v>
      </c>
      <c r="B15" s="90">
        <v>6</v>
      </c>
      <c r="C15" s="5">
        <v>0</v>
      </c>
      <c r="D15" s="5">
        <v>0</v>
      </c>
      <c r="E15" s="2">
        <f>C15-D15</f>
        <v>0</v>
      </c>
      <c r="F15" s="2">
        <v>0</v>
      </c>
      <c r="G15" s="2">
        <v>0</v>
      </c>
      <c r="H15" s="2">
        <v>0</v>
      </c>
      <c r="I15" s="2">
        <v>0</v>
      </c>
      <c r="J15" s="109">
        <f t="shared" si="2"/>
        <v>0</v>
      </c>
      <c r="K15" s="2">
        <f>7%*J15</f>
        <v>0</v>
      </c>
      <c r="L15" s="2">
        <f>J15-K15</f>
        <v>0</v>
      </c>
      <c r="M15" s="90" t="s">
        <v>108</v>
      </c>
      <c r="N15" s="3">
        <v>10</v>
      </c>
      <c r="O15" s="3">
        <v>11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</row>
    <row r="16" spans="1:41" s="15" customFormat="1" ht="14.25" customHeight="1" x14ac:dyDescent="0.3">
      <c r="A16" s="90" t="s">
        <v>442</v>
      </c>
      <c r="B16" s="90">
        <v>7</v>
      </c>
      <c r="C16" s="2">
        <f>'GERAL 2022'!G9</f>
        <v>580</v>
      </c>
      <c r="D16" s="2">
        <v>0</v>
      </c>
      <c r="E16" s="5">
        <f t="shared" si="1"/>
        <v>580</v>
      </c>
      <c r="F16" s="2">
        <v>50</v>
      </c>
      <c r="G16" s="2">
        <f t="shared" si="3"/>
        <v>48.766666666666666</v>
      </c>
      <c r="H16" s="2">
        <f>D65</f>
        <v>1.2516548463356973</v>
      </c>
      <c r="I16" s="2">
        <v>0</v>
      </c>
      <c r="J16" s="109">
        <f t="shared" si="2"/>
        <v>680.01832151300232</v>
      </c>
      <c r="K16" s="2">
        <f t="shared" si="4"/>
        <v>47.60128250591017</v>
      </c>
      <c r="L16" s="2">
        <f t="shared" si="5"/>
        <v>632.41703900709217</v>
      </c>
      <c r="M16" s="90" t="s">
        <v>639</v>
      </c>
      <c r="N16" s="3">
        <v>10</v>
      </c>
      <c r="O16" s="3">
        <v>11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</row>
    <row r="17" spans="1:46" s="15" customFormat="1" x14ac:dyDescent="0.3">
      <c r="A17" s="90" t="s">
        <v>493</v>
      </c>
      <c r="B17" s="90">
        <v>8</v>
      </c>
      <c r="C17" s="2">
        <f>'GERAL 2022'!G37</f>
        <v>580</v>
      </c>
      <c r="D17" s="2">
        <v>0</v>
      </c>
      <c r="E17" s="5">
        <f t="shared" si="1"/>
        <v>580</v>
      </c>
      <c r="F17" s="2">
        <v>50</v>
      </c>
      <c r="G17" s="2">
        <f t="shared" si="3"/>
        <v>48.766666666666666</v>
      </c>
      <c r="H17" s="2">
        <f>D67</f>
        <v>1.2516548463356973</v>
      </c>
      <c r="I17" s="2">
        <v>0</v>
      </c>
      <c r="J17" s="109">
        <f t="shared" si="2"/>
        <v>680.01832151300232</v>
      </c>
      <c r="K17" s="2">
        <f t="shared" si="4"/>
        <v>47.60128250591017</v>
      </c>
      <c r="L17" s="2">
        <f t="shared" si="5"/>
        <v>632.41703900709217</v>
      </c>
      <c r="M17" s="90" t="s">
        <v>639</v>
      </c>
      <c r="N17" s="125">
        <v>10</v>
      </c>
      <c r="O17" s="3">
        <v>11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 spans="1:46" s="15" customFormat="1" ht="14.25" customHeight="1" x14ac:dyDescent="0.3">
      <c r="A18" s="90" t="s">
        <v>246</v>
      </c>
      <c r="B18" s="90">
        <v>9</v>
      </c>
      <c r="C18" s="2">
        <f>'GERAL 2022'!G11+(5.45129%*580)</f>
        <v>611.617482</v>
      </c>
      <c r="D18" s="2">
        <v>0</v>
      </c>
      <c r="E18" s="5">
        <f t="shared" si="1"/>
        <v>611.617482</v>
      </c>
      <c r="F18" s="2">
        <f>25</f>
        <v>25</v>
      </c>
      <c r="G18" s="2">
        <f t="shared" si="3"/>
        <v>48.766666666666666</v>
      </c>
      <c r="H18" s="2">
        <f>D69</f>
        <v>1.2516548463356973</v>
      </c>
      <c r="I18" s="2">
        <v>19.7</v>
      </c>
      <c r="J18" s="109">
        <f t="shared" si="2"/>
        <v>706.33580351300236</v>
      </c>
      <c r="K18" s="2">
        <f t="shared" si="4"/>
        <v>49.443506245910172</v>
      </c>
      <c r="L18" s="2">
        <f t="shared" si="5"/>
        <v>656.8922972670922</v>
      </c>
      <c r="M18" s="90" t="s">
        <v>642</v>
      </c>
      <c r="N18" s="125">
        <v>10</v>
      </c>
      <c r="O18" s="3">
        <v>11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</row>
    <row r="19" spans="1:46" s="69" customFormat="1" x14ac:dyDescent="0.3">
      <c r="A19" s="4" t="s">
        <v>402</v>
      </c>
      <c r="B19" s="4">
        <v>10</v>
      </c>
      <c r="C19" s="2">
        <f>'GERAL 2022'!G38</f>
        <v>550</v>
      </c>
      <c r="D19" s="2">
        <v>0</v>
      </c>
      <c r="E19" s="5">
        <f t="shared" si="1"/>
        <v>550</v>
      </c>
      <c r="F19" s="2">
        <v>50</v>
      </c>
      <c r="G19" s="2">
        <f t="shared" si="3"/>
        <v>48.766666666666666</v>
      </c>
      <c r="H19" s="2">
        <f>D71</f>
        <v>1.2516548463356973</v>
      </c>
      <c r="I19" s="2">
        <v>0</v>
      </c>
      <c r="J19" s="109">
        <f t="shared" si="2"/>
        <v>650.01832151300232</v>
      </c>
      <c r="K19" s="2">
        <f t="shared" si="4"/>
        <v>45.501282505910169</v>
      </c>
      <c r="L19" s="2">
        <f t="shared" si="5"/>
        <v>604.51703900709219</v>
      </c>
      <c r="M19" s="90" t="s">
        <v>639</v>
      </c>
      <c r="N19" s="3">
        <v>10</v>
      </c>
      <c r="O19" s="4">
        <v>11</v>
      </c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</row>
    <row r="20" spans="1:46" s="69" customFormat="1" x14ac:dyDescent="0.3">
      <c r="A20" s="4" t="s">
        <v>321</v>
      </c>
      <c r="B20" s="4">
        <v>11</v>
      </c>
      <c r="C20" s="2">
        <f>'GERAL 2022'!G13</f>
        <v>550</v>
      </c>
      <c r="D20" s="2">
        <v>0</v>
      </c>
      <c r="E20" s="5">
        <f t="shared" si="1"/>
        <v>550</v>
      </c>
      <c r="F20" s="2">
        <v>0</v>
      </c>
      <c r="G20" s="2">
        <f t="shared" si="3"/>
        <v>48.766666666666666</v>
      </c>
      <c r="H20" s="2">
        <f>D73</f>
        <v>1.2516548463356973</v>
      </c>
      <c r="I20" s="2">
        <v>0</v>
      </c>
      <c r="J20" s="109">
        <f t="shared" si="2"/>
        <v>600.01832151300232</v>
      </c>
      <c r="K20" s="2">
        <f t="shared" si="4"/>
        <v>42.001282505910169</v>
      </c>
      <c r="L20" s="2">
        <f t="shared" si="5"/>
        <v>558.01703900709219</v>
      </c>
      <c r="M20" s="5" t="s">
        <v>639</v>
      </c>
      <c r="N20" s="3">
        <v>10</v>
      </c>
      <c r="O20" s="4">
        <v>11</v>
      </c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</row>
    <row r="21" spans="1:46" s="15" customFormat="1" x14ac:dyDescent="0.3">
      <c r="A21" s="90" t="s">
        <v>566</v>
      </c>
      <c r="B21" s="90">
        <v>12</v>
      </c>
      <c r="C21" s="2">
        <f>'GERAL 2022'!G14</f>
        <v>550</v>
      </c>
      <c r="D21" s="2">
        <v>0</v>
      </c>
      <c r="E21" s="5">
        <f t="shared" si="1"/>
        <v>550</v>
      </c>
      <c r="F21" s="5">
        <v>25</v>
      </c>
      <c r="G21" s="2">
        <f t="shared" si="3"/>
        <v>48.766666666666666</v>
      </c>
      <c r="H21" s="2">
        <f>D75</f>
        <v>1.2516548463356973</v>
      </c>
      <c r="I21" s="5">
        <v>0</v>
      </c>
      <c r="J21" s="109">
        <f t="shared" si="2"/>
        <v>625.01832151300232</v>
      </c>
      <c r="K21" s="2">
        <f t="shared" si="4"/>
        <v>43.751282505910169</v>
      </c>
      <c r="L21" s="2">
        <f t="shared" si="5"/>
        <v>581.26703900709219</v>
      </c>
      <c r="M21" s="90" t="s">
        <v>639</v>
      </c>
      <c r="N21" s="3">
        <v>10</v>
      </c>
      <c r="O21" s="3">
        <v>11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</row>
    <row r="22" spans="1:46" s="11" customFormat="1" x14ac:dyDescent="0.3">
      <c r="A22" s="90" t="s">
        <v>362</v>
      </c>
      <c r="B22" s="90">
        <v>13</v>
      </c>
      <c r="C22" s="5">
        <f>'GERAL 2022'!G15</f>
        <v>550</v>
      </c>
      <c r="D22" s="5">
        <v>0</v>
      </c>
      <c r="E22" s="5">
        <f t="shared" si="1"/>
        <v>550</v>
      </c>
      <c r="F22" s="2">
        <v>0</v>
      </c>
      <c r="G22" s="2">
        <f t="shared" si="3"/>
        <v>48.766666666666666</v>
      </c>
      <c r="H22" s="2">
        <f>D77</f>
        <v>1.2516548463356973</v>
      </c>
      <c r="I22" s="2">
        <v>0</v>
      </c>
      <c r="J22" s="109">
        <f t="shared" si="2"/>
        <v>600.01832151300232</v>
      </c>
      <c r="K22" s="2">
        <f t="shared" si="4"/>
        <v>42.001282505910169</v>
      </c>
      <c r="L22" s="2">
        <f t="shared" si="5"/>
        <v>558.01703900709219</v>
      </c>
      <c r="M22" s="90" t="s">
        <v>639</v>
      </c>
      <c r="N22" s="3">
        <v>10</v>
      </c>
      <c r="O22" s="3">
        <v>11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</row>
    <row r="23" spans="1:46" s="69" customFormat="1" x14ac:dyDescent="0.3">
      <c r="A23" s="4" t="s">
        <v>559</v>
      </c>
      <c r="B23" s="4">
        <v>14</v>
      </c>
      <c r="C23" s="2">
        <f>'GERAL 2022'!G39</f>
        <v>580</v>
      </c>
      <c r="D23" s="2">
        <v>0</v>
      </c>
      <c r="E23" s="5">
        <f t="shared" si="1"/>
        <v>580</v>
      </c>
      <c r="F23" s="2">
        <f>50</f>
        <v>50</v>
      </c>
      <c r="G23" s="2">
        <f t="shared" si="3"/>
        <v>48.766666666666666</v>
      </c>
      <c r="H23" s="2">
        <f>D79</f>
        <v>1.2516548463356973</v>
      </c>
      <c r="I23" s="2">
        <f>D78</f>
        <v>19.696666666666669</v>
      </c>
      <c r="J23" s="109">
        <f t="shared" si="2"/>
        <v>699.71498817966904</v>
      </c>
      <c r="K23" s="2">
        <f>7%*J23</f>
        <v>48.980049172576834</v>
      </c>
      <c r="L23" s="2">
        <f t="shared" si="5"/>
        <v>650.73493900709218</v>
      </c>
      <c r="M23" s="90" t="s">
        <v>643</v>
      </c>
      <c r="N23" s="3">
        <v>10</v>
      </c>
      <c r="O23" s="4">
        <v>11</v>
      </c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</row>
    <row r="24" spans="1:46" s="6" customFormat="1" x14ac:dyDescent="0.3">
      <c r="A24" s="90" t="s">
        <v>272</v>
      </c>
      <c r="B24" s="90">
        <v>15</v>
      </c>
      <c r="C24" s="2">
        <f>(650+(3.78823%*650))/28*24</f>
        <v>578.24871000000007</v>
      </c>
      <c r="D24" s="2">
        <v>0</v>
      </c>
      <c r="E24" s="5">
        <f t="shared" si="1"/>
        <v>578.24871000000007</v>
      </c>
      <c r="F24" s="2">
        <f>25/28*24</f>
        <v>21.428571428571431</v>
      </c>
      <c r="G24" s="2">
        <f>(1316.7/27)/28*24</f>
        <v>41.8</v>
      </c>
      <c r="H24" s="2">
        <f>D81/28*24</f>
        <v>1.5019858156028369</v>
      </c>
      <c r="I24" s="2">
        <v>0</v>
      </c>
      <c r="J24" s="109">
        <f t="shared" si="2"/>
        <v>642.97926724417437</v>
      </c>
      <c r="K24" s="2">
        <f t="shared" si="4"/>
        <v>45.00854870709221</v>
      </c>
      <c r="L24" s="2">
        <f t="shared" si="5"/>
        <v>597.97071853708212</v>
      </c>
      <c r="M24" s="90" t="s">
        <v>653</v>
      </c>
      <c r="N24" s="3">
        <v>10</v>
      </c>
      <c r="O24" s="3">
        <v>11</v>
      </c>
      <c r="P24" s="9"/>
      <c r="Q24" s="9"/>
      <c r="R24" s="9"/>
      <c r="S24" s="9"/>
      <c r="T24" s="9"/>
      <c r="U24" s="9"/>
      <c r="V24" s="9"/>
      <c r="W24" s="9"/>
      <c r="X24" s="9"/>
    </row>
    <row r="25" spans="1:46" s="11" customFormat="1" x14ac:dyDescent="0.3">
      <c r="A25" s="3" t="s">
        <v>100</v>
      </c>
      <c r="B25" s="3">
        <v>16</v>
      </c>
      <c r="C25" s="2">
        <f>('GERAL 2022'!G18+(10.72339%*640))/28*8</f>
        <v>202.46562742857142</v>
      </c>
      <c r="D25" s="2">
        <v>0</v>
      </c>
      <c r="E25" s="5">
        <f t="shared" si="1"/>
        <v>202.46562742857142</v>
      </c>
      <c r="F25" s="2">
        <f>60/28*8</f>
        <v>17.142857142857142</v>
      </c>
      <c r="G25" s="2">
        <f>(1316.7/27)/28*8</f>
        <v>13.933333333333334</v>
      </c>
      <c r="H25" s="2">
        <f>D83/28*8</f>
        <v>0.35761567038162784</v>
      </c>
      <c r="I25" s="2">
        <v>0</v>
      </c>
      <c r="J25" s="109">
        <f t="shared" si="2"/>
        <v>233.89943357514352</v>
      </c>
      <c r="K25" s="2">
        <f t="shared" si="4"/>
        <v>16.372960350260048</v>
      </c>
      <c r="L25" s="2">
        <f t="shared" si="5"/>
        <v>217.52647322488346</v>
      </c>
      <c r="M25" s="90" t="s">
        <v>646</v>
      </c>
      <c r="N25" s="3">
        <v>10</v>
      </c>
      <c r="O25" s="3">
        <v>11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</row>
    <row r="26" spans="1:46" s="11" customFormat="1" x14ac:dyDescent="0.3">
      <c r="A26" s="88" t="s">
        <v>392</v>
      </c>
      <c r="B26" s="88">
        <v>17</v>
      </c>
      <c r="C26" s="2">
        <f>'GERAL 2022'!G41</f>
        <v>580</v>
      </c>
      <c r="D26" s="2">
        <v>0</v>
      </c>
      <c r="E26" s="5">
        <f t="shared" si="1"/>
        <v>580</v>
      </c>
      <c r="F26" s="2">
        <v>0</v>
      </c>
      <c r="G26" s="2">
        <f t="shared" si="3"/>
        <v>48.766666666666666</v>
      </c>
      <c r="H26" s="2">
        <f>D85</f>
        <v>1.2516548463356973</v>
      </c>
      <c r="I26" s="2">
        <v>0</v>
      </c>
      <c r="J26" s="109">
        <f t="shared" si="2"/>
        <v>630.01832151300232</v>
      </c>
      <c r="K26" s="2">
        <f t="shared" si="4"/>
        <v>44.10128250591017</v>
      </c>
      <c r="L26" s="2">
        <f t="shared" si="5"/>
        <v>585.91703900709217</v>
      </c>
      <c r="M26" s="5" t="s">
        <v>639</v>
      </c>
      <c r="N26" s="3">
        <v>10</v>
      </c>
      <c r="O26" s="3">
        <v>11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</row>
    <row r="27" spans="1:46" s="11" customFormat="1" x14ac:dyDescent="0.3">
      <c r="A27" s="88" t="s">
        <v>602</v>
      </c>
      <c r="B27" s="90">
        <v>18</v>
      </c>
      <c r="C27" s="2">
        <f>'GERAL 2023'!G20</f>
        <v>640</v>
      </c>
      <c r="D27" s="2">
        <v>0</v>
      </c>
      <c r="E27" s="5">
        <f>C27-D27</f>
        <v>640</v>
      </c>
      <c r="F27" s="2">
        <v>25</v>
      </c>
      <c r="G27" s="2">
        <f t="shared" si="3"/>
        <v>48.766666666666666</v>
      </c>
      <c r="H27" s="2">
        <f>D87</f>
        <v>1.2516548463356973</v>
      </c>
      <c r="I27" s="2">
        <v>19.809999999999999</v>
      </c>
      <c r="J27" s="109">
        <f t="shared" si="2"/>
        <v>734.82832151300227</v>
      </c>
      <c r="K27" s="2">
        <f>7%*J27</f>
        <v>51.437982505910163</v>
      </c>
      <c r="L27" s="2">
        <f t="shared" si="5"/>
        <v>683.39033900709205</v>
      </c>
      <c r="M27" s="90" t="s">
        <v>644</v>
      </c>
      <c r="N27" s="3">
        <v>10</v>
      </c>
      <c r="O27" s="3">
        <v>11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</row>
    <row r="28" spans="1:46" s="11" customFormat="1" x14ac:dyDescent="0.3">
      <c r="A28" s="90" t="s">
        <v>500</v>
      </c>
      <c r="B28" s="90">
        <v>19</v>
      </c>
      <c r="C28" s="2">
        <f>'GERAL 2022'!G43</f>
        <v>550</v>
      </c>
      <c r="D28" s="2">
        <v>0</v>
      </c>
      <c r="E28" s="5">
        <f>(C28-D28)</f>
        <v>550</v>
      </c>
      <c r="F28" s="2">
        <v>50</v>
      </c>
      <c r="G28" s="2">
        <f t="shared" si="3"/>
        <v>48.766666666666666</v>
      </c>
      <c r="H28" s="2">
        <f>D89</f>
        <v>1.2516548463356973</v>
      </c>
      <c r="I28" s="2">
        <v>0</v>
      </c>
      <c r="J28" s="109">
        <f t="shared" si="2"/>
        <v>650.01832151300232</v>
      </c>
      <c r="K28" s="2">
        <f t="shared" si="4"/>
        <v>45.501282505910169</v>
      </c>
      <c r="L28" s="2">
        <f t="shared" si="5"/>
        <v>604.51703900709219</v>
      </c>
      <c r="M28" s="90" t="s">
        <v>639</v>
      </c>
      <c r="N28" s="3">
        <v>10</v>
      </c>
      <c r="O28" s="3">
        <v>11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</row>
    <row r="29" spans="1:46" s="11" customFormat="1" x14ac:dyDescent="0.3">
      <c r="A29" s="88" t="s">
        <v>345</v>
      </c>
      <c r="B29" s="90">
        <v>20</v>
      </c>
      <c r="C29" s="2">
        <f>'GERAL 2022'!G22</f>
        <v>660</v>
      </c>
      <c r="D29" s="2">
        <v>0</v>
      </c>
      <c r="E29" s="5">
        <f t="shared" ref="E29:E36" si="6">C29-D29</f>
        <v>660</v>
      </c>
      <c r="F29" s="2">
        <v>50</v>
      </c>
      <c r="G29" s="2">
        <f t="shared" si="3"/>
        <v>48.766666666666666</v>
      </c>
      <c r="H29" s="2">
        <f>D91</f>
        <v>1.2516548463356973</v>
      </c>
      <c r="I29" s="2">
        <v>0</v>
      </c>
      <c r="J29" s="109">
        <f t="shared" si="2"/>
        <v>760.01832151300232</v>
      </c>
      <c r="K29" s="2">
        <f>7%*J29</f>
        <v>53.201282505910164</v>
      </c>
      <c r="L29" s="2">
        <f t="shared" si="5"/>
        <v>706.81703900709215</v>
      </c>
      <c r="M29" s="90" t="s">
        <v>639</v>
      </c>
      <c r="N29" s="125">
        <v>10</v>
      </c>
      <c r="O29" s="3">
        <v>11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</row>
    <row r="30" spans="1:46" s="11" customFormat="1" x14ac:dyDescent="0.3">
      <c r="A30" s="88" t="s">
        <v>346</v>
      </c>
      <c r="B30" s="90">
        <v>21</v>
      </c>
      <c r="C30" s="2">
        <f>'GERAL 2022'!G23</f>
        <v>500</v>
      </c>
      <c r="D30" s="2">
        <v>0</v>
      </c>
      <c r="E30" s="5">
        <f t="shared" si="6"/>
        <v>500</v>
      </c>
      <c r="F30" s="2">
        <v>25</v>
      </c>
      <c r="G30" s="2">
        <f t="shared" si="3"/>
        <v>48.766666666666666</v>
      </c>
      <c r="H30" s="2">
        <f>D93</f>
        <v>1.2516548463356973</v>
      </c>
      <c r="I30" s="2">
        <v>0</v>
      </c>
      <c r="J30" s="109">
        <f t="shared" si="2"/>
        <v>575.01832151300232</v>
      </c>
      <c r="K30" s="2">
        <f>7%*J30</f>
        <v>40.251282505910169</v>
      </c>
      <c r="L30" s="2">
        <f t="shared" si="5"/>
        <v>534.76703900709219</v>
      </c>
      <c r="M30" s="90" t="s">
        <v>639</v>
      </c>
      <c r="N30" s="125">
        <v>10</v>
      </c>
      <c r="O30" s="3">
        <v>11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</row>
    <row r="31" spans="1:46" s="11" customFormat="1" ht="15.75" customHeight="1" x14ac:dyDescent="0.3">
      <c r="A31" s="88" t="s">
        <v>119</v>
      </c>
      <c r="B31" s="90">
        <v>22</v>
      </c>
      <c r="C31" s="2">
        <f>'GERAL 2022'!G24</f>
        <v>500</v>
      </c>
      <c r="D31" s="2">
        <v>0</v>
      </c>
      <c r="E31" s="5">
        <f t="shared" si="6"/>
        <v>500</v>
      </c>
      <c r="F31" s="2">
        <v>25</v>
      </c>
      <c r="G31" s="2">
        <f t="shared" si="3"/>
        <v>48.766666666666666</v>
      </c>
      <c r="H31" s="2">
        <f>D95</f>
        <v>1.2516548463356973</v>
      </c>
      <c r="I31" s="2">
        <v>0</v>
      </c>
      <c r="J31" s="109">
        <f t="shared" si="2"/>
        <v>575.01832151300232</v>
      </c>
      <c r="K31" s="2">
        <f t="shared" si="4"/>
        <v>40.251282505910169</v>
      </c>
      <c r="L31" s="2">
        <f t="shared" si="5"/>
        <v>534.76703900709219</v>
      </c>
      <c r="M31" s="90" t="s">
        <v>639</v>
      </c>
      <c r="N31" s="125">
        <v>10</v>
      </c>
      <c r="O31" s="3">
        <v>11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</row>
    <row r="32" spans="1:46" s="11" customFormat="1" x14ac:dyDescent="0.3">
      <c r="A32" s="88" t="s">
        <v>379</v>
      </c>
      <c r="B32" s="90">
        <v>23</v>
      </c>
      <c r="C32" s="2">
        <f>'GERAL 2022'!G25</f>
        <v>550</v>
      </c>
      <c r="D32" s="2">
        <v>0</v>
      </c>
      <c r="E32" s="5">
        <f t="shared" si="6"/>
        <v>550</v>
      </c>
      <c r="F32" s="2">
        <v>0</v>
      </c>
      <c r="G32" s="2">
        <f t="shared" si="3"/>
        <v>48.766666666666666</v>
      </c>
      <c r="H32" s="2">
        <f>D97</f>
        <v>1.2516548463356973</v>
      </c>
      <c r="I32" s="2">
        <v>0</v>
      </c>
      <c r="J32" s="109">
        <f t="shared" si="2"/>
        <v>600.01832151300232</v>
      </c>
      <c r="K32" s="2">
        <f t="shared" si="4"/>
        <v>42.001282505910169</v>
      </c>
      <c r="L32" s="2">
        <f t="shared" si="5"/>
        <v>558.01703900709219</v>
      </c>
      <c r="M32" s="90" t="s">
        <v>639</v>
      </c>
      <c r="N32" s="3">
        <v>10</v>
      </c>
      <c r="O32" s="3">
        <v>11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</row>
    <row r="33" spans="1:41" s="6" customFormat="1" x14ac:dyDescent="0.3">
      <c r="A33" s="90" t="s">
        <v>267</v>
      </c>
      <c r="B33" s="90">
        <v>24</v>
      </c>
      <c r="C33" s="2">
        <f>650+(3.78823%*650)</f>
        <v>674.62349500000005</v>
      </c>
      <c r="D33" s="2">
        <v>0</v>
      </c>
      <c r="E33" s="5">
        <f t="shared" si="6"/>
        <v>674.62349500000005</v>
      </c>
      <c r="F33" s="2">
        <v>50</v>
      </c>
      <c r="G33" s="2">
        <f t="shared" si="3"/>
        <v>48.766666666666666</v>
      </c>
      <c r="H33" s="2">
        <f>D99</f>
        <v>1.7523167848699763</v>
      </c>
      <c r="I33" s="2">
        <v>19.82</v>
      </c>
      <c r="J33" s="109">
        <f t="shared" si="2"/>
        <v>794.96247845153675</v>
      </c>
      <c r="K33" s="2">
        <f>7%*J33</f>
        <v>55.647373491607581</v>
      </c>
      <c r="L33" s="2">
        <f t="shared" si="5"/>
        <v>739.31510495992916</v>
      </c>
      <c r="M33" s="90" t="s">
        <v>645</v>
      </c>
      <c r="N33" s="125">
        <v>10</v>
      </c>
      <c r="O33" s="3">
        <v>11</v>
      </c>
      <c r="P33" s="9"/>
      <c r="Q33" s="9"/>
      <c r="R33" s="9"/>
      <c r="S33" s="9"/>
      <c r="T33" s="9"/>
      <c r="U33" s="9"/>
      <c r="V33" s="9"/>
      <c r="W33" s="9"/>
      <c r="X33" s="9"/>
    </row>
    <row r="34" spans="1:41" s="6" customFormat="1" x14ac:dyDescent="0.3">
      <c r="A34" s="11" t="s">
        <v>563</v>
      </c>
      <c r="B34" s="90">
        <v>25</v>
      </c>
      <c r="C34" s="2">
        <f>'GERAL 2022'!G44</f>
        <v>610</v>
      </c>
      <c r="D34" s="2">
        <v>0</v>
      </c>
      <c r="E34" s="5">
        <f t="shared" si="6"/>
        <v>610</v>
      </c>
      <c r="F34" s="2">
        <v>0</v>
      </c>
      <c r="G34" s="2">
        <f t="shared" si="3"/>
        <v>48.766666666666666</v>
      </c>
      <c r="H34" s="2">
        <f>D101</f>
        <v>1.2516548463356973</v>
      </c>
      <c r="I34" s="2">
        <f>D100</f>
        <v>19.754999999999999</v>
      </c>
      <c r="J34" s="109">
        <f t="shared" si="2"/>
        <v>679.77332151300232</v>
      </c>
      <c r="K34" s="2">
        <f>7%*J34</f>
        <v>47.584132505910169</v>
      </c>
      <c r="L34" s="2">
        <f t="shared" si="5"/>
        <v>632.18918900709218</v>
      </c>
      <c r="M34" s="90" t="s">
        <v>643</v>
      </c>
      <c r="N34" s="125">
        <v>10</v>
      </c>
      <c r="O34" s="3">
        <v>11</v>
      </c>
      <c r="P34" s="9"/>
      <c r="Q34" s="9"/>
      <c r="R34" s="9"/>
      <c r="S34" s="9"/>
      <c r="T34" s="9"/>
      <c r="U34" s="9"/>
      <c r="V34" s="9"/>
      <c r="W34" s="9"/>
      <c r="X34" s="9"/>
    </row>
    <row r="35" spans="1:41" s="11" customFormat="1" x14ac:dyDescent="0.3">
      <c r="A35" s="88" t="s">
        <v>348</v>
      </c>
      <c r="B35" s="90">
        <v>26</v>
      </c>
      <c r="C35" s="2">
        <f>'GERAL 2022'!G28</f>
        <v>560</v>
      </c>
      <c r="D35" s="2">
        <v>0</v>
      </c>
      <c r="E35" s="5">
        <f t="shared" si="6"/>
        <v>560</v>
      </c>
      <c r="F35" s="2">
        <v>25</v>
      </c>
      <c r="G35" s="2">
        <f t="shared" si="3"/>
        <v>48.766666666666666</v>
      </c>
      <c r="H35" s="2">
        <f>D103</f>
        <v>1.2516548463356973</v>
      </c>
      <c r="I35" s="2">
        <v>0</v>
      </c>
      <c r="J35" s="109">
        <f t="shared" si="2"/>
        <v>635.01832151300232</v>
      </c>
      <c r="K35" s="2">
        <f t="shared" si="4"/>
        <v>44.451282505910164</v>
      </c>
      <c r="L35" s="2">
        <f t="shared" si="5"/>
        <v>590.56703900709215</v>
      </c>
      <c r="M35" s="90" t="s">
        <v>639</v>
      </c>
      <c r="N35" s="3">
        <v>10</v>
      </c>
      <c r="O35" s="3">
        <v>11</v>
      </c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</row>
    <row r="36" spans="1:41" s="11" customFormat="1" x14ac:dyDescent="0.3">
      <c r="A36" s="88" t="s">
        <v>349</v>
      </c>
      <c r="B36" s="90">
        <v>27</v>
      </c>
      <c r="C36" s="72">
        <f>'GERAL 2022'!G45</f>
        <v>580</v>
      </c>
      <c r="D36" s="72">
        <v>0</v>
      </c>
      <c r="E36" s="5">
        <f t="shared" si="6"/>
        <v>580</v>
      </c>
      <c r="F36" s="72">
        <v>0</v>
      </c>
      <c r="G36" s="2">
        <f t="shared" si="3"/>
        <v>48.766666666666666</v>
      </c>
      <c r="H36" s="72">
        <f>D105</f>
        <v>1.2516548463356973</v>
      </c>
      <c r="I36" s="72">
        <v>0</v>
      </c>
      <c r="J36" s="109">
        <f t="shared" si="2"/>
        <v>630.01832151300232</v>
      </c>
      <c r="K36" s="2">
        <f t="shared" si="4"/>
        <v>44.10128250591017</v>
      </c>
      <c r="L36" s="2">
        <f>J36-K36</f>
        <v>585.91703900709217</v>
      </c>
      <c r="M36" s="90" t="s">
        <v>639</v>
      </c>
      <c r="N36" s="3">
        <v>10</v>
      </c>
      <c r="O36" s="3">
        <v>11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</row>
    <row r="37" spans="1:41" s="11" customFormat="1" x14ac:dyDescent="0.3">
      <c r="A37" s="518" t="s">
        <v>4</v>
      </c>
      <c r="B37" s="518"/>
      <c r="C37" s="109">
        <f>SUM(C9:C36)</f>
        <v>14079.933436571428</v>
      </c>
      <c r="D37" s="109">
        <f t="shared" ref="D37:L37" si="7">SUM(D9:D36)</f>
        <v>0</v>
      </c>
      <c r="E37" s="109">
        <f t="shared" si="7"/>
        <v>14079.933436571428</v>
      </c>
      <c r="F37" s="109">
        <f t="shared" si="7"/>
        <v>638.57142857142867</v>
      </c>
      <c r="G37" s="109">
        <f t="shared" si="7"/>
        <v>1182.5916666666665</v>
      </c>
      <c r="H37" s="109">
        <f t="shared" si="7"/>
        <v>31.282430766632885</v>
      </c>
      <c r="I37" s="109">
        <f t="shared" si="7"/>
        <v>138.11166666666668</v>
      </c>
      <c r="J37" s="109">
        <f t="shared" si="7"/>
        <v>16070.490629242817</v>
      </c>
      <c r="K37" s="109">
        <f>SUM(K9:K36)</f>
        <v>1124.9343440469977</v>
      </c>
      <c r="L37" s="109">
        <f t="shared" si="7"/>
        <v>14945.556285195828</v>
      </c>
      <c r="M37" s="90"/>
      <c r="N37" s="3"/>
      <c r="O37" s="3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</row>
    <row r="38" spans="1:41" s="11" customFormat="1" ht="28.5" customHeight="1" x14ac:dyDescent="0.3">
      <c r="A38" s="521" t="s">
        <v>634</v>
      </c>
      <c r="B38" s="521"/>
      <c r="C38" s="521"/>
      <c r="D38" s="521"/>
      <c r="E38" s="521"/>
      <c r="F38" s="521"/>
      <c r="G38" s="521"/>
      <c r="H38" s="521"/>
      <c r="I38" s="521"/>
      <c r="J38" s="521"/>
      <c r="K38" s="521"/>
      <c r="L38" s="521"/>
      <c r="M38" s="521"/>
      <c r="N38" s="521"/>
      <c r="O38" s="521"/>
      <c r="P38" s="10"/>
      <c r="Q38" s="10"/>
      <c r="R38" s="10"/>
      <c r="S38" s="10"/>
      <c r="T38" s="10"/>
      <c r="U38" s="10"/>
      <c r="V38" s="10"/>
      <c r="W38" s="10"/>
      <c r="X38" s="10"/>
    </row>
    <row r="39" spans="1:41" s="11" customFormat="1" ht="27.75" customHeight="1" x14ac:dyDescent="0.3">
      <c r="A39" s="127" t="s">
        <v>3</v>
      </c>
      <c r="B39" s="127" t="s">
        <v>0</v>
      </c>
      <c r="C39" s="128" t="s">
        <v>174</v>
      </c>
      <c r="D39" s="555" t="s">
        <v>175</v>
      </c>
      <c r="E39" s="556"/>
      <c r="F39" s="556"/>
      <c r="G39" s="556"/>
      <c r="H39" s="556"/>
      <c r="I39" s="557"/>
      <c r="J39" s="128" t="s">
        <v>4</v>
      </c>
      <c r="K39" s="128" t="s">
        <v>5</v>
      </c>
      <c r="L39" s="128" t="s">
        <v>70</v>
      </c>
      <c r="M39" s="127" t="s">
        <v>59</v>
      </c>
      <c r="N39" s="130" t="s">
        <v>8</v>
      </c>
      <c r="O39" s="130" t="s">
        <v>10</v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41" s="15" customFormat="1" x14ac:dyDescent="0.3">
      <c r="A40" s="90" t="s">
        <v>552</v>
      </c>
      <c r="B40" s="90">
        <v>6</v>
      </c>
      <c r="C40" s="2">
        <v>1475.65</v>
      </c>
      <c r="D40" s="546" t="s">
        <v>605</v>
      </c>
      <c r="E40" s="547"/>
      <c r="F40" s="547"/>
      <c r="G40" s="547"/>
      <c r="H40" s="547"/>
      <c r="I40" s="548"/>
      <c r="J40" s="2">
        <v>184.46</v>
      </c>
      <c r="K40" s="2">
        <f>7%*J40</f>
        <v>12.912200000000002</v>
      </c>
      <c r="L40" s="2">
        <f>J40-K40</f>
        <v>171.5478</v>
      </c>
      <c r="M40" s="90" t="s">
        <v>650</v>
      </c>
      <c r="N40" s="3">
        <v>10</v>
      </c>
      <c r="O40" s="3">
        <v>11</v>
      </c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</row>
    <row r="41" spans="1:41" s="15" customFormat="1" x14ac:dyDescent="0.3">
      <c r="A41" s="88" t="s">
        <v>397</v>
      </c>
      <c r="B41" s="90">
        <v>1</v>
      </c>
      <c r="C41" s="2">
        <v>1276</v>
      </c>
      <c r="D41" s="546" t="s">
        <v>647</v>
      </c>
      <c r="E41" s="547"/>
      <c r="F41" s="547"/>
      <c r="G41" s="547"/>
      <c r="H41" s="547"/>
      <c r="I41" s="548"/>
      <c r="J41" s="2">
        <v>1276</v>
      </c>
      <c r="K41" s="2">
        <f>7%*J41</f>
        <v>89.320000000000007</v>
      </c>
      <c r="L41" s="2">
        <f>J41-K41</f>
        <v>1186.68</v>
      </c>
      <c r="M41" s="90" t="s">
        <v>649</v>
      </c>
      <c r="N41" s="3">
        <v>10</v>
      </c>
      <c r="O41" s="3">
        <v>11</v>
      </c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</row>
    <row r="42" spans="1:41" s="15" customFormat="1" x14ac:dyDescent="0.3">
      <c r="A42" s="3" t="s">
        <v>100</v>
      </c>
      <c r="B42" s="3">
        <v>16</v>
      </c>
      <c r="C42" s="2">
        <v>708.63</v>
      </c>
      <c r="D42" s="546" t="s">
        <v>648</v>
      </c>
      <c r="E42" s="547"/>
      <c r="F42" s="547"/>
      <c r="G42" s="547"/>
      <c r="H42" s="547"/>
      <c r="I42" s="548"/>
      <c r="J42" s="2">
        <v>708.63</v>
      </c>
      <c r="K42" s="2">
        <f>7%*J42</f>
        <v>49.604100000000003</v>
      </c>
      <c r="L42" s="2">
        <f>J42-K42</f>
        <v>659.02589999999998</v>
      </c>
      <c r="M42" s="90" t="s">
        <v>649</v>
      </c>
      <c r="N42" s="3">
        <v>10</v>
      </c>
      <c r="O42" s="3">
        <v>11</v>
      </c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</row>
    <row r="43" spans="1:41" s="11" customFormat="1" x14ac:dyDescent="0.3">
      <c r="A43" s="518" t="s">
        <v>4</v>
      </c>
      <c r="B43" s="518"/>
      <c r="C43" s="518"/>
      <c r="D43" s="518"/>
      <c r="E43" s="518"/>
      <c r="F43" s="518"/>
      <c r="G43" s="518"/>
      <c r="H43" s="518"/>
      <c r="I43" s="518"/>
      <c r="J43" s="109">
        <f>SUM(J40:J42)</f>
        <v>2169.09</v>
      </c>
      <c r="K43" s="109">
        <f>SUM(K40:K42)</f>
        <v>151.83629999999999</v>
      </c>
      <c r="L43" s="109">
        <f>SUM(L40:L42)</f>
        <v>2017.2537000000002</v>
      </c>
      <c r="M43" s="527"/>
      <c r="N43" s="527"/>
      <c r="O43" s="527"/>
      <c r="P43" s="10"/>
      <c r="Q43" s="10"/>
      <c r="R43" s="10"/>
      <c r="S43" s="10"/>
      <c r="T43" s="10"/>
      <c r="U43" s="10"/>
      <c r="V43" s="10"/>
      <c r="W43" s="10"/>
      <c r="X43" s="10"/>
    </row>
    <row r="44" spans="1:41" s="11" customFormat="1" x14ac:dyDescent="0.3">
      <c r="A44" s="518"/>
      <c r="B44" s="518"/>
      <c r="C44" s="518"/>
      <c r="D44" s="518"/>
      <c r="E44" s="518"/>
      <c r="F44" s="518"/>
      <c r="G44" s="518"/>
      <c r="H44" s="518"/>
      <c r="I44" s="518"/>
      <c r="J44" s="518"/>
      <c r="K44" s="518"/>
      <c r="L44" s="518"/>
      <c r="M44" s="518"/>
      <c r="N44" s="109"/>
      <c r="O44" s="109"/>
      <c r="P44" s="10"/>
      <c r="Q44" s="10"/>
      <c r="R44" s="10"/>
      <c r="S44" s="10"/>
      <c r="T44" s="10"/>
      <c r="U44" s="10"/>
      <c r="V44" s="10"/>
      <c r="W44" s="10"/>
      <c r="X44" s="10"/>
    </row>
    <row r="45" spans="1:41" s="11" customFormat="1" ht="28.5" customHeight="1" x14ac:dyDescent="0.3">
      <c r="A45" s="521" t="s">
        <v>177</v>
      </c>
      <c r="B45" s="521"/>
      <c r="C45" s="521"/>
      <c r="D45" s="521"/>
      <c r="E45" s="521"/>
      <c r="F45" s="521"/>
      <c r="G45" s="521"/>
      <c r="H45" s="521"/>
      <c r="I45" s="521"/>
      <c r="J45" s="521"/>
      <c r="K45" s="521"/>
      <c r="L45" s="521"/>
      <c r="M45" s="521"/>
      <c r="N45" s="521"/>
      <c r="O45" s="521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 spans="1:41" s="11" customFormat="1" ht="25.5" customHeight="1" x14ac:dyDescent="0.3">
      <c r="A46" s="126" t="s">
        <v>173</v>
      </c>
      <c r="B46" s="126" t="s">
        <v>0</v>
      </c>
      <c r="C46" s="126" t="s">
        <v>174</v>
      </c>
      <c r="D46" s="521" t="s">
        <v>175</v>
      </c>
      <c r="E46" s="521"/>
      <c r="F46" s="521"/>
      <c r="G46" s="521"/>
      <c r="H46" s="521"/>
      <c r="I46" s="521"/>
      <c r="J46" s="129" t="s">
        <v>4</v>
      </c>
      <c r="K46" s="128"/>
      <c r="L46" s="128"/>
      <c r="M46" s="127" t="s">
        <v>59</v>
      </c>
      <c r="N46" s="130" t="s">
        <v>8</v>
      </c>
      <c r="O46" s="130" t="s">
        <v>10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 spans="1:41" s="69" customFormat="1" ht="15" customHeight="1" x14ac:dyDescent="0.3">
      <c r="A47" s="4" t="s">
        <v>132</v>
      </c>
      <c r="B47" s="4">
        <v>1</v>
      </c>
      <c r="C47" s="5">
        <f>4977.59-1520</f>
        <v>3457.59</v>
      </c>
      <c r="D47" s="546" t="s">
        <v>284</v>
      </c>
      <c r="E47" s="547"/>
      <c r="F47" s="547"/>
      <c r="G47" s="547"/>
      <c r="H47" s="547"/>
      <c r="I47" s="548"/>
      <c r="J47" s="5">
        <f>4977.59-1520</f>
        <v>3457.59</v>
      </c>
      <c r="K47" s="5"/>
      <c r="L47" s="5"/>
      <c r="M47" s="5" t="s">
        <v>510</v>
      </c>
      <c r="N47" s="140">
        <v>10</v>
      </c>
      <c r="O47" s="4">
        <v>11</v>
      </c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</row>
    <row r="48" spans="1:41" s="11" customFormat="1" x14ac:dyDescent="0.3">
      <c r="A48" s="90" t="s">
        <v>87</v>
      </c>
      <c r="B48" s="90">
        <v>25</v>
      </c>
      <c r="C48" s="5">
        <v>3013.33</v>
      </c>
      <c r="D48" s="546" t="s">
        <v>543</v>
      </c>
      <c r="E48" s="547"/>
      <c r="F48" s="547"/>
      <c r="G48" s="547"/>
      <c r="H48" s="547"/>
      <c r="I48" s="548"/>
      <c r="J48" s="5">
        <v>3040.58</v>
      </c>
      <c r="K48" s="2"/>
      <c r="L48" s="2"/>
      <c r="M48" s="5" t="s">
        <v>545</v>
      </c>
      <c r="N48" s="98">
        <v>10</v>
      </c>
      <c r="O48" s="3">
        <v>11</v>
      </c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</row>
    <row r="49" spans="1:59" s="40" customFormat="1" ht="15" customHeight="1" thickBot="1" x14ac:dyDescent="0.35">
      <c r="A49" s="534" t="s">
        <v>4</v>
      </c>
      <c r="B49" s="549"/>
      <c r="C49" s="549"/>
      <c r="D49" s="549"/>
      <c r="E49" s="549"/>
      <c r="F49" s="549"/>
      <c r="G49" s="549"/>
      <c r="H49" s="549"/>
      <c r="I49" s="535"/>
      <c r="J49" s="114">
        <f>SUM(J47:J48)</f>
        <v>6498.17</v>
      </c>
      <c r="K49" s="90"/>
      <c r="L49" s="90"/>
      <c r="M49" s="90"/>
      <c r="N49" s="90"/>
      <c r="O49" s="9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1"/>
      <c r="AT49" s="11"/>
      <c r="AU49" s="11"/>
      <c r="AV49" s="11"/>
    </row>
    <row r="50" spans="1:59" s="19" customFormat="1" x14ac:dyDescent="0.3">
      <c r="A50" s="179"/>
      <c r="B50" s="180"/>
      <c r="C50" s="180"/>
      <c r="D50" s="180"/>
      <c r="E50" s="180"/>
      <c r="F50" s="180"/>
      <c r="G50" s="180"/>
      <c r="H50" s="180"/>
      <c r="I50" s="180"/>
      <c r="J50" s="180"/>
      <c r="K50" s="180"/>
      <c r="L50" s="180"/>
      <c r="M50" s="180"/>
      <c r="N50" s="181"/>
      <c r="O50" s="182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</row>
    <row r="51" spans="1:59" s="40" customFormat="1" x14ac:dyDescent="0.3">
      <c r="A51" s="575" t="s">
        <v>9</v>
      </c>
      <c r="B51" s="576"/>
      <c r="C51" s="576"/>
      <c r="D51" s="577"/>
      <c r="E51" s="574"/>
      <c r="F51" s="540"/>
      <c r="G51" s="540"/>
      <c r="H51" s="46"/>
      <c r="I51" s="46"/>
      <c r="J51" s="46"/>
      <c r="K51" s="46"/>
      <c r="L51" s="46"/>
      <c r="M51" s="544" t="s">
        <v>315</v>
      </c>
      <c r="N51" s="544"/>
      <c r="O51" s="545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1"/>
      <c r="AT51" s="11"/>
      <c r="AU51" s="11"/>
      <c r="AV51" s="11"/>
    </row>
    <row r="52" spans="1:59" s="40" customFormat="1" x14ac:dyDescent="0.3">
      <c r="A52" s="76" t="s">
        <v>40</v>
      </c>
      <c r="B52" s="77">
        <f>'GERAL 2022'!J35</f>
        <v>118.18</v>
      </c>
      <c r="C52" s="78">
        <v>6</v>
      </c>
      <c r="D52" s="77">
        <f t="shared" ref="D52:D105" si="8">B52/C52</f>
        <v>19.696666666666669</v>
      </c>
      <c r="E52" s="574"/>
      <c r="F52" s="540"/>
      <c r="G52" s="540"/>
      <c r="H52" s="11"/>
      <c r="I52" s="11"/>
      <c r="J52" s="87"/>
      <c r="K52" s="87"/>
      <c r="L52" s="87"/>
      <c r="M52" s="527" t="s">
        <v>94</v>
      </c>
      <c r="N52" s="527"/>
      <c r="O52" s="114">
        <f>K37+K43</f>
        <v>1276.7706440469976</v>
      </c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1"/>
      <c r="AT52" s="11"/>
      <c r="AU52" s="11"/>
      <c r="AV52" s="11"/>
    </row>
    <row r="53" spans="1:59" s="40" customFormat="1" x14ac:dyDescent="0.3">
      <c r="A53" s="12" t="s">
        <v>46</v>
      </c>
      <c r="B53" s="2">
        <f>'GERAL 2023'!H3</f>
        <v>15.019858156028368</v>
      </c>
      <c r="C53" s="88">
        <v>12</v>
      </c>
      <c r="D53" s="2">
        <f t="shared" si="8"/>
        <v>1.2516548463356973</v>
      </c>
      <c r="E53" s="574"/>
      <c r="F53" s="540"/>
      <c r="G53" s="540"/>
      <c r="H53" s="11"/>
      <c r="I53" s="11"/>
      <c r="J53" s="14"/>
      <c r="K53" s="14"/>
      <c r="L53" s="14"/>
      <c r="M53" s="518" t="s">
        <v>260</v>
      </c>
      <c r="N53" s="518"/>
      <c r="O53" s="114">
        <f>K6</f>
        <v>846</v>
      </c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1"/>
      <c r="AT53" s="11"/>
      <c r="AU53" s="11"/>
      <c r="AV53" s="11"/>
    </row>
    <row r="54" spans="1:59" s="40" customFormat="1" x14ac:dyDescent="0.3">
      <c r="A54" s="79" t="s">
        <v>29</v>
      </c>
      <c r="B54" s="80">
        <f>'GERAL 2022'!J4</f>
        <v>118.18</v>
      </c>
      <c r="C54" s="78">
        <v>6</v>
      </c>
      <c r="D54" s="80">
        <f t="shared" si="8"/>
        <v>19.696666666666669</v>
      </c>
      <c r="E54" s="574"/>
      <c r="F54" s="540"/>
      <c r="G54" s="540"/>
      <c r="H54" s="11"/>
      <c r="I54" s="11"/>
      <c r="J54" s="14"/>
      <c r="K54" s="14"/>
      <c r="L54" s="14"/>
      <c r="M54" s="520"/>
      <c r="N54" s="520"/>
      <c r="O54" s="52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1"/>
      <c r="AT54" s="11"/>
      <c r="AU54" s="11"/>
      <c r="AV54" s="11"/>
    </row>
    <row r="55" spans="1:59" s="40" customFormat="1" x14ac:dyDescent="0.3">
      <c r="A55" s="12" t="s">
        <v>30</v>
      </c>
      <c r="B55" s="2">
        <f>'GERAL 2023'!H4</f>
        <v>15.019858156028368</v>
      </c>
      <c r="C55" s="88">
        <v>12</v>
      </c>
      <c r="D55" s="2">
        <f t="shared" si="8"/>
        <v>1.2516548463356973</v>
      </c>
      <c r="E55" s="574"/>
      <c r="F55" s="540"/>
      <c r="G55" s="540"/>
      <c r="H55" s="11"/>
      <c r="I55" s="11"/>
      <c r="J55" s="62"/>
      <c r="K55" s="62"/>
      <c r="L55" s="62"/>
      <c r="M55" s="520"/>
      <c r="N55" s="520"/>
      <c r="O55" s="52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1"/>
      <c r="AT55" s="11"/>
      <c r="AU55" s="11"/>
      <c r="AV55" s="11"/>
    </row>
    <row r="56" spans="1:59" s="40" customFormat="1" ht="14.4" x14ac:dyDescent="0.3">
      <c r="A56" s="79" t="s">
        <v>65</v>
      </c>
      <c r="B56" s="80">
        <f>'GERAL 2022'!J5</f>
        <v>117.85</v>
      </c>
      <c r="C56" s="78">
        <v>6</v>
      </c>
      <c r="D56" s="80">
        <f t="shared" si="8"/>
        <v>19.641666666666666</v>
      </c>
      <c r="E56" s="574"/>
      <c r="F56" s="540"/>
      <c r="G56" s="540"/>
      <c r="H56" s="11"/>
      <c r="I56" s="11"/>
      <c r="J56" s="14"/>
      <c r="K56" s="14"/>
      <c r="L56" s="14"/>
      <c r="M56" s="529" t="s">
        <v>12</v>
      </c>
      <c r="N56" s="529"/>
      <c r="O56" s="529"/>
      <c r="P56" s="175"/>
      <c r="Q56" s="178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1"/>
      <c r="AT56" s="11"/>
      <c r="AU56" s="11"/>
      <c r="AV56" s="11"/>
    </row>
    <row r="57" spans="1:59" s="11" customFormat="1" ht="15" customHeight="1" x14ac:dyDescent="0.3">
      <c r="A57" s="12" t="s">
        <v>62</v>
      </c>
      <c r="B57" s="2">
        <f>'GERAL 2023'!H5</f>
        <v>15.019858156028368</v>
      </c>
      <c r="C57" s="88">
        <v>12</v>
      </c>
      <c r="D57" s="2">
        <f t="shared" si="8"/>
        <v>1.2516548463356973</v>
      </c>
      <c r="E57" s="574"/>
      <c r="F57" s="540"/>
      <c r="G57" s="540"/>
      <c r="J57" s="63"/>
      <c r="K57" s="63"/>
      <c r="L57" s="63"/>
      <c r="M57" s="514" t="s">
        <v>145</v>
      </c>
      <c r="N57" s="514"/>
      <c r="O57" s="2">
        <v>19.68</v>
      </c>
      <c r="P57" s="175"/>
      <c r="Q57" s="178"/>
    </row>
    <row r="58" spans="1:59" s="11" customFormat="1" ht="14.4" x14ac:dyDescent="0.3">
      <c r="A58" s="79" t="s">
        <v>60</v>
      </c>
      <c r="B58" s="80">
        <f>'GERAL 2022'!J6</f>
        <v>117.85</v>
      </c>
      <c r="C58" s="78">
        <v>6</v>
      </c>
      <c r="D58" s="80">
        <f t="shared" si="8"/>
        <v>19.641666666666666</v>
      </c>
      <c r="E58" s="574"/>
      <c r="F58" s="540"/>
      <c r="G58" s="540"/>
      <c r="J58" s="14"/>
      <c r="K58" s="14"/>
      <c r="L58" s="14"/>
      <c r="M58" s="514" t="s">
        <v>269</v>
      </c>
      <c r="N58" s="514"/>
      <c r="O58" s="2">
        <v>19.649999999999999</v>
      </c>
      <c r="P58" s="175"/>
      <c r="Q58" s="178"/>
    </row>
    <row r="59" spans="1:59" s="11" customFormat="1" ht="15" customHeight="1" x14ac:dyDescent="0.3">
      <c r="A59" s="12" t="s">
        <v>61</v>
      </c>
      <c r="B59" s="2">
        <f>'GERAL 2023'!H6</f>
        <v>15.019858156028368</v>
      </c>
      <c r="C59" s="88">
        <v>12</v>
      </c>
      <c r="D59" s="2">
        <f t="shared" si="8"/>
        <v>1.2516548463356973</v>
      </c>
      <c r="E59" s="574"/>
      <c r="F59" s="540"/>
      <c r="G59" s="540"/>
      <c r="J59" s="63"/>
      <c r="K59" s="63"/>
      <c r="L59" s="63"/>
      <c r="M59" s="514" t="s">
        <v>477</v>
      </c>
      <c r="N59" s="514"/>
      <c r="O59" s="2">
        <v>19.7</v>
      </c>
      <c r="P59" s="175"/>
      <c r="Q59" s="178"/>
    </row>
    <row r="60" spans="1:59" s="11" customFormat="1" ht="14.4" x14ac:dyDescent="0.3">
      <c r="A60" s="79" t="s">
        <v>31</v>
      </c>
      <c r="B60" s="80">
        <f>'GERAL 2023'!J7</f>
        <v>118.18</v>
      </c>
      <c r="C60" s="78">
        <v>6</v>
      </c>
      <c r="D60" s="80">
        <f>B60/C60</f>
        <v>19.696666666666669</v>
      </c>
      <c r="E60" s="574"/>
      <c r="F60" s="540"/>
      <c r="G60" s="540"/>
      <c r="J60" s="14"/>
      <c r="K60" s="14"/>
      <c r="L60" s="14"/>
      <c r="M60" s="514" t="s">
        <v>325</v>
      </c>
      <c r="N60" s="514"/>
      <c r="O60" s="2">
        <v>19.89</v>
      </c>
      <c r="P60" s="175"/>
      <c r="Q60" s="178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</row>
    <row r="61" spans="1:59" s="11" customFormat="1" ht="14.4" x14ac:dyDescent="0.3">
      <c r="A61" s="12" t="s">
        <v>32</v>
      </c>
      <c r="B61" s="2">
        <f>'GERAL 2023'!H7</f>
        <v>15.019858156028368</v>
      </c>
      <c r="C61" s="88">
        <v>12</v>
      </c>
      <c r="D61" s="2">
        <f t="shared" si="8"/>
        <v>1.2516548463356973</v>
      </c>
      <c r="E61" s="574"/>
      <c r="F61" s="540"/>
      <c r="G61" s="540"/>
      <c r="J61" s="63"/>
      <c r="K61" s="63"/>
      <c r="L61" s="63"/>
      <c r="M61" s="514" t="s">
        <v>261</v>
      </c>
      <c r="N61" s="514"/>
      <c r="O61" s="2">
        <v>19.7</v>
      </c>
      <c r="P61" s="175"/>
      <c r="Q61" s="178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</row>
    <row r="62" spans="1:59" s="11" customFormat="1" ht="14.4" x14ac:dyDescent="0.3">
      <c r="A62" s="79" t="s">
        <v>57</v>
      </c>
      <c r="B62" s="80">
        <f>'GERAL 2022'!J36</f>
        <v>119.36</v>
      </c>
      <c r="C62" s="78">
        <v>6</v>
      </c>
      <c r="D62" s="80">
        <f t="shared" si="8"/>
        <v>19.893333333333334</v>
      </c>
      <c r="E62" s="574"/>
      <c r="F62" s="540"/>
      <c r="G62" s="540"/>
      <c r="J62" s="14"/>
      <c r="K62" s="14"/>
      <c r="L62" s="14"/>
      <c r="M62" s="514" t="s">
        <v>456</v>
      </c>
      <c r="N62" s="514"/>
      <c r="O62" s="2">
        <v>19.7</v>
      </c>
      <c r="P62" s="175"/>
      <c r="Q62" s="185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</row>
    <row r="63" spans="1:59" s="11" customFormat="1" ht="12.75" customHeight="1" x14ac:dyDescent="0.3">
      <c r="A63" s="12" t="s">
        <v>58</v>
      </c>
      <c r="B63" s="2">
        <f>'GERAL 2023'!H8</f>
        <v>21.027801418439715</v>
      </c>
      <c r="C63" s="88">
        <v>12</v>
      </c>
      <c r="D63" s="2">
        <f t="shared" si="8"/>
        <v>1.7523167848699763</v>
      </c>
      <c r="E63" s="574"/>
      <c r="F63" s="540"/>
      <c r="G63" s="540"/>
      <c r="J63" s="63"/>
      <c r="K63" s="63"/>
      <c r="L63" s="63"/>
      <c r="M63" s="514" t="s">
        <v>150</v>
      </c>
      <c r="N63" s="514"/>
      <c r="O63" s="2">
        <v>19.809999999999999</v>
      </c>
      <c r="P63" s="175"/>
      <c r="Q63" s="178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</row>
    <row r="64" spans="1:59" s="11" customFormat="1" ht="14.4" x14ac:dyDescent="0.3">
      <c r="A64" s="79" t="s">
        <v>63</v>
      </c>
      <c r="B64" s="80">
        <f>'GERAL 2022'!J9</f>
        <v>118.18</v>
      </c>
      <c r="C64" s="78">
        <v>6</v>
      </c>
      <c r="D64" s="80">
        <f t="shared" si="8"/>
        <v>19.696666666666669</v>
      </c>
      <c r="E64" s="574"/>
      <c r="F64" s="540"/>
      <c r="G64" s="540"/>
      <c r="J64" s="14"/>
      <c r="K64" s="14"/>
      <c r="L64" s="14"/>
      <c r="M64" s="514" t="s">
        <v>271</v>
      </c>
      <c r="N64" s="514"/>
      <c r="O64" s="2">
        <v>19.82</v>
      </c>
      <c r="P64" s="175"/>
      <c r="Q64" s="178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</row>
    <row r="65" spans="1:47" s="11" customFormat="1" ht="15" customHeight="1" x14ac:dyDescent="0.3">
      <c r="A65" s="12" t="s">
        <v>64</v>
      </c>
      <c r="B65" s="2">
        <f>'GERAL 2023'!H9</f>
        <v>15.019858156028368</v>
      </c>
      <c r="C65" s="88">
        <v>12</v>
      </c>
      <c r="D65" s="2">
        <f t="shared" si="8"/>
        <v>1.2516548463356973</v>
      </c>
      <c r="E65" s="574"/>
      <c r="F65" s="540"/>
      <c r="G65" s="540"/>
      <c r="J65" s="63"/>
      <c r="K65" s="63"/>
      <c r="L65" s="63"/>
      <c r="M65" s="514" t="s">
        <v>188</v>
      </c>
      <c r="N65" s="514"/>
      <c r="O65" s="2">
        <v>19.760000000000002</v>
      </c>
      <c r="Q65" s="14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</row>
    <row r="66" spans="1:47" s="11" customFormat="1" ht="14.4" x14ac:dyDescent="0.3">
      <c r="A66" s="79" t="s">
        <v>33</v>
      </c>
      <c r="B66" s="80">
        <f>'GERAL 2022'!J37</f>
        <v>118.18</v>
      </c>
      <c r="C66" s="78">
        <v>6</v>
      </c>
      <c r="D66" s="80">
        <f t="shared" si="8"/>
        <v>19.696666666666669</v>
      </c>
      <c r="E66" s="574"/>
      <c r="F66" s="540"/>
      <c r="G66" s="540"/>
      <c r="J66" s="14"/>
      <c r="K66" s="14"/>
      <c r="L66" s="14"/>
      <c r="M66" s="542" t="s">
        <v>651</v>
      </c>
      <c r="N66" s="542"/>
      <c r="O66" s="2">
        <f>120*4</f>
        <v>480</v>
      </c>
      <c r="P66" s="175"/>
      <c r="Q66" s="178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</row>
    <row r="67" spans="1:47" s="11" customFormat="1" ht="13.5" customHeight="1" x14ac:dyDescent="0.3">
      <c r="A67" s="12" t="s">
        <v>34</v>
      </c>
      <c r="B67" s="2">
        <f>'GERAL 2023'!H10</f>
        <v>15.019858156028368</v>
      </c>
      <c r="C67" s="88">
        <v>12</v>
      </c>
      <c r="D67" s="2">
        <f t="shared" si="8"/>
        <v>1.2516548463356973</v>
      </c>
      <c r="E67" s="574"/>
      <c r="F67" s="540"/>
      <c r="G67" s="540"/>
      <c r="J67" s="63"/>
      <c r="K67" s="63"/>
      <c r="L67" s="63"/>
      <c r="M67" s="520" t="s">
        <v>126</v>
      </c>
      <c r="N67" s="520"/>
      <c r="O67" s="2">
        <v>204</v>
      </c>
      <c r="P67" s="175"/>
      <c r="Q67" s="178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</row>
    <row r="68" spans="1:47" s="11" customFormat="1" ht="14.4" x14ac:dyDescent="0.3">
      <c r="A68" s="79" t="s">
        <v>41</v>
      </c>
      <c r="B68" s="80">
        <f>'GERAL 2022'!J11</f>
        <v>118.18</v>
      </c>
      <c r="C68" s="78">
        <v>6</v>
      </c>
      <c r="D68" s="80">
        <f t="shared" si="8"/>
        <v>19.696666666666669</v>
      </c>
      <c r="E68" s="574"/>
      <c r="F68" s="540"/>
      <c r="G68" s="540"/>
      <c r="M68" s="570" t="s">
        <v>654</v>
      </c>
      <c r="N68" s="570"/>
      <c r="O68" s="2">
        <v>100</v>
      </c>
      <c r="P68" s="175"/>
      <c r="Q68" s="178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</row>
    <row r="69" spans="1:47" s="11" customFormat="1" ht="14.4" x14ac:dyDescent="0.3">
      <c r="A69" s="12" t="s">
        <v>42</v>
      </c>
      <c r="B69" s="2">
        <f>'GERAL 2023'!H11</f>
        <v>15.019858156028368</v>
      </c>
      <c r="C69" s="88">
        <v>12</v>
      </c>
      <c r="D69" s="2">
        <f t="shared" si="8"/>
        <v>1.2516548463356973</v>
      </c>
      <c r="E69" s="574"/>
      <c r="F69" s="540"/>
      <c r="G69" s="540"/>
      <c r="J69" s="63"/>
      <c r="K69" s="63"/>
      <c r="L69" s="63"/>
      <c r="M69" s="516"/>
      <c r="N69" s="517"/>
      <c r="O69" s="5"/>
      <c r="P69" s="175"/>
      <c r="Q69" s="178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</row>
    <row r="70" spans="1:47" s="11" customFormat="1" ht="14.4" x14ac:dyDescent="0.3">
      <c r="A70" s="79" t="s">
        <v>66</v>
      </c>
      <c r="B70" s="80">
        <f>'GERAL 2022'!J38</f>
        <v>117.85</v>
      </c>
      <c r="C70" s="78">
        <v>6</v>
      </c>
      <c r="D70" s="80">
        <f t="shared" si="8"/>
        <v>19.641666666666666</v>
      </c>
      <c r="E70" s="574"/>
      <c r="F70" s="540"/>
      <c r="G70" s="540"/>
      <c r="J70" s="14"/>
      <c r="K70" s="14"/>
      <c r="L70" s="14"/>
      <c r="M70" s="563"/>
      <c r="N70" s="563"/>
      <c r="O70" s="141"/>
      <c r="P70" s="175"/>
      <c r="Q70" s="185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</row>
    <row r="71" spans="1:47" s="11" customFormat="1" ht="14.4" x14ac:dyDescent="0.3">
      <c r="A71" s="12" t="s">
        <v>67</v>
      </c>
      <c r="B71" s="2">
        <f>'GERAL 2023'!H12</f>
        <v>15.019858156028368</v>
      </c>
      <c r="C71" s="88">
        <v>12</v>
      </c>
      <c r="D71" s="2">
        <f t="shared" si="8"/>
        <v>1.2516548463356973</v>
      </c>
      <c r="E71" s="574"/>
      <c r="F71" s="540"/>
      <c r="G71" s="540"/>
      <c r="J71" s="63"/>
      <c r="K71" s="63"/>
      <c r="L71" s="63"/>
      <c r="M71" s="520"/>
      <c r="N71" s="520"/>
      <c r="O71" s="5"/>
      <c r="P71" s="175"/>
      <c r="Q71" s="176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</row>
    <row r="72" spans="1:47" s="11" customFormat="1" ht="14.4" x14ac:dyDescent="0.3">
      <c r="A72" s="79" t="s">
        <v>14</v>
      </c>
      <c r="B72" s="80">
        <f>'GERAL 2022'!J13</f>
        <v>117.85</v>
      </c>
      <c r="C72" s="78">
        <v>6</v>
      </c>
      <c r="D72" s="80">
        <f t="shared" si="8"/>
        <v>19.641666666666666</v>
      </c>
      <c r="E72" s="574"/>
      <c r="F72" s="540"/>
      <c r="G72" s="540"/>
      <c r="J72" s="14"/>
      <c r="K72" s="14"/>
      <c r="L72" s="14"/>
      <c r="M72" s="563"/>
      <c r="N72" s="563"/>
      <c r="O72" s="141"/>
      <c r="P72" s="175"/>
      <c r="Q72" s="176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</row>
    <row r="73" spans="1:47" s="11" customFormat="1" ht="14.4" x14ac:dyDescent="0.3">
      <c r="A73" s="12" t="s">
        <v>15</v>
      </c>
      <c r="B73" s="2">
        <f>'GERAL 2023'!H13</f>
        <v>15.019858156028368</v>
      </c>
      <c r="C73" s="88">
        <v>12</v>
      </c>
      <c r="D73" s="2">
        <f t="shared" si="8"/>
        <v>1.2516548463356973</v>
      </c>
      <c r="E73" s="574"/>
      <c r="F73" s="540"/>
      <c r="G73" s="540"/>
      <c r="J73" s="87"/>
      <c r="K73" s="87"/>
      <c r="L73" s="87"/>
      <c r="M73" s="520"/>
      <c r="N73" s="520"/>
      <c r="O73" s="165"/>
      <c r="P73" s="175"/>
      <c r="Q73" s="176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</row>
    <row r="74" spans="1:47" s="11" customFormat="1" ht="14.4" x14ac:dyDescent="0.3">
      <c r="A74" s="79" t="s">
        <v>55</v>
      </c>
      <c r="B74" s="80">
        <f>'GERAL 2022'!J14</f>
        <v>117.85</v>
      </c>
      <c r="C74" s="78">
        <v>6</v>
      </c>
      <c r="D74" s="80">
        <f t="shared" si="8"/>
        <v>19.641666666666666</v>
      </c>
      <c r="E74" s="574"/>
      <c r="F74" s="540"/>
      <c r="G74" s="540"/>
      <c r="M74" s="518" t="s">
        <v>26</v>
      </c>
      <c r="N74" s="518"/>
      <c r="O74" s="109">
        <f>SUM(O52:O73)</f>
        <v>3084.480644046997</v>
      </c>
      <c r="P74" s="175"/>
      <c r="Q74" s="176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</row>
    <row r="75" spans="1:47" s="11" customFormat="1" ht="14.4" x14ac:dyDescent="0.3">
      <c r="A75" s="12" t="s">
        <v>56</v>
      </c>
      <c r="B75" s="2">
        <f>'GERAL 2023'!H14</f>
        <v>15.019858156028368</v>
      </c>
      <c r="C75" s="88">
        <v>12</v>
      </c>
      <c r="D75" s="2">
        <f t="shared" si="8"/>
        <v>1.2516548463356973</v>
      </c>
      <c r="E75" s="574"/>
      <c r="F75" s="540"/>
      <c r="G75" s="540"/>
      <c r="M75" s="543"/>
      <c r="N75" s="543"/>
      <c r="O75" s="135"/>
      <c r="P75" s="175"/>
      <c r="Q75" s="176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</row>
    <row r="76" spans="1:47" s="11" customFormat="1" ht="14.4" x14ac:dyDescent="0.3">
      <c r="A76" s="79" t="s">
        <v>35</v>
      </c>
      <c r="B76" s="80">
        <f>'GERAL 2022'!J15</f>
        <v>117.85</v>
      </c>
      <c r="C76" s="78">
        <v>6</v>
      </c>
      <c r="D76" s="80">
        <f t="shared" si="8"/>
        <v>19.641666666666666</v>
      </c>
      <c r="E76" s="574"/>
      <c r="F76" s="540"/>
      <c r="G76" s="540"/>
      <c r="M76" s="564" t="s">
        <v>11</v>
      </c>
      <c r="N76" s="565"/>
      <c r="O76" s="153">
        <f>J6+J37+J43</f>
        <v>19789.707934207356</v>
      </c>
      <c r="P76" s="175"/>
      <c r="Q76" s="178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</row>
    <row r="77" spans="1:47" s="11" customFormat="1" ht="14.4" x14ac:dyDescent="0.3">
      <c r="A77" s="12" t="s">
        <v>36</v>
      </c>
      <c r="B77" s="2">
        <f>'GERAL 2023'!H15</f>
        <v>15.019858156028368</v>
      </c>
      <c r="C77" s="88">
        <v>12</v>
      </c>
      <c r="D77" s="2">
        <f t="shared" si="8"/>
        <v>1.2516548463356973</v>
      </c>
      <c r="E77" s="574"/>
      <c r="F77" s="540"/>
      <c r="G77" s="540"/>
      <c r="J77" s="14"/>
      <c r="K77" s="14"/>
      <c r="L77" s="14"/>
      <c r="M77" s="518"/>
      <c r="N77" s="518"/>
      <c r="O77" s="519"/>
      <c r="P77" s="175"/>
      <c r="Q77" s="178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</row>
    <row r="78" spans="1:47" s="11" customFormat="1" ht="14.4" x14ac:dyDescent="0.3">
      <c r="A78" s="79" t="s">
        <v>47</v>
      </c>
      <c r="B78" s="80">
        <f>'GERAL 2022'!J39</f>
        <v>118.18</v>
      </c>
      <c r="C78" s="78">
        <v>6</v>
      </c>
      <c r="D78" s="80">
        <f t="shared" si="8"/>
        <v>19.696666666666669</v>
      </c>
      <c r="E78" s="574"/>
      <c r="F78" s="540"/>
      <c r="G78" s="540"/>
      <c r="J78" s="15"/>
      <c r="K78" s="15"/>
      <c r="L78" s="15"/>
      <c r="M78" s="513" t="s">
        <v>13</v>
      </c>
      <c r="N78" s="513"/>
      <c r="O78" s="151">
        <f>O76-O74</f>
        <v>16705.227290160357</v>
      </c>
      <c r="P78" s="175"/>
      <c r="Q78" s="178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</row>
    <row r="79" spans="1:47" s="11" customFormat="1" ht="14.4" x14ac:dyDescent="0.3">
      <c r="A79" s="12" t="s">
        <v>48</v>
      </c>
      <c r="B79" s="2">
        <f>'GERAL 2023'!H16</f>
        <v>15.019858156028368</v>
      </c>
      <c r="C79" s="88">
        <v>12</v>
      </c>
      <c r="D79" s="2">
        <f t="shared" si="8"/>
        <v>1.2516548463356973</v>
      </c>
      <c r="E79" s="574"/>
      <c r="F79" s="540"/>
      <c r="G79" s="540"/>
      <c r="J79" s="14"/>
      <c r="K79" s="14"/>
      <c r="L79" s="14"/>
      <c r="M79" s="124"/>
      <c r="N79" s="124"/>
      <c r="O79" s="57"/>
      <c r="P79" s="175"/>
      <c r="Q79" s="178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</row>
    <row r="80" spans="1:47" s="11" customFormat="1" ht="14.4" x14ac:dyDescent="0.3">
      <c r="A80" s="79" t="s">
        <v>16</v>
      </c>
      <c r="B80" s="80">
        <f>'GERAL 2022'!J40</f>
        <v>119.02</v>
      </c>
      <c r="C80" s="78">
        <v>6</v>
      </c>
      <c r="D80" s="80">
        <f t="shared" si="8"/>
        <v>19.836666666666666</v>
      </c>
      <c r="E80" s="574"/>
      <c r="F80" s="540"/>
      <c r="G80" s="540"/>
      <c r="J80" s="14"/>
      <c r="K80" s="14"/>
      <c r="L80" s="14"/>
      <c r="M80" s="124"/>
      <c r="N80" s="124"/>
      <c r="O80" s="57"/>
      <c r="P80" s="175"/>
      <c r="Q80" s="178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</row>
    <row r="81" spans="1:47" s="11" customFormat="1" ht="14.4" x14ac:dyDescent="0.3">
      <c r="A81" s="12" t="s">
        <v>17</v>
      </c>
      <c r="B81" s="2">
        <f>'GERAL 2023'!H17</f>
        <v>21.027801418439715</v>
      </c>
      <c r="C81" s="88">
        <v>12</v>
      </c>
      <c r="D81" s="2">
        <f t="shared" si="8"/>
        <v>1.7523167848699763</v>
      </c>
      <c r="E81" s="574"/>
      <c r="F81" s="540"/>
      <c r="G81" s="540"/>
      <c r="J81" s="14"/>
      <c r="K81" s="14"/>
      <c r="L81" s="14"/>
      <c r="M81" s="124"/>
      <c r="N81" s="124"/>
      <c r="O81" s="57"/>
      <c r="P81" s="175"/>
      <c r="Q81" s="178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</row>
    <row r="82" spans="1:47" s="11" customFormat="1" x14ac:dyDescent="0.3">
      <c r="A82" s="79" t="s">
        <v>27</v>
      </c>
      <c r="B82" s="80">
        <f>'GERAL 2022'!J18</f>
        <v>118.87</v>
      </c>
      <c r="C82" s="78">
        <v>6</v>
      </c>
      <c r="D82" s="80">
        <f t="shared" si="8"/>
        <v>19.811666666666667</v>
      </c>
      <c r="E82" s="574"/>
      <c r="F82" s="540"/>
      <c r="G82" s="540"/>
      <c r="J82" s="14"/>
      <c r="K82" s="14"/>
      <c r="L82" s="14"/>
      <c r="M82" s="124"/>
      <c r="N82" s="124"/>
      <c r="O82" s="57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</row>
    <row r="83" spans="1:47" s="69" customFormat="1" x14ac:dyDescent="0.3">
      <c r="A83" s="12" t="s">
        <v>28</v>
      </c>
      <c r="B83" s="2">
        <f>'GERAL 2023'!H18</f>
        <v>15.019858156028368</v>
      </c>
      <c r="C83" s="88">
        <v>12</v>
      </c>
      <c r="D83" s="2">
        <f t="shared" si="8"/>
        <v>1.2516548463356973</v>
      </c>
      <c r="E83" s="574"/>
      <c r="F83" s="540"/>
      <c r="G83" s="540"/>
      <c r="H83" s="11"/>
      <c r="I83" s="11"/>
      <c r="J83" s="14"/>
      <c r="K83" s="14"/>
      <c r="L83" s="14"/>
      <c r="M83" s="15"/>
      <c r="N83" s="14"/>
      <c r="O83" s="57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</row>
    <row r="84" spans="1:47" s="69" customFormat="1" x14ac:dyDescent="0.3">
      <c r="A84" s="79" t="s">
        <v>18</v>
      </c>
      <c r="B84" s="80">
        <f>'GERAL 2022'!J41</f>
        <v>118.18</v>
      </c>
      <c r="C84" s="78">
        <v>6</v>
      </c>
      <c r="D84" s="80">
        <f t="shared" si="8"/>
        <v>19.696666666666669</v>
      </c>
      <c r="E84" s="574"/>
      <c r="F84" s="540"/>
      <c r="G84" s="540"/>
      <c r="H84" s="11"/>
      <c r="I84" s="11"/>
      <c r="J84" s="14"/>
      <c r="K84" s="14"/>
      <c r="L84" s="14"/>
      <c r="M84" s="11"/>
      <c r="N84" s="15"/>
      <c r="O84" s="57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</row>
    <row r="85" spans="1:47" s="69" customFormat="1" x14ac:dyDescent="0.3">
      <c r="A85" s="12" t="s">
        <v>19</v>
      </c>
      <c r="B85" s="2">
        <f>'GERAL 2023'!H19</f>
        <v>15.019858156028368</v>
      </c>
      <c r="C85" s="88">
        <v>12</v>
      </c>
      <c r="D85" s="2">
        <f>B85/C85</f>
        <v>1.2516548463356973</v>
      </c>
      <c r="E85" s="574"/>
      <c r="F85" s="540"/>
      <c r="G85" s="540"/>
      <c r="H85" s="11"/>
      <c r="I85" s="11"/>
      <c r="J85" s="14"/>
      <c r="K85" s="14"/>
      <c r="L85" s="14"/>
      <c r="M85" s="11"/>
      <c r="N85" s="11"/>
      <c r="O85" s="57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</row>
    <row r="86" spans="1:47" s="69" customFormat="1" x14ac:dyDescent="0.3">
      <c r="A86" s="79" t="s">
        <v>37</v>
      </c>
      <c r="B86" s="80">
        <f>'GERAL 2022'!J42</f>
        <v>118.92</v>
      </c>
      <c r="C86" s="78">
        <v>6</v>
      </c>
      <c r="D86" s="80">
        <f t="shared" si="8"/>
        <v>19.82</v>
      </c>
      <c r="E86" s="574"/>
      <c r="F86" s="540"/>
      <c r="G86" s="540"/>
      <c r="H86" s="11"/>
      <c r="I86" s="11"/>
      <c r="J86" s="14"/>
      <c r="K86" s="14"/>
      <c r="L86" s="14"/>
      <c r="M86" s="14"/>
      <c r="N86" s="14"/>
      <c r="O86" s="57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</row>
    <row r="87" spans="1:47" s="69" customFormat="1" x14ac:dyDescent="0.3">
      <c r="A87" s="12" t="s">
        <v>38</v>
      </c>
      <c r="B87" s="2">
        <f>'GERAL 2023'!H20</f>
        <v>15.019858156028368</v>
      </c>
      <c r="C87" s="88">
        <v>12</v>
      </c>
      <c r="D87" s="2">
        <f t="shared" si="8"/>
        <v>1.2516548463356973</v>
      </c>
      <c r="E87" s="574"/>
      <c r="F87" s="540"/>
      <c r="G87" s="540"/>
      <c r="H87" s="11"/>
      <c r="I87" s="11"/>
      <c r="J87" s="14"/>
      <c r="K87" s="14"/>
      <c r="L87" s="14"/>
      <c r="M87" s="14"/>
      <c r="N87" s="15"/>
      <c r="O87" s="57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</row>
    <row r="88" spans="1:47" s="69" customFormat="1" x14ac:dyDescent="0.3">
      <c r="A88" s="79" t="s">
        <v>45</v>
      </c>
      <c r="B88" s="80">
        <f>'GERAL 2022'!J43</f>
        <v>117.85</v>
      </c>
      <c r="C88" s="78">
        <v>6</v>
      </c>
      <c r="D88" s="80">
        <f t="shared" si="8"/>
        <v>19.641666666666666</v>
      </c>
      <c r="E88" s="574"/>
      <c r="F88" s="540"/>
      <c r="G88" s="540"/>
      <c r="H88" s="11"/>
      <c r="I88" s="11"/>
      <c r="J88" s="14"/>
      <c r="K88" s="14"/>
      <c r="L88" s="14"/>
      <c r="M88" s="14"/>
      <c r="N88" s="11"/>
      <c r="O88" s="57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</row>
    <row r="89" spans="1:47" s="69" customFormat="1" x14ac:dyDescent="0.3">
      <c r="A89" s="12" t="s">
        <v>39</v>
      </c>
      <c r="B89" s="2">
        <f>'GERAL 2023'!H21</f>
        <v>15.019858156028368</v>
      </c>
      <c r="C89" s="88">
        <v>12</v>
      </c>
      <c r="D89" s="2">
        <f t="shared" si="8"/>
        <v>1.2516548463356973</v>
      </c>
      <c r="E89" s="574"/>
      <c r="F89" s="540"/>
      <c r="G89" s="540"/>
      <c r="H89" s="11"/>
      <c r="I89" s="11"/>
      <c r="J89" s="14"/>
      <c r="K89" s="14"/>
      <c r="L89" s="14"/>
      <c r="M89" s="14"/>
      <c r="N89" s="11"/>
      <c r="O89" s="57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</row>
    <row r="90" spans="1:47" s="69" customFormat="1" x14ac:dyDescent="0.3">
      <c r="A90" s="81" t="s">
        <v>49</v>
      </c>
      <c r="B90" s="80">
        <f>'GERAL 2022'!J22</f>
        <v>119.12</v>
      </c>
      <c r="C90" s="78">
        <v>6</v>
      </c>
      <c r="D90" s="80">
        <f t="shared" si="8"/>
        <v>19.853333333333335</v>
      </c>
      <c r="E90" s="574"/>
      <c r="F90" s="540"/>
      <c r="G90" s="540"/>
      <c r="H90" s="11"/>
      <c r="I90" s="11"/>
      <c r="J90" s="14"/>
      <c r="K90" s="14"/>
      <c r="L90" s="14"/>
      <c r="M90" s="11"/>
      <c r="N90" s="11"/>
      <c r="O90" s="57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</row>
    <row r="91" spans="1:47" s="69" customFormat="1" x14ac:dyDescent="0.3">
      <c r="A91" s="90" t="s">
        <v>50</v>
      </c>
      <c r="B91" s="2">
        <f>'GERAL 2023'!H22</f>
        <v>15.019858156028368</v>
      </c>
      <c r="C91" s="88">
        <v>12</v>
      </c>
      <c r="D91" s="2">
        <f t="shared" si="8"/>
        <v>1.2516548463356973</v>
      </c>
      <c r="E91" s="574"/>
      <c r="F91" s="540"/>
      <c r="G91" s="540"/>
      <c r="H91" s="11"/>
      <c r="I91" s="11"/>
      <c r="J91" s="14"/>
      <c r="K91" s="14"/>
      <c r="L91" s="14"/>
      <c r="M91" s="11"/>
      <c r="N91" s="14"/>
      <c r="O91" s="57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</row>
    <row r="92" spans="1:47" s="69" customFormat="1" x14ac:dyDescent="0.3">
      <c r="A92" s="81" t="s">
        <v>43</v>
      </c>
      <c r="B92" s="80">
        <f>'GERAL 2022'!J23</f>
        <v>117.26</v>
      </c>
      <c r="C92" s="78">
        <v>6</v>
      </c>
      <c r="D92" s="80">
        <f t="shared" si="8"/>
        <v>19.543333333333333</v>
      </c>
      <c r="E92" s="574"/>
      <c r="F92" s="540"/>
      <c r="G92" s="540"/>
      <c r="H92" s="11"/>
      <c r="I92" s="11"/>
      <c r="J92" s="14"/>
      <c r="K92" s="14"/>
      <c r="L92" s="14"/>
      <c r="M92" s="11"/>
      <c r="N92" s="14"/>
      <c r="O92" s="57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</row>
    <row r="93" spans="1:47" s="69" customFormat="1" x14ac:dyDescent="0.3">
      <c r="A93" s="90" t="s">
        <v>44</v>
      </c>
      <c r="B93" s="2">
        <f>'GERAL 2023'!H23</f>
        <v>15.019858156028368</v>
      </c>
      <c r="C93" s="88">
        <v>12</v>
      </c>
      <c r="D93" s="2">
        <f t="shared" si="8"/>
        <v>1.2516548463356973</v>
      </c>
      <c r="E93" s="574"/>
      <c r="F93" s="540"/>
      <c r="G93" s="540"/>
      <c r="H93" s="11"/>
      <c r="I93" s="11"/>
      <c r="J93" s="14"/>
      <c r="K93" s="14"/>
      <c r="L93" s="14"/>
      <c r="M93" s="11"/>
      <c r="N93" s="14"/>
      <c r="O93" s="57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</row>
    <row r="94" spans="1:47" s="69" customFormat="1" x14ac:dyDescent="0.3">
      <c r="A94" s="81" t="s">
        <v>51</v>
      </c>
      <c r="B94" s="80">
        <f>'GERAL 2022'!J24</f>
        <v>117.26</v>
      </c>
      <c r="C94" s="78">
        <v>6</v>
      </c>
      <c r="D94" s="80">
        <f t="shared" si="8"/>
        <v>19.543333333333333</v>
      </c>
      <c r="E94" s="574"/>
      <c r="F94" s="540"/>
      <c r="G94" s="540"/>
      <c r="J94" s="142"/>
      <c r="K94" s="142"/>
      <c r="L94" s="142"/>
      <c r="M94" s="11"/>
      <c r="N94" s="14"/>
      <c r="O94" s="57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</row>
    <row r="95" spans="1:47" s="70" customFormat="1" x14ac:dyDescent="0.3">
      <c r="A95" s="90" t="s">
        <v>52</v>
      </c>
      <c r="B95" s="2">
        <f>'GERAL 2023'!H24</f>
        <v>15.019858156028368</v>
      </c>
      <c r="C95" s="88">
        <v>12</v>
      </c>
      <c r="D95" s="2">
        <f t="shared" si="8"/>
        <v>1.2516548463356973</v>
      </c>
      <c r="E95" s="574"/>
      <c r="F95" s="540"/>
      <c r="G95" s="540"/>
      <c r="H95" s="63"/>
      <c r="I95" s="63"/>
      <c r="J95" s="69"/>
      <c r="K95" s="69"/>
      <c r="L95" s="69"/>
      <c r="M95" s="11"/>
      <c r="N95" s="11"/>
      <c r="O95" s="57"/>
    </row>
    <row r="96" spans="1:47" s="70" customFormat="1" ht="15" customHeight="1" x14ac:dyDescent="0.3">
      <c r="A96" s="81" t="s">
        <v>53</v>
      </c>
      <c r="B96" s="80">
        <f>'GERAL 2022'!J25</f>
        <v>117.85</v>
      </c>
      <c r="C96" s="78">
        <v>6</v>
      </c>
      <c r="D96" s="80">
        <f t="shared" si="8"/>
        <v>19.641666666666666</v>
      </c>
      <c r="E96" s="574"/>
      <c r="F96" s="540"/>
      <c r="G96" s="540"/>
      <c r="H96" s="11"/>
      <c r="I96" s="63"/>
      <c r="J96" s="142"/>
      <c r="K96" s="142"/>
      <c r="L96" s="142"/>
      <c r="M96" s="11"/>
      <c r="N96" s="11"/>
      <c r="O96" s="57"/>
      <c r="AU96" s="69"/>
    </row>
    <row r="97" spans="1:47" s="70" customFormat="1" x14ac:dyDescent="0.3">
      <c r="A97" s="90" t="s">
        <v>54</v>
      </c>
      <c r="B97" s="2">
        <f>'GERAL 2023'!H25</f>
        <v>15.019858156028368</v>
      </c>
      <c r="C97" s="88">
        <v>12</v>
      </c>
      <c r="D97" s="2">
        <f t="shared" si="8"/>
        <v>1.2516548463356973</v>
      </c>
      <c r="E97" s="574"/>
      <c r="F97" s="540"/>
      <c r="G97" s="540"/>
      <c r="H97" s="142"/>
      <c r="I97" s="142"/>
      <c r="J97" s="142"/>
      <c r="K97" s="142"/>
      <c r="L97" s="142"/>
      <c r="M97" s="69"/>
      <c r="N97" s="69"/>
      <c r="O97" s="69"/>
      <c r="AU97" s="69"/>
    </row>
    <row r="98" spans="1:47" s="70" customFormat="1" x14ac:dyDescent="0.3">
      <c r="A98" s="81" t="s">
        <v>78</v>
      </c>
      <c r="B98" s="80">
        <f>'GERAL 2022'!J26</f>
        <v>119.02</v>
      </c>
      <c r="C98" s="78">
        <v>6</v>
      </c>
      <c r="D98" s="80">
        <f t="shared" si="8"/>
        <v>19.836666666666666</v>
      </c>
      <c r="E98" s="574"/>
      <c r="F98" s="540"/>
      <c r="G98" s="540"/>
      <c r="H98" s="11"/>
      <c r="I98" s="63"/>
      <c r="J98" s="142"/>
      <c r="K98" s="142"/>
      <c r="L98" s="142"/>
      <c r="M98" s="69"/>
      <c r="N98" s="69"/>
      <c r="O98" s="69"/>
      <c r="AU98" s="69"/>
    </row>
    <row r="99" spans="1:47" s="70" customFormat="1" x14ac:dyDescent="0.3">
      <c r="A99" s="90" t="s">
        <v>79</v>
      </c>
      <c r="B99" s="2">
        <f>'GERAL 2023'!H26</f>
        <v>21.027801418439715</v>
      </c>
      <c r="C99" s="88">
        <v>12</v>
      </c>
      <c r="D99" s="2">
        <f t="shared" si="8"/>
        <v>1.7523167848699763</v>
      </c>
      <c r="E99" s="574"/>
      <c r="F99" s="540"/>
      <c r="G99" s="540"/>
      <c r="H99" s="142"/>
      <c r="I99" s="142"/>
      <c r="J99" s="142"/>
      <c r="K99" s="142"/>
      <c r="L99" s="142"/>
      <c r="M99" s="69"/>
      <c r="N99" s="69"/>
      <c r="O99" s="69"/>
      <c r="AU99" s="69"/>
    </row>
    <row r="100" spans="1:47" s="70" customFormat="1" x14ac:dyDescent="0.3">
      <c r="A100" s="81" t="s">
        <v>80</v>
      </c>
      <c r="B100" s="80">
        <f>'GERAL 2022'!J44</f>
        <v>118.53</v>
      </c>
      <c r="C100" s="78">
        <v>6</v>
      </c>
      <c r="D100" s="80">
        <f t="shared" si="8"/>
        <v>19.754999999999999</v>
      </c>
      <c r="E100" s="574"/>
      <c r="F100" s="540"/>
      <c r="G100" s="540"/>
      <c r="H100" s="11"/>
      <c r="I100" s="63"/>
      <c r="J100" s="142"/>
      <c r="K100" s="142"/>
      <c r="L100" s="142"/>
      <c r="M100" s="69"/>
      <c r="N100" s="69"/>
      <c r="O100" s="69"/>
      <c r="AU100" s="69"/>
    </row>
    <row r="101" spans="1:47" s="70" customFormat="1" x14ac:dyDescent="0.3">
      <c r="A101" s="90" t="s">
        <v>81</v>
      </c>
      <c r="B101" s="2">
        <f>'GERAL 2023'!H27</f>
        <v>15.019858156028368</v>
      </c>
      <c r="C101" s="88">
        <v>12</v>
      </c>
      <c r="D101" s="2">
        <f t="shared" si="8"/>
        <v>1.2516548463356973</v>
      </c>
      <c r="E101" s="574"/>
      <c r="F101" s="540"/>
      <c r="G101" s="540"/>
      <c r="H101" s="142"/>
      <c r="I101" s="142"/>
      <c r="J101" s="142"/>
      <c r="K101" s="142"/>
      <c r="L101" s="142"/>
      <c r="M101" s="69"/>
      <c r="N101" s="69"/>
      <c r="O101" s="69"/>
      <c r="AU101" s="69"/>
    </row>
    <row r="102" spans="1:47" s="70" customFormat="1" x14ac:dyDescent="0.3">
      <c r="A102" s="81" t="s">
        <v>82</v>
      </c>
      <c r="B102" s="80">
        <f>'GERAL 2022'!J28</f>
        <v>117.95</v>
      </c>
      <c r="C102" s="78">
        <v>6</v>
      </c>
      <c r="D102" s="80">
        <f t="shared" si="8"/>
        <v>19.658333333333335</v>
      </c>
      <c r="E102" s="574"/>
      <c r="F102" s="540"/>
      <c r="G102" s="540"/>
      <c r="H102" s="11"/>
      <c r="I102" s="63"/>
      <c r="J102" s="142"/>
      <c r="K102" s="142"/>
      <c r="L102" s="142"/>
      <c r="M102" s="69"/>
      <c r="N102" s="69"/>
      <c r="O102" s="69"/>
      <c r="AU102" s="69"/>
    </row>
    <row r="103" spans="1:47" s="70" customFormat="1" x14ac:dyDescent="0.3">
      <c r="A103" s="90" t="s">
        <v>83</v>
      </c>
      <c r="B103" s="2">
        <f>'GERAL 2023'!H28</f>
        <v>15.019858156028368</v>
      </c>
      <c r="C103" s="88">
        <v>12</v>
      </c>
      <c r="D103" s="2">
        <f t="shared" si="8"/>
        <v>1.2516548463356973</v>
      </c>
      <c r="E103" s="574"/>
      <c r="F103" s="540"/>
      <c r="G103" s="540"/>
      <c r="H103" s="142"/>
      <c r="I103" s="142"/>
      <c r="J103" s="142"/>
      <c r="K103" s="142"/>
      <c r="L103" s="142"/>
      <c r="M103" s="69"/>
      <c r="N103" s="69"/>
      <c r="O103" s="69"/>
      <c r="AU103" s="69"/>
    </row>
    <row r="104" spans="1:47" s="70" customFormat="1" x14ac:dyDescent="0.3">
      <c r="A104" s="81" t="s">
        <v>84</v>
      </c>
      <c r="B104" s="80">
        <f>'GERAL 2022'!J45</f>
        <v>118.18</v>
      </c>
      <c r="C104" s="78">
        <v>6</v>
      </c>
      <c r="D104" s="80">
        <f t="shared" si="8"/>
        <v>19.696666666666669</v>
      </c>
      <c r="E104" s="574"/>
      <c r="F104" s="540"/>
      <c r="G104" s="540"/>
      <c r="H104" s="11"/>
      <c r="I104" s="63"/>
      <c r="J104" s="142"/>
      <c r="K104" s="142"/>
      <c r="L104" s="142"/>
      <c r="M104" s="144"/>
      <c r="N104" s="69"/>
      <c r="O104" s="69"/>
      <c r="AU104" s="69"/>
    </row>
    <row r="105" spans="1:47" s="70" customFormat="1" x14ac:dyDescent="0.3">
      <c r="A105" s="90" t="s">
        <v>85</v>
      </c>
      <c r="B105" s="2">
        <f>'GERAL 2023'!H29</f>
        <v>15.019858156028368</v>
      </c>
      <c r="C105" s="88">
        <v>12</v>
      </c>
      <c r="D105" s="2">
        <f t="shared" si="8"/>
        <v>1.2516548463356973</v>
      </c>
      <c r="E105" s="574"/>
      <c r="F105" s="540"/>
      <c r="G105" s="540"/>
      <c r="H105" s="142"/>
      <c r="I105" s="142"/>
      <c r="J105" s="142"/>
      <c r="K105" s="142"/>
      <c r="L105" s="142"/>
      <c r="M105" s="144"/>
      <c r="N105" s="69"/>
      <c r="O105" s="69"/>
      <c r="AU105" s="69"/>
    </row>
    <row r="106" spans="1:47" s="70" customFormat="1" x14ac:dyDescent="0.3">
      <c r="A106" s="69"/>
      <c r="B106" s="189">
        <f>B53+B55+B57+B59+B61+B63+B65+B67+B69+B71+B73+B75+B77+B79+B81+B83+B85+B87+B89+B91+B93+B95+B97+B99+B101+B103+B105</f>
        <v>423.55999999999989</v>
      </c>
      <c r="C106" s="189">
        <f>C53+C55+C57+C59+C61+C63+C65+C67+C69+C71+C73+C75+C77+C79+C81+C83+C85+C87+C89+C91+C93+C95+C97+C99+C101+C103+C105</f>
        <v>324</v>
      </c>
      <c r="D106" s="189">
        <f>D53+D55+D57+D59+D61+D63+D65+D67+D69+D71+D73+D75+D77+D79+D81+D83+D85+D87+D89+D91+D93+D95+D97+D99+D101+D103+D105</f>
        <v>35.29666666666666</v>
      </c>
      <c r="E106" s="69"/>
      <c r="F106" s="69"/>
      <c r="G106" s="69"/>
      <c r="H106" s="142"/>
      <c r="I106" s="142"/>
      <c r="J106" s="142"/>
      <c r="K106" s="142"/>
      <c r="L106" s="142"/>
      <c r="M106" s="144"/>
      <c r="N106" s="69"/>
      <c r="AU106" s="69"/>
    </row>
    <row r="107" spans="1:47" s="70" customFormat="1" x14ac:dyDescent="0.3">
      <c r="A107" s="69"/>
      <c r="B107" s="69"/>
      <c r="C107" s="69"/>
      <c r="D107" s="69"/>
      <c r="E107" s="69"/>
      <c r="F107" s="69"/>
      <c r="G107" s="69"/>
      <c r="H107" s="69"/>
      <c r="I107" s="69"/>
      <c r="J107" s="142"/>
      <c r="K107" s="142"/>
      <c r="L107" s="142"/>
      <c r="M107" s="144"/>
      <c r="N107" s="69"/>
      <c r="AU107" s="69"/>
    </row>
    <row r="108" spans="1:47" s="70" customFormat="1" x14ac:dyDescent="0.3">
      <c r="A108" s="69"/>
      <c r="B108" s="69"/>
      <c r="C108" s="69"/>
      <c r="D108" s="69"/>
      <c r="E108" s="69"/>
      <c r="F108" s="69"/>
      <c r="G108" s="69"/>
      <c r="H108" s="69"/>
      <c r="I108" s="69"/>
      <c r="J108" s="142"/>
      <c r="K108" s="142"/>
      <c r="L108" s="142"/>
      <c r="M108" s="144"/>
      <c r="N108" s="69"/>
      <c r="AU108" s="69"/>
    </row>
    <row r="109" spans="1:47" s="70" customFormat="1" x14ac:dyDescent="0.3">
      <c r="A109" s="69"/>
      <c r="B109" s="69"/>
      <c r="C109" s="69"/>
      <c r="D109" s="69"/>
      <c r="E109" s="69"/>
      <c r="F109" s="69"/>
      <c r="G109" s="69"/>
      <c r="H109" s="69"/>
      <c r="I109" s="69"/>
      <c r="J109" s="142"/>
      <c r="K109" s="142"/>
      <c r="L109" s="142"/>
      <c r="M109" s="144"/>
      <c r="N109" s="144"/>
      <c r="AU109" s="69"/>
    </row>
    <row r="110" spans="1:47" s="70" customFormat="1" x14ac:dyDescent="0.3">
      <c r="A110" s="69"/>
      <c r="B110" s="69"/>
      <c r="C110" s="69"/>
      <c r="D110" s="69"/>
      <c r="E110" s="69"/>
      <c r="F110" s="69"/>
      <c r="G110" s="69"/>
      <c r="H110" s="69"/>
      <c r="I110" s="69"/>
      <c r="J110" s="142"/>
      <c r="K110" s="142"/>
      <c r="L110" s="142"/>
      <c r="M110" s="144"/>
      <c r="N110" s="144"/>
      <c r="AU110" s="69"/>
    </row>
    <row r="111" spans="1:47" s="70" customFormat="1" x14ac:dyDescent="0.3">
      <c r="A111" s="69"/>
      <c r="B111" s="69"/>
      <c r="C111" s="69"/>
      <c r="D111" s="69"/>
      <c r="E111" s="69"/>
      <c r="F111" s="69"/>
      <c r="G111" s="69"/>
      <c r="H111" s="69"/>
      <c r="I111" s="69"/>
      <c r="J111" s="142"/>
      <c r="K111" s="142"/>
      <c r="L111" s="142"/>
      <c r="M111" s="144"/>
      <c r="N111" s="144"/>
      <c r="AU111" s="69"/>
    </row>
    <row r="112" spans="1:47" s="70" customFormat="1" x14ac:dyDescent="0.3">
      <c r="A112" s="69"/>
      <c r="B112" s="69"/>
      <c r="C112" s="69"/>
      <c r="D112" s="69"/>
      <c r="E112" s="69"/>
      <c r="F112" s="69"/>
      <c r="G112" s="69"/>
      <c r="H112" s="69"/>
      <c r="I112" s="69"/>
      <c r="J112" s="142"/>
      <c r="K112" s="142"/>
      <c r="L112" s="142"/>
      <c r="M112" s="144"/>
      <c r="N112" s="144"/>
      <c r="AU112" s="69"/>
    </row>
    <row r="113" spans="1:47" s="70" customFormat="1" x14ac:dyDescent="0.3">
      <c r="A113" s="69"/>
      <c r="B113" s="69"/>
      <c r="C113" s="69"/>
      <c r="D113" s="69"/>
      <c r="E113" s="69"/>
      <c r="F113" s="69"/>
      <c r="G113" s="69"/>
      <c r="H113" s="69"/>
      <c r="I113" s="69"/>
      <c r="J113" s="142"/>
      <c r="K113" s="142"/>
      <c r="L113" s="142"/>
      <c r="M113" s="144"/>
      <c r="N113" s="144"/>
      <c r="AU113" s="69"/>
    </row>
    <row r="114" spans="1:47" s="70" customFormat="1" x14ac:dyDescent="0.3">
      <c r="H114" s="69"/>
      <c r="I114" s="69"/>
      <c r="J114" s="142"/>
      <c r="K114" s="142"/>
      <c r="L114" s="142"/>
      <c r="M114" s="144"/>
      <c r="N114" s="144"/>
      <c r="AU114" s="69"/>
    </row>
    <row r="115" spans="1:47" s="70" customFormat="1" x14ac:dyDescent="0.3">
      <c r="J115" s="142"/>
      <c r="K115" s="142"/>
      <c r="L115" s="142"/>
      <c r="M115" s="144"/>
      <c r="N115" s="144"/>
      <c r="AU115" s="69"/>
    </row>
    <row r="116" spans="1:47" s="70" customFormat="1" x14ac:dyDescent="0.3">
      <c r="J116" s="142"/>
      <c r="K116" s="142"/>
      <c r="L116" s="142"/>
      <c r="M116" s="144"/>
      <c r="N116" s="144"/>
      <c r="AU116" s="69"/>
    </row>
    <row r="117" spans="1:47" s="70" customFormat="1" x14ac:dyDescent="0.3">
      <c r="J117" s="142"/>
      <c r="K117" s="142"/>
      <c r="L117" s="142"/>
      <c r="M117" s="144"/>
      <c r="N117" s="144"/>
      <c r="AU117" s="69"/>
    </row>
    <row r="118" spans="1:47" s="70" customFormat="1" x14ac:dyDescent="0.3">
      <c r="J118" s="142"/>
      <c r="K118" s="142"/>
      <c r="L118" s="142"/>
      <c r="M118" s="144"/>
      <c r="N118" s="144"/>
      <c r="AU118" s="69"/>
    </row>
    <row r="119" spans="1:47" s="70" customFormat="1" x14ac:dyDescent="0.3">
      <c r="J119" s="142"/>
      <c r="K119" s="142"/>
      <c r="L119" s="142"/>
      <c r="M119" s="144"/>
      <c r="N119" s="144"/>
      <c r="AU119" s="69"/>
    </row>
    <row r="120" spans="1:47" s="70" customFormat="1" x14ac:dyDescent="0.3">
      <c r="J120" s="142"/>
      <c r="K120" s="142"/>
      <c r="L120" s="142"/>
      <c r="M120" s="144"/>
      <c r="N120" s="144"/>
      <c r="AU120" s="69"/>
    </row>
    <row r="121" spans="1:47" s="70" customFormat="1" x14ac:dyDescent="0.3">
      <c r="J121" s="142"/>
      <c r="K121" s="142"/>
      <c r="L121" s="142"/>
      <c r="M121" s="144"/>
      <c r="N121" s="144"/>
      <c r="AU121" s="69"/>
    </row>
    <row r="122" spans="1:47" s="70" customFormat="1" x14ac:dyDescent="0.3">
      <c r="J122" s="142"/>
      <c r="K122" s="142"/>
      <c r="L122" s="142"/>
      <c r="M122" s="144"/>
      <c r="N122" s="144"/>
      <c r="AU122" s="69"/>
    </row>
    <row r="123" spans="1:47" s="70" customFormat="1" x14ac:dyDescent="0.3">
      <c r="J123" s="142"/>
      <c r="K123" s="142"/>
      <c r="L123" s="142"/>
      <c r="M123" s="144"/>
      <c r="N123" s="144"/>
      <c r="AU123" s="69"/>
    </row>
    <row r="124" spans="1:47" s="70" customFormat="1" x14ac:dyDescent="0.3">
      <c r="J124" s="142"/>
      <c r="K124" s="142"/>
      <c r="L124" s="142"/>
      <c r="M124" s="144"/>
      <c r="N124" s="144"/>
      <c r="AU124" s="69"/>
    </row>
    <row r="125" spans="1:47" s="70" customFormat="1" x14ac:dyDescent="0.3">
      <c r="J125" s="142"/>
      <c r="K125" s="142"/>
      <c r="L125" s="142"/>
      <c r="M125" s="144"/>
      <c r="N125" s="144"/>
      <c r="AU125" s="69"/>
    </row>
    <row r="126" spans="1:47" s="70" customFormat="1" x14ac:dyDescent="0.3">
      <c r="J126" s="142"/>
      <c r="K126" s="142"/>
      <c r="L126" s="142"/>
      <c r="M126" s="144"/>
      <c r="N126" s="144"/>
      <c r="AU126" s="69"/>
    </row>
    <row r="127" spans="1:47" s="70" customFormat="1" x14ac:dyDescent="0.3">
      <c r="J127" s="142"/>
      <c r="K127" s="142"/>
      <c r="L127" s="142"/>
      <c r="M127" s="144"/>
      <c r="N127" s="144"/>
      <c r="AU127" s="69"/>
    </row>
    <row r="128" spans="1:47" s="70" customFormat="1" x14ac:dyDescent="0.3">
      <c r="J128" s="142"/>
      <c r="K128" s="142"/>
      <c r="L128" s="142"/>
      <c r="M128" s="144"/>
      <c r="N128" s="144"/>
      <c r="AU128" s="69"/>
    </row>
    <row r="129" spans="10:47" s="70" customFormat="1" x14ac:dyDescent="0.3">
      <c r="J129" s="142"/>
      <c r="K129" s="142"/>
      <c r="L129" s="142"/>
      <c r="M129" s="144"/>
      <c r="N129" s="144"/>
      <c r="AU129" s="69"/>
    </row>
    <row r="130" spans="10:47" s="70" customFormat="1" x14ac:dyDescent="0.3">
      <c r="J130" s="142"/>
      <c r="K130" s="142"/>
      <c r="L130" s="142"/>
      <c r="M130" s="144"/>
      <c r="N130" s="144"/>
      <c r="AU130" s="69"/>
    </row>
    <row r="131" spans="10:47" s="70" customFormat="1" x14ac:dyDescent="0.3">
      <c r="J131" s="142"/>
      <c r="K131" s="142"/>
      <c r="L131" s="142"/>
      <c r="M131" s="144"/>
      <c r="N131" s="144"/>
      <c r="AU131" s="69"/>
    </row>
    <row r="132" spans="10:47" s="70" customFormat="1" x14ac:dyDescent="0.3">
      <c r="J132" s="142"/>
      <c r="K132" s="142"/>
      <c r="L132" s="142"/>
      <c r="M132" s="144"/>
      <c r="N132" s="144"/>
      <c r="AU132" s="69"/>
    </row>
    <row r="133" spans="10:47" s="70" customFormat="1" x14ac:dyDescent="0.3">
      <c r="J133" s="142"/>
      <c r="K133" s="142"/>
      <c r="L133" s="142"/>
      <c r="M133" s="144"/>
      <c r="N133" s="144"/>
      <c r="AU133" s="69"/>
    </row>
    <row r="134" spans="10:47" s="70" customFormat="1" x14ac:dyDescent="0.3">
      <c r="J134" s="142"/>
      <c r="K134" s="142"/>
      <c r="L134" s="142"/>
      <c r="M134" s="144"/>
      <c r="N134" s="144"/>
      <c r="AU134" s="69"/>
    </row>
    <row r="135" spans="10:47" s="70" customFormat="1" x14ac:dyDescent="0.3">
      <c r="J135" s="142"/>
      <c r="K135" s="142"/>
      <c r="L135" s="142"/>
      <c r="M135" s="144"/>
      <c r="N135" s="144"/>
      <c r="AU135" s="69"/>
    </row>
    <row r="136" spans="10:47" s="70" customFormat="1" x14ac:dyDescent="0.3">
      <c r="J136" s="142"/>
      <c r="K136" s="142"/>
      <c r="L136" s="142"/>
      <c r="M136" s="144"/>
      <c r="N136" s="144"/>
      <c r="AU136" s="69"/>
    </row>
    <row r="137" spans="10:47" s="70" customFormat="1" x14ac:dyDescent="0.3">
      <c r="J137" s="142"/>
      <c r="K137" s="142"/>
      <c r="L137" s="142"/>
      <c r="M137" s="144"/>
      <c r="N137" s="144"/>
      <c r="AU137" s="69"/>
    </row>
    <row r="138" spans="10:47" s="70" customFormat="1" x14ac:dyDescent="0.3">
      <c r="J138" s="142"/>
      <c r="K138" s="142"/>
      <c r="L138" s="142"/>
      <c r="M138" s="144"/>
      <c r="N138" s="144"/>
      <c r="AU138" s="69"/>
    </row>
    <row r="139" spans="10:47" s="70" customFormat="1" x14ac:dyDescent="0.3">
      <c r="J139" s="142"/>
      <c r="K139" s="142"/>
      <c r="L139" s="142"/>
      <c r="M139" s="144"/>
      <c r="N139" s="144"/>
      <c r="AU139" s="69"/>
    </row>
    <row r="140" spans="10:47" s="70" customFormat="1" x14ac:dyDescent="0.3">
      <c r="J140" s="142"/>
      <c r="K140" s="142"/>
      <c r="L140" s="142"/>
      <c r="M140" s="144"/>
      <c r="N140" s="144"/>
      <c r="AU140" s="69"/>
    </row>
    <row r="141" spans="10:47" s="70" customFormat="1" x14ac:dyDescent="0.3">
      <c r="J141" s="142"/>
      <c r="K141" s="142"/>
      <c r="L141" s="142"/>
      <c r="M141" s="144"/>
      <c r="N141" s="144"/>
      <c r="AU141" s="69"/>
    </row>
    <row r="142" spans="10:47" s="70" customFormat="1" x14ac:dyDescent="0.3">
      <c r="J142" s="142"/>
      <c r="K142" s="142"/>
      <c r="L142" s="142"/>
      <c r="M142" s="144"/>
      <c r="N142" s="144"/>
      <c r="AU142" s="69"/>
    </row>
    <row r="143" spans="10:47" s="70" customFormat="1" x14ac:dyDescent="0.3">
      <c r="J143" s="142"/>
      <c r="K143" s="142"/>
      <c r="L143" s="142"/>
      <c r="M143" s="144"/>
      <c r="N143" s="144"/>
      <c r="AU143" s="69"/>
    </row>
    <row r="144" spans="10:47" s="70" customFormat="1" x14ac:dyDescent="0.3">
      <c r="J144" s="142"/>
      <c r="K144" s="142"/>
      <c r="L144" s="142"/>
      <c r="M144" s="144"/>
      <c r="N144" s="144"/>
      <c r="AU144" s="69"/>
    </row>
    <row r="145" spans="10:47" s="70" customFormat="1" x14ac:dyDescent="0.3">
      <c r="J145" s="142"/>
      <c r="K145" s="142"/>
      <c r="L145" s="142"/>
      <c r="M145" s="144"/>
      <c r="N145" s="144"/>
      <c r="AU145" s="69"/>
    </row>
    <row r="146" spans="10:47" s="70" customFormat="1" x14ac:dyDescent="0.3">
      <c r="J146" s="142"/>
      <c r="K146" s="142"/>
      <c r="L146" s="142"/>
      <c r="M146" s="144"/>
      <c r="N146" s="144"/>
      <c r="AU146" s="69"/>
    </row>
    <row r="147" spans="10:47" s="70" customFormat="1" x14ac:dyDescent="0.3">
      <c r="J147" s="142"/>
      <c r="K147" s="142"/>
      <c r="L147" s="142"/>
      <c r="M147" s="144"/>
      <c r="N147" s="144"/>
      <c r="AU147" s="69"/>
    </row>
    <row r="148" spans="10:47" s="70" customFormat="1" x14ac:dyDescent="0.3">
      <c r="J148" s="142"/>
      <c r="K148" s="142"/>
      <c r="L148" s="142"/>
      <c r="M148" s="144"/>
      <c r="N148" s="144"/>
      <c r="AU148" s="69"/>
    </row>
    <row r="149" spans="10:47" s="70" customFormat="1" x14ac:dyDescent="0.3">
      <c r="J149" s="142"/>
      <c r="K149" s="142"/>
      <c r="L149" s="142"/>
      <c r="M149" s="144"/>
      <c r="N149" s="144"/>
      <c r="AU149" s="69"/>
    </row>
    <row r="150" spans="10:47" s="70" customFormat="1" x14ac:dyDescent="0.3">
      <c r="J150" s="142"/>
      <c r="K150" s="142"/>
      <c r="L150" s="142"/>
      <c r="M150" s="144"/>
      <c r="N150" s="144"/>
      <c r="AU150" s="69"/>
    </row>
    <row r="151" spans="10:47" s="70" customFormat="1" x14ac:dyDescent="0.3">
      <c r="J151" s="142"/>
      <c r="K151" s="142"/>
      <c r="L151" s="142"/>
      <c r="M151" s="144"/>
      <c r="N151" s="144"/>
      <c r="AU151" s="69"/>
    </row>
    <row r="152" spans="10:47" s="70" customFormat="1" x14ac:dyDescent="0.3">
      <c r="J152" s="142"/>
      <c r="K152" s="142"/>
      <c r="L152" s="142"/>
      <c r="M152" s="144"/>
      <c r="N152" s="144"/>
      <c r="AU152" s="69"/>
    </row>
    <row r="153" spans="10:47" s="70" customFormat="1" x14ac:dyDescent="0.3">
      <c r="J153" s="142"/>
      <c r="K153" s="142"/>
      <c r="L153" s="142"/>
      <c r="M153" s="144"/>
      <c r="N153" s="144"/>
      <c r="AU153" s="69"/>
    </row>
    <row r="154" spans="10:47" s="70" customFormat="1" x14ac:dyDescent="0.3">
      <c r="J154" s="142"/>
      <c r="K154" s="142"/>
      <c r="L154" s="142"/>
      <c r="M154" s="144"/>
      <c r="N154" s="144"/>
      <c r="AU154" s="69"/>
    </row>
    <row r="155" spans="10:47" s="70" customFormat="1" x14ac:dyDescent="0.3">
      <c r="J155" s="142"/>
      <c r="K155" s="142"/>
      <c r="L155" s="142"/>
      <c r="M155" s="144"/>
      <c r="N155" s="144"/>
      <c r="AU155" s="69"/>
    </row>
    <row r="156" spans="10:47" s="70" customFormat="1" x14ac:dyDescent="0.3">
      <c r="J156" s="142"/>
      <c r="K156" s="142"/>
      <c r="L156" s="142"/>
      <c r="M156" s="144"/>
      <c r="N156" s="144"/>
      <c r="AU156" s="69"/>
    </row>
    <row r="157" spans="10:47" s="70" customFormat="1" x14ac:dyDescent="0.3">
      <c r="J157" s="142"/>
      <c r="K157" s="142"/>
      <c r="L157" s="142"/>
      <c r="M157" s="144"/>
      <c r="N157" s="144"/>
      <c r="AU157" s="69"/>
    </row>
    <row r="158" spans="10:47" s="70" customFormat="1" x14ac:dyDescent="0.3">
      <c r="J158" s="142"/>
      <c r="K158" s="142"/>
      <c r="L158" s="142"/>
      <c r="M158" s="144"/>
      <c r="N158" s="144"/>
      <c r="AU158" s="69"/>
    </row>
    <row r="159" spans="10:47" s="70" customFormat="1" x14ac:dyDescent="0.3">
      <c r="J159" s="142"/>
      <c r="K159" s="142"/>
      <c r="L159" s="142"/>
      <c r="M159" s="144"/>
      <c r="N159" s="144"/>
      <c r="AU159" s="69"/>
    </row>
    <row r="160" spans="10:47" s="70" customFormat="1" x14ac:dyDescent="0.3">
      <c r="J160" s="142"/>
      <c r="K160" s="142"/>
      <c r="L160" s="142"/>
      <c r="M160" s="144"/>
      <c r="N160" s="144"/>
      <c r="AU160" s="69"/>
    </row>
    <row r="161" spans="1:48" s="70" customFormat="1" x14ac:dyDescent="0.3">
      <c r="J161" s="142"/>
      <c r="K161" s="142"/>
      <c r="L161" s="142"/>
      <c r="M161" s="144"/>
      <c r="N161" s="144"/>
      <c r="AU161" s="69"/>
    </row>
    <row r="162" spans="1:48" s="70" customFormat="1" x14ac:dyDescent="0.3">
      <c r="J162" s="142"/>
      <c r="K162" s="142"/>
      <c r="L162" s="142"/>
      <c r="M162" s="144"/>
      <c r="N162" s="144"/>
      <c r="AU162" s="69"/>
    </row>
    <row r="163" spans="1:48" s="70" customFormat="1" x14ac:dyDescent="0.3">
      <c r="J163" s="142"/>
      <c r="K163" s="142"/>
      <c r="L163" s="142"/>
      <c r="M163" s="144"/>
      <c r="N163" s="144"/>
      <c r="AU163" s="69"/>
    </row>
    <row r="164" spans="1:48" s="70" customFormat="1" x14ac:dyDescent="0.3">
      <c r="J164" s="142"/>
      <c r="K164" s="142"/>
      <c r="L164" s="142"/>
      <c r="M164" s="144"/>
      <c r="N164" s="144"/>
      <c r="AU164" s="69"/>
    </row>
    <row r="165" spans="1:48" s="70" customFormat="1" x14ac:dyDescent="0.3">
      <c r="J165" s="142"/>
      <c r="K165" s="142"/>
      <c r="L165" s="142"/>
      <c r="M165" s="144"/>
      <c r="N165" s="144"/>
      <c r="AU165" s="69"/>
    </row>
    <row r="166" spans="1:48" s="70" customFormat="1" x14ac:dyDescent="0.3">
      <c r="J166" s="142"/>
      <c r="K166" s="142"/>
      <c r="L166" s="142"/>
      <c r="M166" s="144"/>
      <c r="N166" s="144"/>
      <c r="AU166" s="69"/>
    </row>
    <row r="167" spans="1:48" s="70" customFormat="1" x14ac:dyDescent="0.3">
      <c r="J167" s="142"/>
      <c r="K167" s="142"/>
      <c r="L167" s="142"/>
      <c r="M167" s="144"/>
      <c r="N167" s="144"/>
      <c r="AU167" s="69"/>
    </row>
    <row r="168" spans="1:48" s="70" customFormat="1" x14ac:dyDescent="0.3">
      <c r="J168" s="142"/>
      <c r="K168" s="142"/>
      <c r="L168" s="142"/>
      <c r="M168" s="144"/>
      <c r="N168" s="144"/>
      <c r="AU168" s="69"/>
    </row>
    <row r="169" spans="1:48" s="70" customFormat="1" x14ac:dyDescent="0.3">
      <c r="J169" s="142"/>
      <c r="K169" s="142"/>
      <c r="L169" s="142"/>
      <c r="M169" s="144"/>
      <c r="N169" s="144"/>
      <c r="AU169" s="69"/>
    </row>
    <row r="170" spans="1:48" s="145" customFormat="1" x14ac:dyDescent="0.3">
      <c r="A170" s="70"/>
      <c r="B170" s="70"/>
      <c r="C170" s="70"/>
      <c r="D170" s="70"/>
      <c r="E170" s="70"/>
      <c r="F170" s="70"/>
      <c r="G170" s="70"/>
      <c r="H170" s="70"/>
      <c r="I170" s="70"/>
      <c r="J170" s="142"/>
      <c r="K170" s="142"/>
      <c r="L170" s="142"/>
      <c r="M170" s="144"/>
      <c r="N170" s="144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69"/>
      <c r="AV170" s="70"/>
    </row>
    <row r="171" spans="1:48" s="145" customFormat="1" x14ac:dyDescent="0.3">
      <c r="A171" s="70"/>
      <c r="B171" s="70"/>
      <c r="C171" s="70"/>
      <c r="D171" s="70"/>
      <c r="E171" s="70"/>
      <c r="F171" s="70"/>
      <c r="G171" s="70"/>
      <c r="H171" s="70"/>
      <c r="I171" s="70"/>
      <c r="J171" s="142"/>
      <c r="K171" s="142"/>
      <c r="L171" s="142"/>
      <c r="M171" s="144"/>
      <c r="N171" s="144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69"/>
      <c r="AV171" s="70"/>
    </row>
    <row r="172" spans="1:48" s="145" customFormat="1" x14ac:dyDescent="0.3">
      <c r="A172" s="70"/>
      <c r="B172" s="70"/>
      <c r="C172" s="70"/>
      <c r="D172" s="70"/>
      <c r="E172" s="70"/>
      <c r="F172" s="70"/>
      <c r="G172" s="70"/>
      <c r="H172" s="70"/>
      <c r="I172" s="70"/>
      <c r="J172" s="142"/>
      <c r="K172" s="142"/>
      <c r="L172" s="142"/>
      <c r="M172" s="144"/>
      <c r="N172" s="144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69"/>
      <c r="AV172" s="70"/>
    </row>
    <row r="173" spans="1:48" s="145" customFormat="1" x14ac:dyDescent="0.3">
      <c r="A173" s="70"/>
      <c r="B173" s="70"/>
      <c r="C173" s="70"/>
      <c r="D173" s="70"/>
      <c r="E173" s="70"/>
      <c r="F173" s="70"/>
      <c r="G173" s="70"/>
      <c r="H173" s="70"/>
      <c r="I173" s="70"/>
      <c r="J173" s="142"/>
      <c r="K173" s="142"/>
      <c r="L173" s="142"/>
      <c r="M173" s="144"/>
      <c r="N173" s="144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69"/>
      <c r="AV173" s="70"/>
    </row>
    <row r="174" spans="1:48" s="145" customFormat="1" x14ac:dyDescent="0.3">
      <c r="A174" s="70"/>
      <c r="B174" s="70"/>
      <c r="C174" s="70"/>
      <c r="D174" s="70"/>
      <c r="E174" s="70"/>
      <c r="F174" s="70"/>
      <c r="G174" s="70"/>
      <c r="H174" s="70"/>
      <c r="I174" s="70"/>
      <c r="J174" s="142"/>
      <c r="K174" s="142"/>
      <c r="L174" s="142"/>
      <c r="M174" s="144"/>
      <c r="N174" s="144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69"/>
      <c r="AV174" s="70"/>
    </row>
    <row r="175" spans="1:48" s="145" customFormat="1" x14ac:dyDescent="0.3">
      <c r="A175" s="70"/>
      <c r="B175" s="70"/>
      <c r="C175" s="70"/>
      <c r="D175" s="70"/>
      <c r="E175" s="70"/>
      <c r="F175" s="70"/>
      <c r="G175" s="70"/>
      <c r="H175" s="70"/>
      <c r="I175" s="70"/>
      <c r="J175" s="142"/>
      <c r="K175" s="142"/>
      <c r="L175" s="142"/>
      <c r="M175" s="144"/>
      <c r="N175" s="144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69"/>
      <c r="AV175" s="70"/>
    </row>
    <row r="176" spans="1:48" s="145" customFormat="1" x14ac:dyDescent="0.3">
      <c r="A176" s="70"/>
      <c r="B176" s="70"/>
      <c r="C176" s="70"/>
      <c r="D176" s="70"/>
      <c r="E176" s="70"/>
      <c r="F176" s="70"/>
      <c r="G176" s="70"/>
      <c r="H176" s="70"/>
      <c r="I176" s="70"/>
      <c r="J176" s="142"/>
      <c r="K176" s="142"/>
      <c r="L176" s="142"/>
      <c r="M176" s="144"/>
      <c r="N176" s="144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69"/>
      <c r="AV176" s="70"/>
    </row>
    <row r="177" spans="1:48" s="145" customFormat="1" x14ac:dyDescent="0.3">
      <c r="A177" s="70"/>
      <c r="B177" s="70"/>
      <c r="C177" s="70"/>
      <c r="D177" s="70"/>
      <c r="E177" s="70"/>
      <c r="F177" s="70"/>
      <c r="G177" s="70"/>
      <c r="H177" s="70"/>
      <c r="I177" s="70"/>
      <c r="J177" s="142"/>
      <c r="K177" s="142"/>
      <c r="L177" s="142"/>
      <c r="M177" s="144"/>
      <c r="N177" s="144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69"/>
      <c r="AV177" s="70"/>
    </row>
    <row r="178" spans="1:48" s="145" customFormat="1" x14ac:dyDescent="0.3">
      <c r="A178" s="70"/>
      <c r="B178" s="70"/>
      <c r="C178" s="70"/>
      <c r="D178" s="70"/>
      <c r="E178" s="70"/>
      <c r="F178" s="70"/>
      <c r="G178" s="70"/>
      <c r="H178" s="70"/>
      <c r="I178" s="70"/>
      <c r="J178" s="142"/>
      <c r="K178" s="142"/>
      <c r="L178" s="142"/>
      <c r="M178" s="144"/>
      <c r="N178" s="144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69"/>
      <c r="AV178" s="70"/>
    </row>
    <row r="179" spans="1:48" s="145" customFormat="1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142"/>
      <c r="K179" s="142"/>
      <c r="L179" s="142"/>
      <c r="M179" s="144"/>
      <c r="N179" s="144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69"/>
      <c r="AV179" s="70"/>
    </row>
    <row r="180" spans="1:48" s="145" customFormat="1" x14ac:dyDescent="0.3">
      <c r="A180" s="70"/>
      <c r="B180" s="70"/>
      <c r="C180" s="70"/>
      <c r="D180" s="70"/>
      <c r="E180" s="70"/>
      <c r="F180" s="70"/>
      <c r="G180" s="70"/>
      <c r="H180" s="70"/>
      <c r="I180" s="70"/>
      <c r="J180" s="142"/>
      <c r="K180" s="142"/>
      <c r="L180" s="142"/>
      <c r="M180" s="144"/>
      <c r="N180" s="144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69"/>
      <c r="AV180" s="70"/>
    </row>
    <row r="181" spans="1:48" s="145" customFormat="1" x14ac:dyDescent="0.3">
      <c r="A181" s="70"/>
      <c r="B181" s="70"/>
      <c r="C181" s="70"/>
      <c r="D181" s="70"/>
      <c r="E181" s="70"/>
      <c r="F181" s="70"/>
      <c r="G181" s="70"/>
      <c r="H181" s="70"/>
      <c r="I181" s="70"/>
      <c r="J181" s="142"/>
      <c r="K181" s="142"/>
      <c r="L181" s="142"/>
      <c r="M181" s="147"/>
      <c r="N181" s="144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69"/>
      <c r="AV181" s="70"/>
    </row>
    <row r="182" spans="1:48" s="145" customFormat="1" x14ac:dyDescent="0.3">
      <c r="A182" s="70"/>
      <c r="B182" s="70"/>
      <c r="C182" s="70"/>
      <c r="D182" s="70"/>
      <c r="E182" s="70"/>
      <c r="F182" s="70"/>
      <c r="G182" s="70"/>
      <c r="H182" s="70"/>
      <c r="I182" s="70"/>
      <c r="J182" s="146"/>
      <c r="K182" s="146"/>
      <c r="L182" s="146"/>
      <c r="M182" s="147"/>
      <c r="N182" s="144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69"/>
      <c r="AV182" s="70"/>
    </row>
    <row r="183" spans="1:48" s="145" customFormat="1" x14ac:dyDescent="0.3">
      <c r="A183" s="70"/>
      <c r="B183" s="70"/>
      <c r="C183" s="70"/>
      <c r="D183" s="70"/>
      <c r="E183" s="70"/>
      <c r="F183" s="70"/>
      <c r="G183" s="70"/>
      <c r="H183" s="70"/>
      <c r="I183" s="70"/>
      <c r="J183" s="146"/>
      <c r="K183" s="146"/>
      <c r="L183" s="146"/>
      <c r="M183" s="147"/>
      <c r="N183" s="144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69"/>
      <c r="AV183" s="70"/>
    </row>
    <row r="184" spans="1:48" s="145" customFormat="1" x14ac:dyDescent="0.3">
      <c r="A184" s="70"/>
      <c r="B184" s="70"/>
      <c r="C184" s="70"/>
      <c r="D184" s="70"/>
      <c r="E184" s="70"/>
      <c r="F184" s="70"/>
      <c r="G184" s="70"/>
      <c r="H184" s="70"/>
      <c r="I184" s="70"/>
      <c r="J184" s="146"/>
      <c r="K184" s="146"/>
      <c r="L184" s="146"/>
      <c r="M184" s="147"/>
      <c r="N184" s="144"/>
      <c r="O184" s="149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69"/>
      <c r="AV184" s="70"/>
    </row>
    <row r="185" spans="1:48" s="145" customFormat="1" x14ac:dyDescent="0.3">
      <c r="A185" s="70"/>
      <c r="B185" s="70"/>
      <c r="C185" s="70"/>
      <c r="D185" s="70"/>
      <c r="E185" s="70"/>
      <c r="F185" s="70"/>
      <c r="G185" s="70"/>
      <c r="H185" s="70"/>
      <c r="I185" s="70"/>
      <c r="J185" s="146"/>
      <c r="K185" s="146"/>
      <c r="L185" s="146"/>
      <c r="M185" s="147"/>
      <c r="N185" s="144"/>
      <c r="O185" s="149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69"/>
      <c r="AV185" s="70"/>
    </row>
    <row r="186" spans="1:48" s="145" customFormat="1" x14ac:dyDescent="0.3">
      <c r="A186" s="70"/>
      <c r="B186" s="70"/>
      <c r="C186" s="70"/>
      <c r="D186" s="70"/>
      <c r="E186" s="70"/>
      <c r="F186" s="70"/>
      <c r="G186" s="70"/>
      <c r="H186" s="70"/>
      <c r="I186" s="70"/>
      <c r="J186" s="146"/>
      <c r="K186" s="146"/>
      <c r="L186" s="146"/>
      <c r="M186" s="147"/>
      <c r="N186" s="147"/>
      <c r="O186" s="149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69"/>
      <c r="AV186" s="70"/>
    </row>
    <row r="187" spans="1:48" x14ac:dyDescent="0.3">
      <c r="A187" s="70"/>
      <c r="B187" s="70"/>
      <c r="C187" s="70"/>
      <c r="D187" s="70"/>
      <c r="E187" s="70"/>
      <c r="F187" s="70"/>
      <c r="G187" s="70"/>
      <c r="H187" s="70"/>
      <c r="I187" s="70"/>
      <c r="J187" s="146"/>
      <c r="K187" s="146"/>
      <c r="L187" s="146"/>
      <c r="M187" s="147"/>
      <c r="N187" s="147"/>
      <c r="O187" s="149"/>
      <c r="AU187" s="148"/>
      <c r="AV187" s="148"/>
    </row>
    <row r="188" spans="1:48" x14ac:dyDescent="0.3">
      <c r="A188" s="70"/>
      <c r="B188" s="70"/>
      <c r="C188" s="70"/>
      <c r="D188" s="70"/>
      <c r="E188" s="70"/>
      <c r="F188" s="70"/>
      <c r="G188" s="70"/>
      <c r="H188" s="70"/>
      <c r="I188" s="70"/>
      <c r="J188" s="146"/>
      <c r="K188" s="146"/>
      <c r="L188" s="146"/>
      <c r="M188" s="147"/>
      <c r="N188" s="147"/>
      <c r="O188" s="149"/>
      <c r="AU188" s="148"/>
      <c r="AV188" s="148"/>
    </row>
    <row r="189" spans="1:48" x14ac:dyDescent="0.3">
      <c r="A189" s="70"/>
      <c r="B189" s="70"/>
      <c r="C189" s="70"/>
      <c r="D189" s="70"/>
      <c r="E189" s="70"/>
      <c r="F189" s="70"/>
      <c r="G189" s="70"/>
      <c r="H189" s="70"/>
      <c r="I189" s="70"/>
      <c r="J189" s="146"/>
      <c r="K189" s="146"/>
      <c r="L189" s="146"/>
      <c r="M189" s="147"/>
      <c r="N189" s="147"/>
      <c r="O189" s="149"/>
      <c r="AU189" s="148"/>
      <c r="AV189" s="148"/>
    </row>
    <row r="190" spans="1:48" x14ac:dyDescent="0.3">
      <c r="A190" s="70"/>
      <c r="B190" s="70"/>
      <c r="C190" s="70"/>
      <c r="D190" s="70"/>
      <c r="E190" s="70"/>
      <c r="F190" s="70"/>
      <c r="G190" s="70"/>
      <c r="H190" s="70"/>
      <c r="I190" s="70"/>
      <c r="J190" s="146"/>
      <c r="K190" s="146"/>
      <c r="L190" s="146"/>
      <c r="M190" s="147"/>
      <c r="N190" s="147"/>
      <c r="O190" s="149"/>
      <c r="AU190" s="148"/>
      <c r="AV190" s="148"/>
    </row>
    <row r="191" spans="1:48" x14ac:dyDescent="0.3">
      <c r="A191" s="149"/>
      <c r="B191" s="149"/>
      <c r="C191" s="149"/>
      <c r="D191" s="149"/>
      <c r="E191" s="149"/>
      <c r="F191" s="149"/>
      <c r="G191" s="149"/>
      <c r="H191" s="70"/>
      <c r="I191" s="70"/>
      <c r="J191" s="146"/>
      <c r="K191" s="146"/>
      <c r="L191" s="146"/>
      <c r="M191" s="147"/>
      <c r="N191" s="147"/>
      <c r="O191" s="149"/>
      <c r="AU191" s="148"/>
      <c r="AV191" s="148"/>
    </row>
    <row r="192" spans="1:48" x14ac:dyDescent="0.3">
      <c r="A192" s="149"/>
      <c r="B192" s="149"/>
      <c r="C192" s="149"/>
      <c r="D192" s="149"/>
      <c r="E192" s="149"/>
      <c r="F192" s="149"/>
      <c r="G192" s="149"/>
      <c r="H192" s="149"/>
      <c r="I192" s="149"/>
      <c r="J192" s="146"/>
      <c r="K192" s="146"/>
      <c r="L192" s="146"/>
      <c r="M192" s="147"/>
      <c r="N192" s="147"/>
      <c r="O192" s="149"/>
      <c r="AU192" s="148"/>
      <c r="AV192" s="148"/>
    </row>
    <row r="193" spans="1:48" x14ac:dyDescent="0.3">
      <c r="A193" s="149"/>
      <c r="B193" s="149"/>
      <c r="C193" s="149"/>
      <c r="D193" s="149"/>
      <c r="E193" s="149"/>
      <c r="F193" s="149"/>
      <c r="G193" s="149"/>
      <c r="H193" s="149"/>
      <c r="I193" s="149"/>
      <c r="J193" s="146"/>
      <c r="K193" s="146"/>
      <c r="L193" s="146"/>
      <c r="M193" s="147"/>
      <c r="N193" s="147"/>
      <c r="O193" s="149"/>
      <c r="AU193" s="148"/>
      <c r="AV193" s="148"/>
    </row>
    <row r="194" spans="1:48" x14ac:dyDescent="0.3">
      <c r="A194" s="149"/>
      <c r="B194" s="149"/>
      <c r="C194" s="149"/>
      <c r="D194" s="149"/>
      <c r="E194" s="149"/>
      <c r="F194" s="149"/>
      <c r="G194" s="149"/>
      <c r="H194" s="149"/>
      <c r="I194" s="149"/>
      <c r="J194" s="146"/>
      <c r="K194" s="146"/>
      <c r="L194" s="146"/>
      <c r="M194" s="147"/>
      <c r="N194" s="147"/>
      <c r="O194" s="149"/>
      <c r="AU194" s="148"/>
      <c r="AV194" s="148"/>
    </row>
    <row r="195" spans="1:48" x14ac:dyDescent="0.3">
      <c r="A195" s="149"/>
      <c r="B195" s="149"/>
      <c r="C195" s="149"/>
      <c r="D195" s="149"/>
      <c r="E195" s="149"/>
      <c r="F195" s="149"/>
      <c r="G195" s="149"/>
      <c r="H195" s="149"/>
      <c r="I195" s="149"/>
      <c r="J195" s="146"/>
      <c r="K195" s="146"/>
      <c r="L195" s="146"/>
      <c r="M195" s="147"/>
      <c r="N195" s="147"/>
      <c r="O195" s="149"/>
      <c r="AU195" s="148"/>
      <c r="AV195" s="148"/>
    </row>
    <row r="196" spans="1:48" x14ac:dyDescent="0.3">
      <c r="A196" s="149"/>
      <c r="B196" s="149"/>
      <c r="C196" s="149"/>
      <c r="D196" s="149"/>
      <c r="E196" s="149"/>
      <c r="F196" s="149"/>
      <c r="G196" s="149"/>
      <c r="H196" s="149"/>
      <c r="I196" s="149"/>
      <c r="J196" s="146"/>
      <c r="K196" s="146"/>
      <c r="L196" s="146"/>
      <c r="M196" s="147"/>
      <c r="N196" s="147"/>
      <c r="AU196" s="148"/>
      <c r="AV196" s="148"/>
    </row>
    <row r="197" spans="1:48" x14ac:dyDescent="0.3">
      <c r="A197" s="149"/>
      <c r="B197" s="149"/>
      <c r="C197" s="149"/>
      <c r="D197" s="149"/>
      <c r="E197" s="149"/>
      <c r="F197" s="149"/>
      <c r="G197" s="149"/>
      <c r="H197" s="149"/>
      <c r="I197" s="149"/>
      <c r="J197" s="146"/>
      <c r="K197" s="146"/>
      <c r="L197" s="146"/>
      <c r="M197" s="147"/>
      <c r="N197" s="147"/>
      <c r="AU197" s="148"/>
      <c r="AV197" s="148"/>
    </row>
    <row r="198" spans="1:48" x14ac:dyDescent="0.3">
      <c r="A198" s="149"/>
      <c r="B198" s="149"/>
      <c r="C198" s="149"/>
      <c r="D198" s="149"/>
      <c r="E198" s="149"/>
      <c r="F198" s="149"/>
      <c r="G198" s="149"/>
      <c r="H198" s="149"/>
      <c r="I198" s="149"/>
      <c r="J198" s="146"/>
      <c r="K198" s="146"/>
      <c r="L198" s="146"/>
      <c r="N198" s="147"/>
      <c r="AU198" s="148"/>
      <c r="AV198" s="148"/>
    </row>
    <row r="199" spans="1:48" x14ac:dyDescent="0.3">
      <c r="A199" s="149"/>
      <c r="B199" s="149"/>
      <c r="C199" s="149"/>
      <c r="D199" s="149"/>
      <c r="E199" s="149"/>
      <c r="F199" s="149"/>
      <c r="G199" s="149"/>
      <c r="H199" s="149"/>
      <c r="I199" s="149"/>
      <c r="N199" s="147"/>
    </row>
    <row r="200" spans="1:48" x14ac:dyDescent="0.3">
      <c r="A200" s="149"/>
      <c r="B200" s="149"/>
      <c r="C200" s="149"/>
      <c r="D200" s="149"/>
      <c r="E200" s="149"/>
      <c r="F200" s="149"/>
      <c r="G200" s="149"/>
      <c r="H200" s="149"/>
      <c r="I200" s="149"/>
      <c r="N200" s="147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  <c r="AP200" s="69"/>
      <c r="AQ200" s="69"/>
      <c r="AR200" s="69"/>
      <c r="AS200" s="69"/>
      <c r="AT200" s="69"/>
      <c r="AU200" s="148"/>
      <c r="AV200" s="148"/>
    </row>
    <row r="201" spans="1:48" x14ac:dyDescent="0.3">
      <c r="A201" s="149"/>
      <c r="B201" s="149"/>
      <c r="C201" s="149"/>
      <c r="D201" s="149"/>
      <c r="E201" s="149"/>
      <c r="F201" s="149"/>
      <c r="G201" s="149"/>
      <c r="H201" s="149"/>
      <c r="I201" s="149"/>
      <c r="N201" s="147"/>
    </row>
    <row r="202" spans="1:48" x14ac:dyDescent="0.3">
      <c r="A202" s="149"/>
      <c r="B202" s="149"/>
      <c r="C202" s="149"/>
      <c r="D202" s="149"/>
      <c r="E202" s="149"/>
      <c r="F202" s="149"/>
      <c r="G202" s="149"/>
      <c r="H202" s="149"/>
      <c r="I202" s="149"/>
      <c r="M202" s="148"/>
      <c r="N202" s="147"/>
    </row>
    <row r="203" spans="1:48" x14ac:dyDescent="0.3">
      <c r="A203" s="149"/>
      <c r="B203" s="149"/>
      <c r="C203" s="149"/>
      <c r="D203" s="149"/>
      <c r="E203" s="149"/>
      <c r="F203" s="149"/>
      <c r="G203" s="149"/>
      <c r="H203" s="149"/>
      <c r="I203" s="149"/>
    </row>
    <row r="204" spans="1:48" x14ac:dyDescent="0.3">
      <c r="A204" s="149"/>
      <c r="B204" s="149"/>
      <c r="C204" s="149"/>
      <c r="D204" s="149"/>
      <c r="E204" s="149"/>
      <c r="F204" s="149"/>
      <c r="G204" s="149"/>
      <c r="H204" s="149"/>
      <c r="I204" s="149"/>
    </row>
    <row r="205" spans="1:48" x14ac:dyDescent="0.3">
      <c r="A205" s="149"/>
      <c r="B205" s="149"/>
      <c r="C205" s="149"/>
      <c r="D205" s="149"/>
      <c r="E205" s="149"/>
      <c r="F205" s="149"/>
      <c r="G205" s="149"/>
      <c r="H205" s="149"/>
      <c r="I205" s="149"/>
    </row>
    <row r="206" spans="1:48" x14ac:dyDescent="0.3">
      <c r="A206" s="149"/>
      <c r="B206" s="149"/>
      <c r="C206" s="149"/>
      <c r="D206" s="149"/>
      <c r="E206" s="149"/>
      <c r="F206" s="149"/>
      <c r="G206" s="149"/>
      <c r="H206" s="149"/>
      <c r="I206" s="149"/>
    </row>
    <row r="207" spans="1:48" x14ac:dyDescent="0.3">
      <c r="A207" s="149"/>
      <c r="B207" s="149"/>
      <c r="C207" s="149"/>
      <c r="D207" s="149"/>
      <c r="E207" s="149"/>
      <c r="F207" s="149"/>
      <c r="G207" s="149"/>
      <c r="H207" s="149"/>
      <c r="I207" s="149"/>
    </row>
    <row r="208" spans="1:48" x14ac:dyDescent="0.3">
      <c r="H208" s="149"/>
      <c r="I208" s="149"/>
    </row>
    <row r="212" spans="10:12" x14ac:dyDescent="0.3">
      <c r="J212" s="148"/>
      <c r="K212" s="148"/>
      <c r="L212" s="148"/>
    </row>
    <row r="1048540" spans="1:59" x14ac:dyDescent="0.3">
      <c r="O1048540" s="57"/>
    </row>
    <row r="1048544" spans="1:59" s="70" customFormat="1" x14ac:dyDescent="0.3">
      <c r="A1048544" s="148"/>
      <c r="B1048544" s="148"/>
      <c r="C1048544" s="148"/>
      <c r="D1048544" s="148"/>
      <c r="E1048544" s="148"/>
      <c r="F1048544" s="148"/>
      <c r="G1048544" s="148"/>
      <c r="H1048544" s="148"/>
      <c r="I1048544" s="148"/>
      <c r="J1048544" s="150"/>
      <c r="K1048544" s="150"/>
      <c r="L1048544" s="150"/>
      <c r="M1048544" s="150"/>
      <c r="N1048544" s="150"/>
      <c r="O1048544" s="148"/>
      <c r="AU1048544" s="69"/>
      <c r="AV1048544" s="69"/>
      <c r="AW1048544" s="148"/>
      <c r="AX1048544" s="148"/>
      <c r="AY1048544" s="148"/>
      <c r="AZ1048544" s="148"/>
      <c r="BA1048544" s="148"/>
      <c r="BB1048544" s="148"/>
      <c r="BC1048544" s="148"/>
      <c r="BD1048544" s="148"/>
      <c r="BE1048544" s="148"/>
      <c r="BF1048544" s="148"/>
      <c r="BG1048544" s="148"/>
    </row>
  </sheetData>
  <mergeCells count="47">
    <mergeCell ref="A45:O45"/>
    <mergeCell ref="A1:O1"/>
    <mergeCell ref="A2:O2"/>
    <mergeCell ref="A6:B6"/>
    <mergeCell ref="A7:O7"/>
    <mergeCell ref="A37:B37"/>
    <mergeCell ref="A38:O38"/>
    <mergeCell ref="D42:I42"/>
    <mergeCell ref="D39:I39"/>
    <mergeCell ref="D40:I40"/>
    <mergeCell ref="A43:I43"/>
    <mergeCell ref="M43:O43"/>
    <mergeCell ref="A44:M44"/>
    <mergeCell ref="D41:I41"/>
    <mergeCell ref="M59:N59"/>
    <mergeCell ref="D46:I46"/>
    <mergeCell ref="D47:I47"/>
    <mergeCell ref="D48:I48"/>
    <mergeCell ref="A49:I49"/>
    <mergeCell ref="A51:D51"/>
    <mergeCell ref="E51:G105"/>
    <mergeCell ref="M57:N57"/>
    <mergeCell ref="M58:N58"/>
    <mergeCell ref="M64:N64"/>
    <mergeCell ref="M51:O51"/>
    <mergeCell ref="M52:N52"/>
    <mergeCell ref="M53:N53"/>
    <mergeCell ref="M54:O55"/>
    <mergeCell ref="M56:O56"/>
    <mergeCell ref="M61:N61"/>
    <mergeCell ref="M77:O77"/>
    <mergeCell ref="M78:N78"/>
    <mergeCell ref="M71:N71"/>
    <mergeCell ref="M72:N72"/>
    <mergeCell ref="M73:N73"/>
    <mergeCell ref="M74:N74"/>
    <mergeCell ref="M75:N75"/>
    <mergeCell ref="M76:N76"/>
    <mergeCell ref="M70:N70"/>
    <mergeCell ref="M60:N60"/>
    <mergeCell ref="M62:N62"/>
    <mergeCell ref="M63:N63"/>
    <mergeCell ref="M65:N65"/>
    <mergeCell ref="M66:N66"/>
    <mergeCell ref="M67:N67"/>
    <mergeCell ref="M68:N68"/>
    <mergeCell ref="M69:N69"/>
  </mergeCells>
  <pageMargins left="0" right="0" top="0" bottom="0" header="0.31496062992125984" footer="0.31496062992125984"/>
  <pageSetup paperSize="9" scale="1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7E0D7-5EB1-40F1-BD06-EA0450A7B39B}">
  <sheetPr>
    <pageSetUpPr fitToPage="1"/>
  </sheetPr>
  <dimension ref="A1:BG1048541"/>
  <sheetViews>
    <sheetView zoomScale="60" zoomScaleNormal="60" workbookViewId="0">
      <selection activeCell="A2" sqref="A2:XFD5"/>
    </sheetView>
  </sheetViews>
  <sheetFormatPr defaultColWidth="9.109375" defaultRowHeight="13.8" x14ac:dyDescent="0.3"/>
  <cols>
    <col min="1" max="1" width="27.6640625" style="148" customWidth="1"/>
    <col min="2" max="2" width="13.109375" style="148" bestFit="1" customWidth="1"/>
    <col min="3" max="3" width="19.88671875" style="148" customWidth="1"/>
    <col min="4" max="4" width="19.44140625" style="148" customWidth="1"/>
    <col min="5" max="5" width="21.33203125" style="148" customWidth="1"/>
    <col min="6" max="7" width="19.109375" style="148" customWidth="1"/>
    <col min="8" max="8" width="17.5546875" style="148" customWidth="1"/>
    <col min="9" max="9" width="15.5546875" style="148" bestFit="1" customWidth="1"/>
    <col min="10" max="10" width="21.44140625" style="150" customWidth="1"/>
    <col min="11" max="11" width="17.109375" style="150" bestFit="1" customWidth="1"/>
    <col min="12" max="12" width="18" style="150" bestFit="1" customWidth="1"/>
    <col min="13" max="13" width="121.44140625" style="150" bestFit="1" customWidth="1"/>
    <col min="14" max="14" width="9.5546875" style="150" customWidth="1"/>
    <col min="15" max="15" width="18.5546875" style="148" customWidth="1"/>
    <col min="16" max="16" width="40.109375" style="70" bestFit="1" customWidth="1"/>
    <col min="17" max="17" width="13.109375" style="70" bestFit="1" customWidth="1"/>
    <col min="18" max="46" width="9.109375" style="70"/>
    <col min="47" max="48" width="9.109375" style="69"/>
    <col min="49" max="16384" width="9.109375" style="148"/>
  </cols>
  <sheetData>
    <row r="1" spans="1:41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</row>
    <row r="2" spans="1:41" s="10" customFormat="1" ht="28.5" customHeight="1" x14ac:dyDescent="0.3">
      <c r="A2" s="521" t="s">
        <v>662</v>
      </c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</row>
    <row r="3" spans="1:41" s="10" customFormat="1" ht="30.75" customHeight="1" x14ac:dyDescent="0.3">
      <c r="A3" s="83" t="s">
        <v>3</v>
      </c>
      <c r="B3" s="83" t="s">
        <v>0</v>
      </c>
      <c r="C3" s="84" t="s">
        <v>1</v>
      </c>
      <c r="D3" s="84" t="s">
        <v>68</v>
      </c>
      <c r="E3" s="84" t="s">
        <v>69</v>
      </c>
      <c r="F3" s="85" t="s">
        <v>2</v>
      </c>
      <c r="G3" s="85" t="s">
        <v>592</v>
      </c>
      <c r="H3" s="84" t="s">
        <v>6</v>
      </c>
      <c r="I3" s="84" t="s">
        <v>7</v>
      </c>
      <c r="J3" s="84" t="s">
        <v>4</v>
      </c>
      <c r="K3" s="84" t="s">
        <v>5</v>
      </c>
      <c r="L3" s="84" t="s">
        <v>70</v>
      </c>
      <c r="M3" s="83" t="s">
        <v>59</v>
      </c>
      <c r="N3" s="86" t="s">
        <v>8</v>
      </c>
      <c r="O3" s="86" t="s">
        <v>10</v>
      </c>
    </row>
    <row r="4" spans="1:41" s="15" customFormat="1" x14ac:dyDescent="0.3">
      <c r="A4" s="88" t="s">
        <v>636</v>
      </c>
      <c r="B4" s="90">
        <v>1</v>
      </c>
      <c r="C4" s="2">
        <f>'GERAL 2023'!G33</f>
        <v>580</v>
      </c>
      <c r="D4" s="2">
        <v>0</v>
      </c>
      <c r="E4" s="2">
        <f>C4-D4</f>
        <v>580</v>
      </c>
      <c r="F4" s="5">
        <v>0</v>
      </c>
      <c r="G4" s="2">
        <f>(1347.3/27)</f>
        <v>49.9</v>
      </c>
      <c r="H4" s="2">
        <f>D50</f>
        <v>1.2516548463356973</v>
      </c>
      <c r="I4" s="2">
        <f>D49</f>
        <v>19.696666666666669</v>
      </c>
      <c r="J4" s="109">
        <f>SUM(E4:I4)</f>
        <v>650.84832151300236</v>
      </c>
      <c r="K4" s="2">
        <f>60%*(C4+F4)</f>
        <v>348</v>
      </c>
      <c r="L4" s="2">
        <f>J4-K4</f>
        <v>302.84832151300236</v>
      </c>
      <c r="M4" s="5" t="s">
        <v>657</v>
      </c>
      <c r="N4" s="3">
        <v>10</v>
      </c>
      <c r="O4" s="3">
        <v>11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1:41" s="10" customFormat="1" x14ac:dyDescent="0.3">
      <c r="A5" s="518" t="s">
        <v>4</v>
      </c>
      <c r="B5" s="518"/>
      <c r="C5" s="109">
        <f t="shared" ref="C5:L5" si="0">SUM(C4:C4)</f>
        <v>580</v>
      </c>
      <c r="D5" s="109">
        <f t="shared" si="0"/>
        <v>0</v>
      </c>
      <c r="E5" s="109">
        <f t="shared" si="0"/>
        <v>580</v>
      </c>
      <c r="F5" s="109">
        <f t="shared" si="0"/>
        <v>0</v>
      </c>
      <c r="G5" s="109">
        <f t="shared" si="0"/>
        <v>49.9</v>
      </c>
      <c r="H5" s="109">
        <f t="shared" si="0"/>
        <v>1.2516548463356973</v>
      </c>
      <c r="I5" s="109">
        <f t="shared" si="0"/>
        <v>19.696666666666669</v>
      </c>
      <c r="J5" s="109">
        <f t="shared" si="0"/>
        <v>650.84832151300236</v>
      </c>
      <c r="K5" s="109">
        <f t="shared" si="0"/>
        <v>348</v>
      </c>
      <c r="L5" s="109">
        <f t="shared" si="0"/>
        <v>302.84832151300236</v>
      </c>
      <c r="M5" s="90"/>
      <c r="N5" s="3"/>
      <c r="O5" s="3"/>
    </row>
    <row r="6" spans="1:41" s="10" customFormat="1" ht="28.5" customHeight="1" x14ac:dyDescent="0.3">
      <c r="A6" s="521" t="s">
        <v>663</v>
      </c>
      <c r="B6" s="521"/>
      <c r="C6" s="521"/>
      <c r="D6" s="521"/>
      <c r="E6" s="521"/>
      <c r="F6" s="521"/>
      <c r="G6" s="521"/>
      <c r="H6" s="521"/>
      <c r="I6" s="521"/>
      <c r="J6" s="521"/>
      <c r="K6" s="521"/>
      <c r="L6" s="521"/>
      <c r="M6" s="521"/>
      <c r="N6" s="521"/>
      <c r="O6" s="521"/>
    </row>
    <row r="7" spans="1:41" s="11" customFormat="1" ht="34.5" customHeight="1" x14ac:dyDescent="0.3">
      <c r="A7" s="83" t="s">
        <v>3</v>
      </c>
      <c r="B7" s="83" t="s">
        <v>0</v>
      </c>
      <c r="C7" s="84" t="s">
        <v>1</v>
      </c>
      <c r="D7" s="84" t="s">
        <v>68</v>
      </c>
      <c r="E7" s="84" t="s">
        <v>69</v>
      </c>
      <c r="F7" s="85" t="s">
        <v>2</v>
      </c>
      <c r="G7" s="85" t="s">
        <v>592</v>
      </c>
      <c r="H7" s="84" t="s">
        <v>6</v>
      </c>
      <c r="I7" s="84" t="s">
        <v>7</v>
      </c>
      <c r="J7" s="84" t="s">
        <v>4</v>
      </c>
      <c r="K7" s="84" t="s">
        <v>5</v>
      </c>
      <c r="L7" s="84" t="s">
        <v>70</v>
      </c>
      <c r="M7" s="83" t="s">
        <v>59</v>
      </c>
      <c r="N7" s="86" t="s">
        <v>8</v>
      </c>
      <c r="O7" s="86" t="s">
        <v>10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</row>
    <row r="8" spans="1:41" s="15" customFormat="1" x14ac:dyDescent="0.3">
      <c r="A8" s="88" t="s">
        <v>636</v>
      </c>
      <c r="B8" s="90">
        <v>1</v>
      </c>
      <c r="C8" s="2">
        <v>0</v>
      </c>
      <c r="D8" s="2">
        <v>0</v>
      </c>
      <c r="E8" s="2">
        <f t="shared" ref="E8:E24" si="1">C8-D8</f>
        <v>0</v>
      </c>
      <c r="F8" s="5">
        <v>0</v>
      </c>
      <c r="G8" s="2">
        <v>0</v>
      </c>
      <c r="H8" s="2">
        <v>0</v>
      </c>
      <c r="I8" s="2">
        <v>0</v>
      </c>
      <c r="J8" s="109">
        <f t="shared" ref="J8:J34" si="2">SUM(E8:I8)</f>
        <v>0</v>
      </c>
      <c r="K8" s="2">
        <f>7%*J8</f>
        <v>0</v>
      </c>
      <c r="L8" s="2">
        <f>J8-K8</f>
        <v>0</v>
      </c>
      <c r="M8" s="5" t="s">
        <v>108</v>
      </c>
      <c r="N8" s="3">
        <v>10</v>
      </c>
      <c r="O8" s="3">
        <v>11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 spans="1:41" s="96" customFormat="1" x14ac:dyDescent="0.3">
      <c r="A9" s="90" t="s">
        <v>434</v>
      </c>
      <c r="B9" s="4">
        <v>2</v>
      </c>
      <c r="C9" s="5">
        <f>'GERAL 2022'!G4</f>
        <v>580</v>
      </c>
      <c r="D9" s="5">
        <v>0</v>
      </c>
      <c r="E9" s="5">
        <f t="shared" si="1"/>
        <v>580</v>
      </c>
      <c r="F9" s="5">
        <v>50</v>
      </c>
      <c r="G9" s="2">
        <f t="shared" ref="G9:G34" si="3">(1347.3/27)</f>
        <v>49.9</v>
      </c>
      <c r="H9" s="2">
        <f>D52</f>
        <v>1.2516548463356973</v>
      </c>
      <c r="I9" s="5">
        <v>0</v>
      </c>
      <c r="J9" s="109">
        <f t="shared" si="2"/>
        <v>681.15165484633565</v>
      </c>
      <c r="K9" s="2">
        <f t="shared" ref="K9:K34" si="4">7%*J9</f>
        <v>47.680615839243501</v>
      </c>
      <c r="L9" s="2">
        <f t="shared" ref="L9:L33" si="5">J9-K9</f>
        <v>633.47103900709214</v>
      </c>
      <c r="M9" s="90" t="s">
        <v>658</v>
      </c>
      <c r="N9" s="3">
        <v>10</v>
      </c>
      <c r="O9" s="3">
        <v>11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16"/>
      <c r="AL9" s="17"/>
      <c r="AM9" s="17"/>
      <c r="AN9" s="17"/>
      <c r="AO9" s="17"/>
    </row>
    <row r="10" spans="1:41" s="6" customFormat="1" x14ac:dyDescent="0.3">
      <c r="A10" s="90" t="s">
        <v>438</v>
      </c>
      <c r="B10" s="4">
        <v>3</v>
      </c>
      <c r="C10" s="5">
        <f>'GERAL 2022'!G5</f>
        <v>550</v>
      </c>
      <c r="D10" s="5">
        <v>0</v>
      </c>
      <c r="E10" s="5">
        <f t="shared" si="1"/>
        <v>550</v>
      </c>
      <c r="F10" s="5">
        <v>0</v>
      </c>
      <c r="G10" s="2">
        <f t="shared" si="3"/>
        <v>49.9</v>
      </c>
      <c r="H10" s="2">
        <f>D54</f>
        <v>1.2516548463356973</v>
      </c>
      <c r="I10" s="5">
        <v>0</v>
      </c>
      <c r="J10" s="109">
        <f t="shared" si="2"/>
        <v>601.15165484633565</v>
      </c>
      <c r="K10" s="2">
        <f t="shared" si="4"/>
        <v>42.080615839243499</v>
      </c>
      <c r="L10" s="2">
        <f t="shared" si="5"/>
        <v>559.07103900709217</v>
      </c>
      <c r="M10" s="90" t="s">
        <v>658</v>
      </c>
      <c r="N10" s="3">
        <v>10</v>
      </c>
      <c r="O10" s="3">
        <v>11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</row>
    <row r="11" spans="1:41" s="15" customFormat="1" x14ac:dyDescent="0.3">
      <c r="A11" s="90" t="s">
        <v>263</v>
      </c>
      <c r="B11" s="90">
        <v>4</v>
      </c>
      <c r="C11" s="2">
        <f>550+(3.78823%*550)</f>
        <v>570.83526500000005</v>
      </c>
      <c r="D11" s="2">
        <v>0</v>
      </c>
      <c r="E11" s="2">
        <f t="shared" si="1"/>
        <v>570.83526500000005</v>
      </c>
      <c r="F11" s="2">
        <v>50</v>
      </c>
      <c r="G11" s="2">
        <f t="shared" si="3"/>
        <v>49.9</v>
      </c>
      <c r="H11" s="2">
        <f>D56</f>
        <v>1.2516548463356973</v>
      </c>
      <c r="I11" s="2">
        <v>19.649999999999999</v>
      </c>
      <c r="J11" s="109">
        <f t="shared" si="2"/>
        <v>691.63691984633567</v>
      </c>
      <c r="K11" s="2">
        <f t="shared" si="4"/>
        <v>48.414584389243501</v>
      </c>
      <c r="L11" s="2">
        <f t="shared" si="5"/>
        <v>643.22233545709219</v>
      </c>
      <c r="M11" s="90" t="s">
        <v>659</v>
      </c>
      <c r="N11" s="3">
        <v>10</v>
      </c>
      <c r="O11" s="4">
        <v>11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</row>
    <row r="12" spans="1:41" s="15" customFormat="1" x14ac:dyDescent="0.3">
      <c r="A12" s="90" t="s">
        <v>625</v>
      </c>
      <c r="B12" s="90">
        <v>5</v>
      </c>
      <c r="C12" s="2">
        <f>'GERAL 2023'!G7</f>
        <v>580</v>
      </c>
      <c r="D12" s="2">
        <v>0</v>
      </c>
      <c r="E12" s="2">
        <f>C12-D12</f>
        <v>580</v>
      </c>
      <c r="F12" s="2">
        <f>50</f>
        <v>50</v>
      </c>
      <c r="G12" s="2">
        <f t="shared" si="3"/>
        <v>49.9</v>
      </c>
      <c r="H12" s="2">
        <f>D58</f>
        <v>1.2516548463356973</v>
      </c>
      <c r="I12" s="2">
        <f>D57</f>
        <v>19.696666666666669</v>
      </c>
      <c r="J12" s="109">
        <f t="shared" si="2"/>
        <v>700.84832151300236</v>
      </c>
      <c r="K12" s="2">
        <f t="shared" si="4"/>
        <v>49.059382505910172</v>
      </c>
      <c r="L12" s="2">
        <f t="shared" si="5"/>
        <v>651.78893900709215</v>
      </c>
      <c r="M12" s="90" t="s">
        <v>655</v>
      </c>
      <c r="N12" s="3">
        <v>10</v>
      </c>
      <c r="O12" s="3">
        <v>11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</row>
    <row r="13" spans="1:41" s="11" customFormat="1" x14ac:dyDescent="0.3">
      <c r="A13" s="90" t="s">
        <v>627</v>
      </c>
      <c r="B13" s="90">
        <v>6</v>
      </c>
      <c r="C13" s="5">
        <f>'GERAL 2023'!G8</f>
        <v>680</v>
      </c>
      <c r="D13" s="5">
        <v>0</v>
      </c>
      <c r="E13" s="2">
        <f>C13-D13</f>
        <v>680</v>
      </c>
      <c r="F13" s="2">
        <f>100</f>
        <v>100</v>
      </c>
      <c r="G13" s="2">
        <f t="shared" si="3"/>
        <v>49.9</v>
      </c>
      <c r="H13" s="2">
        <f>D60</f>
        <v>1.7523167848699763</v>
      </c>
      <c r="I13" s="2">
        <f>D59</f>
        <v>19.893333333333334</v>
      </c>
      <c r="J13" s="109">
        <f t="shared" si="2"/>
        <v>851.5456501182033</v>
      </c>
      <c r="K13" s="2">
        <f t="shared" si="4"/>
        <v>59.608195508274235</v>
      </c>
      <c r="L13" s="2">
        <f>J13-K13</f>
        <v>791.93745460992909</v>
      </c>
      <c r="M13" s="90" t="s">
        <v>656</v>
      </c>
      <c r="N13" s="3">
        <v>10</v>
      </c>
      <c r="O13" s="3">
        <v>11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</row>
    <row r="14" spans="1:41" s="15" customFormat="1" x14ac:dyDescent="0.3">
      <c r="A14" s="90" t="s">
        <v>442</v>
      </c>
      <c r="B14" s="90">
        <v>7</v>
      </c>
      <c r="C14" s="2">
        <f>'GERAL 2022'!G9</f>
        <v>580</v>
      </c>
      <c r="D14" s="2">
        <v>0</v>
      </c>
      <c r="E14" s="5">
        <f t="shared" si="1"/>
        <v>580</v>
      </c>
      <c r="F14" s="2">
        <v>50</v>
      </c>
      <c r="G14" s="2">
        <f t="shared" si="3"/>
        <v>49.9</v>
      </c>
      <c r="H14" s="2">
        <f>D62</f>
        <v>1.2516548463356973</v>
      </c>
      <c r="I14" s="2">
        <v>0</v>
      </c>
      <c r="J14" s="109">
        <f t="shared" si="2"/>
        <v>681.15165484633565</v>
      </c>
      <c r="K14" s="2">
        <f t="shared" si="4"/>
        <v>47.680615839243501</v>
      </c>
      <c r="L14" s="2">
        <f t="shared" si="5"/>
        <v>633.47103900709214</v>
      </c>
      <c r="M14" s="90" t="s">
        <v>658</v>
      </c>
      <c r="N14" s="3">
        <v>10</v>
      </c>
      <c r="O14" s="3">
        <v>11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</row>
    <row r="15" spans="1:41" s="15" customFormat="1" x14ac:dyDescent="0.3">
      <c r="A15" s="90" t="s">
        <v>493</v>
      </c>
      <c r="B15" s="90">
        <v>8</v>
      </c>
      <c r="C15" s="2">
        <f>'GERAL 2022'!G37</f>
        <v>580</v>
      </c>
      <c r="D15" s="2">
        <v>0</v>
      </c>
      <c r="E15" s="5">
        <f t="shared" si="1"/>
        <v>580</v>
      </c>
      <c r="F15" s="2">
        <v>50</v>
      </c>
      <c r="G15" s="2">
        <f t="shared" si="3"/>
        <v>49.9</v>
      </c>
      <c r="H15" s="2">
        <f>D64</f>
        <v>1.2516548463356973</v>
      </c>
      <c r="I15" s="2">
        <v>0</v>
      </c>
      <c r="J15" s="109">
        <f t="shared" si="2"/>
        <v>681.15165484633565</v>
      </c>
      <c r="K15" s="2">
        <f t="shared" si="4"/>
        <v>47.680615839243501</v>
      </c>
      <c r="L15" s="2">
        <f t="shared" si="5"/>
        <v>633.47103900709214</v>
      </c>
      <c r="M15" s="90" t="s">
        <v>658</v>
      </c>
      <c r="N15" s="125">
        <v>10</v>
      </c>
      <c r="O15" s="3">
        <v>11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</row>
    <row r="16" spans="1:41" s="15" customFormat="1" ht="14.25" customHeight="1" x14ac:dyDescent="0.3">
      <c r="A16" s="90" t="s">
        <v>246</v>
      </c>
      <c r="B16" s="90">
        <v>9</v>
      </c>
      <c r="C16" s="2">
        <f>'GERAL 2022'!G11+(5.45129%*580)</f>
        <v>611.617482</v>
      </c>
      <c r="D16" s="2">
        <v>0</v>
      </c>
      <c r="E16" s="5">
        <f t="shared" si="1"/>
        <v>611.617482</v>
      </c>
      <c r="F16" s="2">
        <f>25</f>
        <v>25</v>
      </c>
      <c r="G16" s="2">
        <f t="shared" si="3"/>
        <v>49.9</v>
      </c>
      <c r="H16" s="2">
        <f>D66</f>
        <v>1.2516548463356973</v>
      </c>
      <c r="I16" s="2">
        <v>19.7</v>
      </c>
      <c r="J16" s="109">
        <f t="shared" si="2"/>
        <v>707.46913684633569</v>
      </c>
      <c r="K16" s="2">
        <f t="shared" si="4"/>
        <v>49.522839579243502</v>
      </c>
      <c r="L16" s="2">
        <f t="shared" si="5"/>
        <v>657.94629726709218</v>
      </c>
      <c r="M16" s="90" t="s">
        <v>660</v>
      </c>
      <c r="N16" s="125">
        <v>10</v>
      </c>
      <c r="O16" s="3">
        <v>11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</row>
    <row r="17" spans="1:46" s="69" customFormat="1" x14ac:dyDescent="0.3">
      <c r="A17" s="4" t="s">
        <v>402</v>
      </c>
      <c r="B17" s="4">
        <v>10</v>
      </c>
      <c r="C17" s="2">
        <f>'GERAL 2022'!G38</f>
        <v>550</v>
      </c>
      <c r="D17" s="2">
        <v>0</v>
      </c>
      <c r="E17" s="5">
        <f t="shared" si="1"/>
        <v>550</v>
      </c>
      <c r="F17" s="2">
        <v>50</v>
      </c>
      <c r="G17" s="2">
        <f t="shared" si="3"/>
        <v>49.9</v>
      </c>
      <c r="H17" s="2">
        <f>D68</f>
        <v>1.2516548463356973</v>
      </c>
      <c r="I17" s="2">
        <v>0</v>
      </c>
      <c r="J17" s="109">
        <f t="shared" si="2"/>
        <v>651.15165484633565</v>
      </c>
      <c r="K17" s="2">
        <f t="shared" si="4"/>
        <v>45.580615839243499</v>
      </c>
      <c r="L17" s="2">
        <f t="shared" si="5"/>
        <v>605.57103900709217</v>
      </c>
      <c r="M17" s="90" t="s">
        <v>658</v>
      </c>
      <c r="N17" s="3">
        <v>10</v>
      </c>
      <c r="O17" s="4">
        <v>11</v>
      </c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</row>
    <row r="18" spans="1:46" s="69" customFormat="1" x14ac:dyDescent="0.3">
      <c r="A18" s="4" t="s">
        <v>321</v>
      </c>
      <c r="B18" s="4">
        <v>11</v>
      </c>
      <c r="C18" s="2">
        <f>'GERAL 2022'!G13</f>
        <v>550</v>
      </c>
      <c r="D18" s="2">
        <v>0</v>
      </c>
      <c r="E18" s="5">
        <f t="shared" si="1"/>
        <v>550</v>
      </c>
      <c r="F18" s="2">
        <v>0</v>
      </c>
      <c r="G18" s="2">
        <f t="shared" si="3"/>
        <v>49.9</v>
      </c>
      <c r="H18" s="2">
        <f>D70</f>
        <v>1.2516548463356973</v>
      </c>
      <c r="I18" s="2">
        <v>0</v>
      </c>
      <c r="J18" s="109">
        <f t="shared" si="2"/>
        <v>601.15165484633565</v>
      </c>
      <c r="K18" s="2">
        <f t="shared" si="4"/>
        <v>42.080615839243499</v>
      </c>
      <c r="L18" s="2">
        <f t="shared" si="5"/>
        <v>559.07103900709217</v>
      </c>
      <c r="M18" s="5" t="s">
        <v>658</v>
      </c>
      <c r="N18" s="3">
        <v>10</v>
      </c>
      <c r="O18" s="4">
        <v>11</v>
      </c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</row>
    <row r="19" spans="1:46" s="15" customFormat="1" x14ac:dyDescent="0.3">
      <c r="A19" s="90" t="s">
        <v>566</v>
      </c>
      <c r="B19" s="90">
        <v>12</v>
      </c>
      <c r="C19" s="2">
        <f>'GERAL 2022'!G14</f>
        <v>550</v>
      </c>
      <c r="D19" s="2">
        <v>0</v>
      </c>
      <c r="E19" s="5">
        <f t="shared" si="1"/>
        <v>550</v>
      </c>
      <c r="F19" s="5">
        <v>25</v>
      </c>
      <c r="G19" s="2">
        <f t="shared" si="3"/>
        <v>49.9</v>
      </c>
      <c r="H19" s="2">
        <f>D72</f>
        <v>1.2516548463356973</v>
      </c>
      <c r="I19" s="5">
        <v>0</v>
      </c>
      <c r="J19" s="109">
        <f t="shared" si="2"/>
        <v>626.15165484633565</v>
      </c>
      <c r="K19" s="2">
        <f t="shared" si="4"/>
        <v>43.830615839243499</v>
      </c>
      <c r="L19" s="2">
        <f t="shared" si="5"/>
        <v>582.32103900709217</v>
      </c>
      <c r="M19" s="90" t="s">
        <v>658</v>
      </c>
      <c r="N19" s="3">
        <v>10</v>
      </c>
      <c r="O19" s="3">
        <v>11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</row>
    <row r="20" spans="1:46" s="11" customFormat="1" x14ac:dyDescent="0.3">
      <c r="A20" s="90" t="s">
        <v>362</v>
      </c>
      <c r="B20" s="90">
        <v>13</v>
      </c>
      <c r="C20" s="5">
        <f>'GERAL 2022'!G15</f>
        <v>550</v>
      </c>
      <c r="D20" s="5">
        <v>0</v>
      </c>
      <c r="E20" s="5">
        <f t="shared" si="1"/>
        <v>550</v>
      </c>
      <c r="F20" s="2">
        <v>0</v>
      </c>
      <c r="G20" s="2">
        <f t="shared" si="3"/>
        <v>49.9</v>
      </c>
      <c r="H20" s="2">
        <f>D74</f>
        <v>1.2516548463356973</v>
      </c>
      <c r="I20" s="2">
        <v>0</v>
      </c>
      <c r="J20" s="109">
        <f t="shared" si="2"/>
        <v>601.15165484633565</v>
      </c>
      <c r="K20" s="2">
        <f t="shared" si="4"/>
        <v>42.080615839243499</v>
      </c>
      <c r="L20" s="2">
        <f t="shared" si="5"/>
        <v>559.07103900709217</v>
      </c>
      <c r="M20" s="90" t="s">
        <v>658</v>
      </c>
      <c r="N20" s="3">
        <v>10</v>
      </c>
      <c r="O20" s="3">
        <v>11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</row>
    <row r="21" spans="1:46" s="69" customFormat="1" x14ac:dyDescent="0.3">
      <c r="A21" s="4" t="s">
        <v>559</v>
      </c>
      <c r="B21" s="4">
        <v>14</v>
      </c>
      <c r="C21" s="2">
        <f>'GERAL 2022'!G39</f>
        <v>580</v>
      </c>
      <c r="D21" s="2">
        <v>0</v>
      </c>
      <c r="E21" s="5">
        <f t="shared" si="1"/>
        <v>580</v>
      </c>
      <c r="F21" s="2">
        <f>50</f>
        <v>50</v>
      </c>
      <c r="G21" s="2">
        <f t="shared" si="3"/>
        <v>49.9</v>
      </c>
      <c r="H21" s="2">
        <f>D76</f>
        <v>1.2516548463356973</v>
      </c>
      <c r="I21" s="2">
        <f>D75</f>
        <v>19.696666666666669</v>
      </c>
      <c r="J21" s="109">
        <f t="shared" si="2"/>
        <v>700.84832151300236</v>
      </c>
      <c r="K21" s="2">
        <f t="shared" si="4"/>
        <v>49.059382505910172</v>
      </c>
      <c r="L21" s="2">
        <f t="shared" si="5"/>
        <v>651.78893900709215</v>
      </c>
      <c r="M21" s="90" t="s">
        <v>661</v>
      </c>
      <c r="N21" s="3">
        <v>10</v>
      </c>
      <c r="O21" s="4">
        <v>11</v>
      </c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</row>
    <row r="22" spans="1:46" s="6" customFormat="1" x14ac:dyDescent="0.3">
      <c r="A22" s="90"/>
      <c r="B22" s="90">
        <v>15</v>
      </c>
      <c r="C22" s="2">
        <v>0</v>
      </c>
      <c r="D22" s="2">
        <v>0</v>
      </c>
      <c r="E22" s="5">
        <f t="shared" si="1"/>
        <v>0</v>
      </c>
      <c r="F22" s="2">
        <v>0</v>
      </c>
      <c r="G22" s="2">
        <v>0</v>
      </c>
      <c r="H22" s="2">
        <v>0</v>
      </c>
      <c r="I22" s="2">
        <v>0</v>
      </c>
      <c r="J22" s="109">
        <f t="shared" si="2"/>
        <v>0</v>
      </c>
      <c r="K22" s="2">
        <f t="shared" si="4"/>
        <v>0</v>
      </c>
      <c r="L22" s="2">
        <f t="shared" si="5"/>
        <v>0</v>
      </c>
      <c r="M22" s="90" t="s">
        <v>525</v>
      </c>
      <c r="N22" s="3"/>
      <c r="O22" s="3"/>
      <c r="P22" s="9"/>
      <c r="Q22" s="9"/>
      <c r="R22" s="9"/>
      <c r="S22" s="9"/>
      <c r="T22" s="9"/>
      <c r="U22" s="9"/>
      <c r="V22" s="9"/>
      <c r="W22" s="9"/>
      <c r="X22" s="9"/>
    </row>
    <row r="23" spans="1:46" s="11" customFormat="1" x14ac:dyDescent="0.3">
      <c r="A23" s="117" t="s">
        <v>665</v>
      </c>
      <c r="B23" s="3">
        <v>16</v>
      </c>
      <c r="C23" s="2">
        <f>'GERAL 2023'!G37/31*22</f>
        <v>432.90322580645159</v>
      </c>
      <c r="D23" s="2">
        <v>0</v>
      </c>
      <c r="E23" s="5">
        <f t="shared" si="1"/>
        <v>432.90322580645159</v>
      </c>
      <c r="F23" s="2">
        <v>0</v>
      </c>
      <c r="G23" s="2">
        <f>(1347.3/27)/31*22</f>
        <v>35.412903225806453</v>
      </c>
      <c r="H23" s="2">
        <f>D80/31*22</f>
        <v>0.88827118127049487</v>
      </c>
      <c r="I23" s="2">
        <f>D79</f>
        <v>19.78</v>
      </c>
      <c r="J23" s="109">
        <f t="shared" si="2"/>
        <v>488.9844002135286</v>
      </c>
      <c r="K23" s="2">
        <f t="shared" si="4"/>
        <v>34.228908014947002</v>
      </c>
      <c r="L23" s="2">
        <f t="shared" si="5"/>
        <v>454.75549219858158</v>
      </c>
      <c r="M23" s="90" t="s">
        <v>666</v>
      </c>
      <c r="N23" s="3">
        <v>10</v>
      </c>
      <c r="O23" s="3">
        <v>11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</row>
    <row r="24" spans="1:46" s="11" customFormat="1" x14ac:dyDescent="0.3">
      <c r="A24" s="88" t="s">
        <v>392</v>
      </c>
      <c r="B24" s="88">
        <v>17</v>
      </c>
      <c r="C24" s="2">
        <f>'GERAL 2022'!G41</f>
        <v>580</v>
      </c>
      <c r="D24" s="2">
        <v>0</v>
      </c>
      <c r="E24" s="5">
        <f t="shared" si="1"/>
        <v>580</v>
      </c>
      <c r="F24" s="2">
        <v>0</v>
      </c>
      <c r="G24" s="2">
        <f t="shared" si="3"/>
        <v>49.9</v>
      </c>
      <c r="H24" s="2">
        <f>D82</f>
        <v>1.2516548463356973</v>
      </c>
      <c r="I24" s="2">
        <v>0</v>
      </c>
      <c r="J24" s="109">
        <f t="shared" si="2"/>
        <v>631.15165484633565</v>
      </c>
      <c r="K24" s="2">
        <f t="shared" si="4"/>
        <v>44.180615839243501</v>
      </c>
      <c r="L24" s="2">
        <f t="shared" si="5"/>
        <v>586.97103900709214</v>
      </c>
      <c r="M24" s="5" t="s">
        <v>658</v>
      </c>
      <c r="N24" s="3">
        <v>10</v>
      </c>
      <c r="O24" s="3">
        <v>11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</row>
    <row r="25" spans="1:46" s="11" customFormat="1" x14ac:dyDescent="0.3">
      <c r="A25" s="88" t="s">
        <v>602</v>
      </c>
      <c r="B25" s="90">
        <v>18</v>
      </c>
      <c r="C25" s="2">
        <f>'GERAL 2023'!G20</f>
        <v>640</v>
      </c>
      <c r="D25" s="2">
        <v>0</v>
      </c>
      <c r="E25" s="5">
        <f>C25-D25</f>
        <v>640</v>
      </c>
      <c r="F25" s="2">
        <v>50</v>
      </c>
      <c r="G25" s="2">
        <f t="shared" si="3"/>
        <v>49.9</v>
      </c>
      <c r="H25" s="2">
        <f>D84</f>
        <v>1.2516548463356973</v>
      </c>
      <c r="I25" s="2">
        <v>19.809999999999999</v>
      </c>
      <c r="J25" s="109">
        <f t="shared" si="2"/>
        <v>760.96165484633559</v>
      </c>
      <c r="K25" s="2">
        <f t="shared" si="4"/>
        <v>53.267315839243494</v>
      </c>
      <c r="L25" s="2">
        <f t="shared" si="5"/>
        <v>707.69433900709214</v>
      </c>
      <c r="M25" s="90" t="s">
        <v>667</v>
      </c>
      <c r="N25" s="3">
        <v>10</v>
      </c>
      <c r="O25" s="3">
        <v>11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</row>
    <row r="26" spans="1:46" s="11" customFormat="1" x14ac:dyDescent="0.3">
      <c r="A26" s="90" t="s">
        <v>500</v>
      </c>
      <c r="B26" s="90">
        <v>19</v>
      </c>
      <c r="C26" s="2">
        <f>'GERAL 2022'!G43</f>
        <v>550</v>
      </c>
      <c r="D26" s="2">
        <v>0</v>
      </c>
      <c r="E26" s="5">
        <f>(C26-D26)</f>
        <v>550</v>
      </c>
      <c r="F26" s="2">
        <v>50</v>
      </c>
      <c r="G26" s="2">
        <f t="shared" si="3"/>
        <v>49.9</v>
      </c>
      <c r="H26" s="2">
        <f>D86</f>
        <v>1.2516548463356973</v>
      </c>
      <c r="I26" s="2">
        <v>0</v>
      </c>
      <c r="J26" s="109">
        <f t="shared" si="2"/>
        <v>651.15165484633565</v>
      </c>
      <c r="K26" s="2">
        <f t="shared" si="4"/>
        <v>45.580615839243499</v>
      </c>
      <c r="L26" s="2">
        <f t="shared" si="5"/>
        <v>605.57103900709217</v>
      </c>
      <c r="M26" s="90" t="s">
        <v>658</v>
      </c>
      <c r="N26" s="3">
        <v>10</v>
      </c>
      <c r="O26" s="3">
        <v>11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</row>
    <row r="27" spans="1:46" s="11" customFormat="1" x14ac:dyDescent="0.3">
      <c r="A27" s="88" t="s">
        <v>345</v>
      </c>
      <c r="B27" s="90">
        <v>20</v>
      </c>
      <c r="C27" s="2">
        <f>'GERAL 2022'!G22</f>
        <v>660</v>
      </c>
      <c r="D27" s="2">
        <v>0</v>
      </c>
      <c r="E27" s="5">
        <f t="shared" ref="E27:E34" si="6">C27-D27</f>
        <v>660</v>
      </c>
      <c r="F27" s="2">
        <v>50</v>
      </c>
      <c r="G27" s="2">
        <f t="shared" si="3"/>
        <v>49.9</v>
      </c>
      <c r="H27" s="2">
        <f>D88</f>
        <v>1.2516548463356973</v>
      </c>
      <c r="I27" s="2">
        <v>0</v>
      </c>
      <c r="J27" s="109">
        <f t="shared" si="2"/>
        <v>761.15165484633565</v>
      </c>
      <c r="K27" s="2">
        <f t="shared" si="4"/>
        <v>53.280615839243502</v>
      </c>
      <c r="L27" s="2">
        <f t="shared" si="5"/>
        <v>707.87103900709212</v>
      </c>
      <c r="M27" s="90" t="s">
        <v>658</v>
      </c>
      <c r="N27" s="125">
        <v>10</v>
      </c>
      <c r="O27" s="3">
        <v>11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</row>
    <row r="28" spans="1:46" s="11" customFormat="1" x14ac:dyDescent="0.3">
      <c r="A28" s="88" t="s">
        <v>346</v>
      </c>
      <c r="B28" s="90">
        <v>21</v>
      </c>
      <c r="C28" s="2">
        <f>'GERAL 2022'!G23</f>
        <v>500</v>
      </c>
      <c r="D28" s="2">
        <v>0</v>
      </c>
      <c r="E28" s="5">
        <f t="shared" si="6"/>
        <v>500</v>
      </c>
      <c r="F28" s="2">
        <v>25</v>
      </c>
      <c r="G28" s="2">
        <f t="shared" si="3"/>
        <v>49.9</v>
      </c>
      <c r="H28" s="2">
        <f>D90</f>
        <v>1.2516548463356973</v>
      </c>
      <c r="I28" s="2">
        <v>0</v>
      </c>
      <c r="J28" s="109">
        <f t="shared" si="2"/>
        <v>576.15165484633565</v>
      </c>
      <c r="K28" s="2">
        <f t="shared" si="4"/>
        <v>40.330615839243499</v>
      </c>
      <c r="L28" s="2">
        <f t="shared" si="5"/>
        <v>535.82103900709217</v>
      </c>
      <c r="M28" s="90" t="s">
        <v>658</v>
      </c>
      <c r="N28" s="125">
        <v>10</v>
      </c>
      <c r="O28" s="3">
        <v>11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</row>
    <row r="29" spans="1:46" s="11" customFormat="1" ht="15.75" customHeight="1" x14ac:dyDescent="0.3">
      <c r="A29" s="88" t="s">
        <v>119</v>
      </c>
      <c r="B29" s="90">
        <v>22</v>
      </c>
      <c r="C29" s="2">
        <f>'GERAL 2022'!G24</f>
        <v>500</v>
      </c>
      <c r="D29" s="2">
        <v>0</v>
      </c>
      <c r="E29" s="5">
        <f t="shared" si="6"/>
        <v>500</v>
      </c>
      <c r="F29" s="2">
        <v>25</v>
      </c>
      <c r="G29" s="2">
        <f t="shared" si="3"/>
        <v>49.9</v>
      </c>
      <c r="H29" s="2">
        <f>D92</f>
        <v>1.2516548463356973</v>
      </c>
      <c r="I29" s="2">
        <v>0</v>
      </c>
      <c r="J29" s="109">
        <f t="shared" si="2"/>
        <v>576.15165484633565</v>
      </c>
      <c r="K29" s="2">
        <f t="shared" si="4"/>
        <v>40.330615839243499</v>
      </c>
      <c r="L29" s="2">
        <f t="shared" si="5"/>
        <v>535.82103900709217</v>
      </c>
      <c r="M29" s="90" t="s">
        <v>658</v>
      </c>
      <c r="N29" s="125">
        <v>10</v>
      </c>
      <c r="O29" s="3">
        <v>11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</row>
    <row r="30" spans="1:46" s="11" customFormat="1" x14ac:dyDescent="0.3">
      <c r="A30" s="88" t="s">
        <v>379</v>
      </c>
      <c r="B30" s="90">
        <v>23</v>
      </c>
      <c r="C30" s="2">
        <f>'GERAL 2022'!G25</f>
        <v>550</v>
      </c>
      <c r="D30" s="2">
        <v>0</v>
      </c>
      <c r="E30" s="5">
        <f t="shared" si="6"/>
        <v>550</v>
      </c>
      <c r="F30" s="2">
        <v>0</v>
      </c>
      <c r="G30" s="2">
        <f t="shared" si="3"/>
        <v>49.9</v>
      </c>
      <c r="H30" s="2">
        <f>D94</f>
        <v>1.2516548463356973</v>
      </c>
      <c r="I30" s="2">
        <v>0</v>
      </c>
      <c r="J30" s="109">
        <f t="shared" si="2"/>
        <v>601.15165484633565</v>
      </c>
      <c r="K30" s="2">
        <f t="shared" si="4"/>
        <v>42.080615839243499</v>
      </c>
      <c r="L30" s="2">
        <f t="shared" si="5"/>
        <v>559.07103900709217</v>
      </c>
      <c r="M30" s="90" t="s">
        <v>658</v>
      </c>
      <c r="N30" s="3">
        <v>10</v>
      </c>
      <c r="O30" s="3">
        <v>11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</row>
    <row r="31" spans="1:46" s="6" customFormat="1" x14ac:dyDescent="0.3">
      <c r="A31" s="90" t="s">
        <v>267</v>
      </c>
      <c r="B31" s="90">
        <v>24</v>
      </c>
      <c r="C31" s="2">
        <f>(650+(3.78823%*650))/31*2</f>
        <v>43.524096451612905</v>
      </c>
      <c r="D31" s="2">
        <v>0</v>
      </c>
      <c r="E31" s="5">
        <f t="shared" si="6"/>
        <v>43.524096451612905</v>
      </c>
      <c r="F31" s="2">
        <f>50/31*2</f>
        <v>3.225806451612903</v>
      </c>
      <c r="G31" s="2">
        <f>(1347.3/27)/31*2</f>
        <v>3.2193548387096773</v>
      </c>
      <c r="H31" s="2">
        <f>D96/31*2</f>
        <v>0.11305269579806299</v>
      </c>
      <c r="I31" s="2">
        <v>0</v>
      </c>
      <c r="J31" s="109">
        <f t="shared" si="2"/>
        <v>50.082310437733547</v>
      </c>
      <c r="K31" s="2">
        <f t="shared" si="4"/>
        <v>3.5057617306413484</v>
      </c>
      <c r="L31" s="2">
        <f t="shared" si="5"/>
        <v>46.576548707092201</v>
      </c>
      <c r="M31" s="90" t="s">
        <v>668</v>
      </c>
      <c r="N31" s="125">
        <v>10</v>
      </c>
      <c r="O31" s="3">
        <v>11</v>
      </c>
      <c r="P31" s="9"/>
      <c r="Q31" s="9"/>
      <c r="R31" s="9"/>
      <c r="S31" s="9"/>
      <c r="T31" s="9"/>
      <c r="U31" s="9"/>
      <c r="V31" s="9"/>
      <c r="W31" s="9"/>
      <c r="X31" s="9"/>
    </row>
    <row r="32" spans="1:46" s="6" customFormat="1" x14ac:dyDescent="0.3">
      <c r="A32" s="11" t="s">
        <v>563</v>
      </c>
      <c r="B32" s="90">
        <v>25</v>
      </c>
      <c r="C32" s="2">
        <f>'GERAL 2022'!G44</f>
        <v>610</v>
      </c>
      <c r="D32" s="2">
        <v>0</v>
      </c>
      <c r="E32" s="5">
        <f t="shared" si="6"/>
        <v>610</v>
      </c>
      <c r="F32" s="2">
        <v>0</v>
      </c>
      <c r="G32" s="2">
        <f t="shared" si="3"/>
        <v>49.9</v>
      </c>
      <c r="H32" s="2">
        <f>D98</f>
        <v>1.2516548463356973</v>
      </c>
      <c r="I32" s="2">
        <f>D97</f>
        <v>19.754999999999999</v>
      </c>
      <c r="J32" s="109">
        <f t="shared" si="2"/>
        <v>680.90665484633564</v>
      </c>
      <c r="K32" s="2">
        <f t="shared" si="4"/>
        <v>47.6634658392435</v>
      </c>
      <c r="L32" s="2">
        <f t="shared" si="5"/>
        <v>633.24318900709216</v>
      </c>
      <c r="M32" s="90" t="s">
        <v>661</v>
      </c>
      <c r="N32" s="125">
        <v>10</v>
      </c>
      <c r="O32" s="3">
        <v>11</v>
      </c>
      <c r="P32" s="9"/>
      <c r="Q32" s="9"/>
      <c r="R32" s="9"/>
      <c r="S32" s="9"/>
      <c r="T32" s="9"/>
      <c r="U32" s="9"/>
      <c r="V32" s="9"/>
      <c r="W32" s="9"/>
      <c r="X32" s="9"/>
    </row>
    <row r="33" spans="1:59" s="11" customFormat="1" x14ac:dyDescent="0.3">
      <c r="A33" s="88" t="s">
        <v>348</v>
      </c>
      <c r="B33" s="90">
        <v>26</v>
      </c>
      <c r="C33" s="2">
        <f>'GERAL 2022'!G28</f>
        <v>560</v>
      </c>
      <c r="D33" s="2">
        <v>0</v>
      </c>
      <c r="E33" s="5">
        <f t="shared" si="6"/>
        <v>560</v>
      </c>
      <c r="F33" s="2">
        <v>25</v>
      </c>
      <c r="G33" s="2">
        <f t="shared" si="3"/>
        <v>49.9</v>
      </c>
      <c r="H33" s="2">
        <f>D100</f>
        <v>1.2516548463356973</v>
      </c>
      <c r="I33" s="2">
        <v>0</v>
      </c>
      <c r="J33" s="109">
        <f t="shared" si="2"/>
        <v>636.15165484633565</v>
      </c>
      <c r="K33" s="2">
        <f t="shared" si="4"/>
        <v>44.530615839243502</v>
      </c>
      <c r="L33" s="2">
        <f t="shared" si="5"/>
        <v>591.62103900709212</v>
      </c>
      <c r="M33" s="90" t="s">
        <v>658</v>
      </c>
      <c r="N33" s="3">
        <v>10</v>
      </c>
      <c r="O33" s="3">
        <v>11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</row>
    <row r="34" spans="1:59" s="11" customFormat="1" x14ac:dyDescent="0.3">
      <c r="A34" s="88" t="s">
        <v>349</v>
      </c>
      <c r="B34" s="90">
        <v>27</v>
      </c>
      <c r="C34" s="72">
        <f>'GERAL 2022'!G45</f>
        <v>580</v>
      </c>
      <c r="D34" s="72">
        <v>0</v>
      </c>
      <c r="E34" s="5">
        <f t="shared" si="6"/>
        <v>580</v>
      </c>
      <c r="F34" s="72">
        <v>0</v>
      </c>
      <c r="G34" s="2">
        <f t="shared" si="3"/>
        <v>49.9</v>
      </c>
      <c r="H34" s="72">
        <f>D102</f>
        <v>1.2516548463356973</v>
      </c>
      <c r="I34" s="72">
        <v>0</v>
      </c>
      <c r="J34" s="109">
        <f t="shared" si="2"/>
        <v>631.15165484633565</v>
      </c>
      <c r="K34" s="2">
        <f t="shared" si="4"/>
        <v>44.180615839243501</v>
      </c>
      <c r="L34" s="2">
        <f>J34-K34</f>
        <v>586.97103900709214</v>
      </c>
      <c r="M34" s="90" t="s">
        <v>658</v>
      </c>
      <c r="N34" s="3">
        <v>10</v>
      </c>
      <c r="O34" s="3">
        <v>11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</row>
    <row r="35" spans="1:59" s="11" customFormat="1" x14ac:dyDescent="0.3">
      <c r="A35" s="518" t="s">
        <v>4</v>
      </c>
      <c r="B35" s="518"/>
      <c r="C35" s="109">
        <f>SUM(C8:C34)</f>
        <v>13718.880069258063</v>
      </c>
      <c r="D35" s="109">
        <f t="shared" ref="D35:L35" si="7">SUM(D8:D34)</f>
        <v>0</v>
      </c>
      <c r="E35" s="109">
        <f>SUM(E8:E34)</f>
        <v>13718.880069258063</v>
      </c>
      <c r="F35" s="109">
        <f t="shared" si="7"/>
        <v>728.22580645161293</v>
      </c>
      <c r="G35" s="109">
        <f t="shared" si="7"/>
        <v>1186.3322580645161</v>
      </c>
      <c r="H35" s="109">
        <f t="shared" si="7"/>
        <v>30.290047281323869</v>
      </c>
      <c r="I35" s="109">
        <f t="shared" si="7"/>
        <v>157.98166666666665</v>
      </c>
      <c r="J35" s="109">
        <f t="shared" si="7"/>
        <v>15821.709847722183</v>
      </c>
      <c r="K35" s="109">
        <f t="shared" si="7"/>
        <v>1107.5196893405528</v>
      </c>
      <c r="L35" s="109">
        <f t="shared" si="7"/>
        <v>14714.190158381634</v>
      </c>
      <c r="M35" s="90"/>
      <c r="N35" s="3"/>
      <c r="O35" s="3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</row>
    <row r="36" spans="1:59" s="11" customFormat="1" ht="28.5" customHeight="1" x14ac:dyDescent="0.3">
      <c r="A36" s="521" t="s">
        <v>664</v>
      </c>
      <c r="B36" s="521"/>
      <c r="C36" s="521"/>
      <c r="D36" s="521"/>
      <c r="E36" s="521"/>
      <c r="F36" s="521"/>
      <c r="G36" s="521"/>
      <c r="H36" s="521"/>
      <c r="I36" s="521"/>
      <c r="J36" s="521"/>
      <c r="K36" s="521"/>
      <c r="L36" s="521"/>
      <c r="M36" s="521"/>
      <c r="N36" s="521"/>
      <c r="O36" s="521"/>
      <c r="P36" s="10"/>
      <c r="Q36" s="10"/>
      <c r="R36" s="10"/>
      <c r="S36" s="10"/>
      <c r="T36" s="10"/>
      <c r="U36" s="10"/>
      <c r="V36" s="10"/>
      <c r="W36" s="10"/>
      <c r="X36" s="10"/>
    </row>
    <row r="37" spans="1:59" s="11" customFormat="1" ht="27.75" customHeight="1" x14ac:dyDescent="0.3">
      <c r="A37" s="127" t="s">
        <v>3</v>
      </c>
      <c r="B37" s="127" t="s">
        <v>0</v>
      </c>
      <c r="C37" s="128" t="s">
        <v>174</v>
      </c>
      <c r="D37" s="555" t="s">
        <v>175</v>
      </c>
      <c r="E37" s="556"/>
      <c r="F37" s="556"/>
      <c r="G37" s="556"/>
      <c r="H37" s="556"/>
      <c r="I37" s="557"/>
      <c r="J37" s="128" t="s">
        <v>4</v>
      </c>
      <c r="K37" s="128" t="s">
        <v>5</v>
      </c>
      <c r="L37" s="128" t="s">
        <v>70</v>
      </c>
      <c r="M37" s="127" t="s">
        <v>59</v>
      </c>
      <c r="N37" s="130" t="s">
        <v>8</v>
      </c>
      <c r="O37" s="130" t="s">
        <v>10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59" s="15" customFormat="1" x14ac:dyDescent="0.3">
      <c r="A38" s="90" t="s">
        <v>552</v>
      </c>
      <c r="B38" s="90">
        <v>6</v>
      </c>
      <c r="C38" s="2">
        <v>1475.65</v>
      </c>
      <c r="D38" s="546" t="s">
        <v>605</v>
      </c>
      <c r="E38" s="547"/>
      <c r="F38" s="547"/>
      <c r="G38" s="547"/>
      <c r="H38" s="547"/>
      <c r="I38" s="548"/>
      <c r="J38" s="2">
        <v>184.46</v>
      </c>
      <c r="K38" s="2">
        <f>7%*J38</f>
        <v>12.912200000000002</v>
      </c>
      <c r="L38" s="2">
        <f>J38-K38</f>
        <v>171.5478</v>
      </c>
      <c r="M38" s="90" t="s">
        <v>671</v>
      </c>
      <c r="N38" s="3">
        <v>10</v>
      </c>
      <c r="O38" s="3">
        <v>11</v>
      </c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</row>
    <row r="39" spans="1:59" s="15" customFormat="1" x14ac:dyDescent="0.3">
      <c r="A39" s="90" t="s">
        <v>267</v>
      </c>
      <c r="B39" s="90">
        <v>24</v>
      </c>
      <c r="C39" s="2">
        <v>1146.8499999999999</v>
      </c>
      <c r="D39" s="546" t="s">
        <v>669</v>
      </c>
      <c r="E39" s="547"/>
      <c r="F39" s="547"/>
      <c r="G39" s="547"/>
      <c r="H39" s="547"/>
      <c r="I39" s="548"/>
      <c r="J39" s="2">
        <v>1146.8499999999999</v>
      </c>
      <c r="K39" s="2">
        <f>7%*J39</f>
        <v>80.279499999999999</v>
      </c>
      <c r="L39" s="2">
        <f>J39-K39</f>
        <v>1066.5704999999998</v>
      </c>
      <c r="M39" s="90" t="s">
        <v>670</v>
      </c>
      <c r="N39" s="3">
        <v>10</v>
      </c>
      <c r="O39" s="3">
        <v>11</v>
      </c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</row>
    <row r="40" spans="1:59" s="11" customFormat="1" x14ac:dyDescent="0.3">
      <c r="A40" s="518" t="s">
        <v>4</v>
      </c>
      <c r="B40" s="518"/>
      <c r="C40" s="518"/>
      <c r="D40" s="518"/>
      <c r="E40" s="518"/>
      <c r="F40" s="518"/>
      <c r="G40" s="518"/>
      <c r="H40" s="518"/>
      <c r="I40" s="518"/>
      <c r="J40" s="109">
        <f>SUM(J38:J39)</f>
        <v>1331.31</v>
      </c>
      <c r="K40" s="109">
        <f>SUM(K38:K39)</f>
        <v>93.191699999999997</v>
      </c>
      <c r="L40" s="109">
        <f>SUM(L38:L39)</f>
        <v>1238.1182999999999</v>
      </c>
      <c r="M40" s="527"/>
      <c r="N40" s="527"/>
      <c r="O40" s="527"/>
      <c r="P40" s="10"/>
      <c r="Q40" s="10"/>
      <c r="R40" s="10"/>
      <c r="S40" s="10"/>
      <c r="T40" s="10"/>
      <c r="U40" s="10"/>
      <c r="V40" s="10"/>
      <c r="W40" s="10"/>
      <c r="X40" s="10"/>
    </row>
    <row r="41" spans="1:59" s="11" customFormat="1" x14ac:dyDescent="0.3">
      <c r="A41" s="518"/>
      <c r="B41" s="518"/>
      <c r="C41" s="518"/>
      <c r="D41" s="518"/>
      <c r="E41" s="518"/>
      <c r="F41" s="518"/>
      <c r="G41" s="518"/>
      <c r="H41" s="518"/>
      <c r="I41" s="518"/>
      <c r="J41" s="518"/>
      <c r="K41" s="518"/>
      <c r="L41" s="518"/>
      <c r="M41" s="518"/>
      <c r="N41" s="109"/>
      <c r="O41" s="109"/>
      <c r="P41" s="10"/>
      <c r="Q41" s="10"/>
      <c r="R41" s="10"/>
      <c r="S41" s="10"/>
      <c r="T41" s="10"/>
      <c r="U41" s="10"/>
      <c r="V41" s="10"/>
      <c r="W41" s="10"/>
      <c r="X41" s="10"/>
    </row>
    <row r="42" spans="1:59" s="11" customFormat="1" ht="28.5" customHeight="1" x14ac:dyDescent="0.3">
      <c r="A42" s="521" t="s">
        <v>177</v>
      </c>
      <c r="B42" s="521"/>
      <c r="C42" s="521"/>
      <c r="D42" s="521"/>
      <c r="E42" s="521"/>
      <c r="F42" s="521"/>
      <c r="G42" s="521"/>
      <c r="H42" s="521"/>
      <c r="I42" s="521"/>
      <c r="J42" s="521"/>
      <c r="K42" s="521"/>
      <c r="L42" s="521"/>
      <c r="M42" s="521"/>
      <c r="N42" s="521"/>
      <c r="O42" s="521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 spans="1:59" s="11" customFormat="1" ht="25.5" customHeight="1" x14ac:dyDescent="0.3">
      <c r="A43" s="126" t="s">
        <v>173</v>
      </c>
      <c r="B43" s="126" t="s">
        <v>0</v>
      </c>
      <c r="C43" s="126" t="s">
        <v>174</v>
      </c>
      <c r="D43" s="521" t="s">
        <v>175</v>
      </c>
      <c r="E43" s="521"/>
      <c r="F43" s="521"/>
      <c r="G43" s="521"/>
      <c r="H43" s="521"/>
      <c r="I43" s="521"/>
      <c r="J43" s="129" t="s">
        <v>4</v>
      </c>
      <c r="K43" s="128"/>
      <c r="L43" s="128"/>
      <c r="M43" s="127" t="s">
        <v>59</v>
      </c>
      <c r="N43" s="130" t="s">
        <v>8</v>
      </c>
      <c r="O43" s="130" t="s">
        <v>10</v>
      </c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 spans="1:59" s="69" customFormat="1" ht="15" customHeight="1" x14ac:dyDescent="0.3">
      <c r="A44" s="4" t="s">
        <v>132</v>
      </c>
      <c r="B44" s="4">
        <v>1</v>
      </c>
      <c r="C44" s="5">
        <f>4977.59-1520</f>
        <v>3457.59</v>
      </c>
      <c r="D44" s="546" t="s">
        <v>284</v>
      </c>
      <c r="E44" s="547"/>
      <c r="F44" s="547"/>
      <c r="G44" s="547"/>
      <c r="H44" s="547"/>
      <c r="I44" s="548"/>
      <c r="J44" s="5">
        <f>4977.59-1520</f>
        <v>3457.59</v>
      </c>
      <c r="K44" s="5"/>
      <c r="L44" s="5"/>
      <c r="M44" s="5" t="s">
        <v>510</v>
      </c>
      <c r="N44" s="140">
        <v>10</v>
      </c>
      <c r="O44" s="4">
        <v>11</v>
      </c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</row>
    <row r="45" spans="1:59" s="11" customFormat="1" x14ac:dyDescent="0.3">
      <c r="A45" s="90" t="s">
        <v>87</v>
      </c>
      <c r="B45" s="90">
        <v>25</v>
      </c>
      <c r="C45" s="5">
        <v>3013.33</v>
      </c>
      <c r="D45" s="546" t="s">
        <v>543</v>
      </c>
      <c r="E45" s="547"/>
      <c r="F45" s="547"/>
      <c r="G45" s="547"/>
      <c r="H45" s="547"/>
      <c r="I45" s="548"/>
      <c r="J45" s="5">
        <v>3040.58</v>
      </c>
      <c r="K45" s="2"/>
      <c r="L45" s="2"/>
      <c r="M45" s="5" t="s">
        <v>545</v>
      </c>
      <c r="N45" s="98">
        <v>10</v>
      </c>
      <c r="O45" s="3">
        <v>11</v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</row>
    <row r="46" spans="1:59" s="40" customFormat="1" ht="15" customHeight="1" thickBot="1" x14ac:dyDescent="0.35">
      <c r="A46" s="534" t="s">
        <v>4</v>
      </c>
      <c r="B46" s="549"/>
      <c r="C46" s="549"/>
      <c r="D46" s="549"/>
      <c r="E46" s="549"/>
      <c r="F46" s="549"/>
      <c r="G46" s="549"/>
      <c r="H46" s="549"/>
      <c r="I46" s="535"/>
      <c r="J46" s="114">
        <f>SUM(J44:J45)</f>
        <v>6498.17</v>
      </c>
      <c r="K46" s="90"/>
      <c r="L46" s="90"/>
      <c r="M46" s="90"/>
      <c r="N46" s="90"/>
      <c r="O46" s="9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1"/>
      <c r="AT46" s="11"/>
      <c r="AU46" s="11"/>
      <c r="AV46" s="11"/>
    </row>
    <row r="47" spans="1:59" s="19" customFormat="1" x14ac:dyDescent="0.3">
      <c r="A47" s="179"/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1"/>
      <c r="O47" s="182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</row>
    <row r="48" spans="1:59" s="40" customFormat="1" x14ac:dyDescent="0.3">
      <c r="A48" s="575" t="s">
        <v>9</v>
      </c>
      <c r="B48" s="576"/>
      <c r="C48" s="576"/>
      <c r="D48" s="577"/>
      <c r="E48" s="574"/>
      <c r="F48" s="540"/>
      <c r="G48" s="540"/>
      <c r="H48" s="46"/>
      <c r="I48" s="46"/>
      <c r="J48" s="46"/>
      <c r="K48" s="46"/>
      <c r="L48" s="46"/>
      <c r="M48" s="544" t="s">
        <v>315</v>
      </c>
      <c r="N48" s="544"/>
      <c r="O48" s="545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1"/>
      <c r="AT48" s="11"/>
      <c r="AU48" s="11"/>
      <c r="AV48" s="11"/>
    </row>
    <row r="49" spans="1:48" s="40" customFormat="1" x14ac:dyDescent="0.3">
      <c r="A49" s="76" t="s">
        <v>40</v>
      </c>
      <c r="B49" s="77">
        <f>'GERAL 2022'!J35</f>
        <v>118.18</v>
      </c>
      <c r="C49" s="78">
        <v>6</v>
      </c>
      <c r="D49" s="77">
        <f t="shared" ref="D49:D102" si="8">B49/C49</f>
        <v>19.696666666666669</v>
      </c>
      <c r="E49" s="574"/>
      <c r="F49" s="540"/>
      <c r="G49" s="540"/>
      <c r="H49" s="11"/>
      <c r="I49" s="11"/>
      <c r="J49" s="87"/>
      <c r="K49" s="87"/>
      <c r="L49" s="87"/>
      <c r="M49" s="527" t="s">
        <v>94</v>
      </c>
      <c r="N49" s="527"/>
      <c r="O49" s="114">
        <f>K35+K40</f>
        <v>1200.7113893405528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1"/>
      <c r="AT49" s="11"/>
      <c r="AU49" s="11"/>
      <c r="AV49" s="11"/>
    </row>
    <row r="50" spans="1:48" s="40" customFormat="1" x14ac:dyDescent="0.3">
      <c r="A50" s="12" t="s">
        <v>46</v>
      </c>
      <c r="B50" s="2">
        <f>'GERAL 2023'!H3</f>
        <v>15.019858156028368</v>
      </c>
      <c r="C50" s="88">
        <v>12</v>
      </c>
      <c r="D50" s="2">
        <f t="shared" si="8"/>
        <v>1.2516548463356973</v>
      </c>
      <c r="E50" s="574"/>
      <c r="F50" s="540"/>
      <c r="G50" s="540"/>
      <c r="H50" s="11"/>
      <c r="I50" s="11"/>
      <c r="J50" s="14"/>
      <c r="K50" s="14"/>
      <c r="L50" s="14"/>
      <c r="M50" s="518" t="s">
        <v>260</v>
      </c>
      <c r="N50" s="518"/>
      <c r="O50" s="114">
        <f>K5</f>
        <v>348</v>
      </c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1"/>
      <c r="AT50" s="11"/>
      <c r="AU50" s="11"/>
      <c r="AV50" s="11"/>
    </row>
    <row r="51" spans="1:48" s="40" customFormat="1" x14ac:dyDescent="0.3">
      <c r="A51" s="79" t="s">
        <v>29</v>
      </c>
      <c r="B51" s="80">
        <f>'GERAL 2022'!J4</f>
        <v>118.18</v>
      </c>
      <c r="C51" s="78">
        <v>6</v>
      </c>
      <c r="D51" s="80">
        <f t="shared" si="8"/>
        <v>19.696666666666669</v>
      </c>
      <c r="E51" s="574"/>
      <c r="F51" s="540"/>
      <c r="G51" s="540"/>
      <c r="H51" s="11"/>
      <c r="I51" s="11"/>
      <c r="J51" s="14"/>
      <c r="K51" s="14"/>
      <c r="L51" s="14"/>
      <c r="M51" s="520"/>
      <c r="N51" s="520"/>
      <c r="O51" s="52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1"/>
      <c r="AT51" s="11"/>
      <c r="AU51" s="11"/>
      <c r="AV51" s="11"/>
    </row>
    <row r="52" spans="1:48" s="40" customFormat="1" x14ac:dyDescent="0.3">
      <c r="A52" s="12" t="s">
        <v>30</v>
      </c>
      <c r="B52" s="2">
        <f>'GERAL 2023'!H4</f>
        <v>15.019858156028368</v>
      </c>
      <c r="C52" s="88">
        <v>12</v>
      </c>
      <c r="D52" s="2">
        <f t="shared" si="8"/>
        <v>1.2516548463356973</v>
      </c>
      <c r="E52" s="574"/>
      <c r="F52" s="540"/>
      <c r="G52" s="540"/>
      <c r="H52" s="11"/>
      <c r="I52" s="11"/>
      <c r="J52" s="62"/>
      <c r="K52" s="62"/>
      <c r="L52" s="62"/>
      <c r="M52" s="520"/>
      <c r="N52" s="520"/>
      <c r="O52" s="52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1"/>
      <c r="AT52" s="11"/>
      <c r="AU52" s="11"/>
      <c r="AV52" s="11"/>
    </row>
    <row r="53" spans="1:48" s="40" customFormat="1" ht="14.4" x14ac:dyDescent="0.3">
      <c r="A53" s="79" t="s">
        <v>65</v>
      </c>
      <c r="B53" s="80">
        <f>'GERAL 2022'!J5</f>
        <v>117.85</v>
      </c>
      <c r="C53" s="78">
        <v>6</v>
      </c>
      <c r="D53" s="80">
        <f t="shared" si="8"/>
        <v>19.641666666666666</v>
      </c>
      <c r="E53" s="574"/>
      <c r="F53" s="540"/>
      <c r="G53" s="540"/>
      <c r="H53" s="11"/>
      <c r="I53" s="11"/>
      <c r="J53" s="14"/>
      <c r="K53" s="14"/>
      <c r="L53" s="14"/>
      <c r="M53" s="529" t="s">
        <v>12</v>
      </c>
      <c r="N53" s="529"/>
      <c r="O53" s="529"/>
      <c r="P53" s="175"/>
      <c r="Q53" s="178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1"/>
      <c r="AT53" s="11"/>
      <c r="AU53" s="11"/>
      <c r="AV53" s="11"/>
    </row>
    <row r="54" spans="1:48" s="11" customFormat="1" ht="15" customHeight="1" x14ac:dyDescent="0.3">
      <c r="A54" s="12" t="s">
        <v>62</v>
      </c>
      <c r="B54" s="2">
        <f>'GERAL 2023'!H5</f>
        <v>15.019858156028368</v>
      </c>
      <c r="C54" s="88">
        <v>12</v>
      </c>
      <c r="D54" s="2">
        <f t="shared" si="8"/>
        <v>1.2516548463356973</v>
      </c>
      <c r="E54" s="574"/>
      <c r="F54" s="540"/>
      <c r="G54" s="540"/>
      <c r="J54" s="63"/>
      <c r="K54" s="63"/>
      <c r="L54" s="63"/>
      <c r="M54" s="514" t="s">
        <v>163</v>
      </c>
      <c r="N54" s="514"/>
      <c r="O54" s="2">
        <v>19.7</v>
      </c>
      <c r="P54" s="175"/>
      <c r="Q54" s="178"/>
    </row>
    <row r="55" spans="1:48" s="11" customFormat="1" ht="14.4" x14ac:dyDescent="0.3">
      <c r="A55" s="79" t="s">
        <v>60</v>
      </c>
      <c r="B55" s="80">
        <f>'GERAL 2022'!J6</f>
        <v>117.85</v>
      </c>
      <c r="C55" s="78">
        <v>6</v>
      </c>
      <c r="D55" s="80">
        <f t="shared" si="8"/>
        <v>19.641666666666666</v>
      </c>
      <c r="E55" s="574"/>
      <c r="F55" s="540"/>
      <c r="G55" s="540"/>
      <c r="J55" s="14"/>
      <c r="K55" s="14"/>
      <c r="L55" s="14"/>
      <c r="M55" s="514" t="s">
        <v>306</v>
      </c>
      <c r="N55" s="514"/>
      <c r="O55" s="2">
        <v>19.649999999999999</v>
      </c>
      <c r="P55" s="175"/>
      <c r="Q55" s="178"/>
    </row>
    <row r="56" spans="1:48" s="11" customFormat="1" ht="15" customHeight="1" x14ac:dyDescent="0.3">
      <c r="A56" s="12" t="s">
        <v>61</v>
      </c>
      <c r="B56" s="2">
        <f>'GERAL 2023'!H6</f>
        <v>15.019858156028368</v>
      </c>
      <c r="C56" s="88">
        <v>12</v>
      </c>
      <c r="D56" s="2">
        <f t="shared" si="8"/>
        <v>1.2516548463356973</v>
      </c>
      <c r="E56" s="574"/>
      <c r="F56" s="540"/>
      <c r="G56" s="540"/>
      <c r="J56" s="63"/>
      <c r="K56" s="63"/>
      <c r="L56" s="63"/>
      <c r="M56" s="514" t="s">
        <v>531</v>
      </c>
      <c r="N56" s="514"/>
      <c r="O56" s="2">
        <v>19.7</v>
      </c>
      <c r="P56" s="175"/>
      <c r="Q56" s="178"/>
    </row>
    <row r="57" spans="1:48" s="11" customFormat="1" ht="14.4" x14ac:dyDescent="0.3">
      <c r="A57" s="79" t="s">
        <v>31</v>
      </c>
      <c r="B57" s="80">
        <f>'GERAL 2023'!J7</f>
        <v>118.18</v>
      </c>
      <c r="C57" s="78">
        <v>6</v>
      </c>
      <c r="D57" s="80">
        <f>B57/C57</f>
        <v>19.696666666666669</v>
      </c>
      <c r="E57" s="574"/>
      <c r="F57" s="540"/>
      <c r="G57" s="540"/>
      <c r="J57" s="14"/>
      <c r="K57" s="14"/>
      <c r="L57" s="14"/>
      <c r="M57" s="514" t="s">
        <v>365</v>
      </c>
      <c r="N57" s="514"/>
      <c r="O57" s="2">
        <v>19.89</v>
      </c>
      <c r="P57" s="175"/>
      <c r="Q57" s="178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</row>
    <row r="58" spans="1:48" s="11" customFormat="1" ht="14.4" x14ac:dyDescent="0.3">
      <c r="A58" s="12" t="s">
        <v>32</v>
      </c>
      <c r="B58" s="2">
        <f>'GERAL 2023'!H7</f>
        <v>15.019858156028368</v>
      </c>
      <c r="C58" s="88">
        <v>12</v>
      </c>
      <c r="D58" s="2">
        <f t="shared" si="8"/>
        <v>1.2516548463356973</v>
      </c>
      <c r="E58" s="574"/>
      <c r="F58" s="540"/>
      <c r="G58" s="540"/>
      <c r="J58" s="63"/>
      <c r="K58" s="63"/>
      <c r="L58" s="63"/>
      <c r="M58" s="514" t="s">
        <v>309</v>
      </c>
      <c r="N58" s="514"/>
      <c r="O58" s="2">
        <v>19.7</v>
      </c>
      <c r="P58" s="175"/>
      <c r="Q58" s="178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</row>
    <row r="59" spans="1:48" s="11" customFormat="1" ht="14.4" x14ac:dyDescent="0.3">
      <c r="A59" s="79" t="s">
        <v>57</v>
      </c>
      <c r="B59" s="80">
        <f>'GERAL 2022'!J36</f>
        <v>119.36</v>
      </c>
      <c r="C59" s="78">
        <v>6</v>
      </c>
      <c r="D59" s="80">
        <f t="shared" si="8"/>
        <v>19.893333333333334</v>
      </c>
      <c r="E59" s="574"/>
      <c r="F59" s="540"/>
      <c r="G59" s="540"/>
      <c r="J59" s="14"/>
      <c r="K59" s="14"/>
      <c r="L59" s="14"/>
      <c r="M59" s="514" t="s">
        <v>483</v>
      </c>
      <c r="N59" s="514"/>
      <c r="O59" s="2">
        <v>19.7</v>
      </c>
      <c r="P59" s="175"/>
      <c r="Q59" s="185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</row>
    <row r="60" spans="1:48" s="11" customFormat="1" ht="12.75" customHeight="1" x14ac:dyDescent="0.3">
      <c r="A60" s="12" t="s">
        <v>58</v>
      </c>
      <c r="B60" s="2">
        <f>'GERAL 2023'!H8</f>
        <v>21.027801418439715</v>
      </c>
      <c r="C60" s="88">
        <v>12</v>
      </c>
      <c r="D60" s="2">
        <f t="shared" si="8"/>
        <v>1.7523167848699763</v>
      </c>
      <c r="E60" s="574"/>
      <c r="F60" s="540"/>
      <c r="G60" s="540"/>
      <c r="J60" s="63"/>
      <c r="K60" s="63"/>
      <c r="L60" s="63"/>
      <c r="M60" s="514" t="s">
        <v>110</v>
      </c>
      <c r="N60" s="514"/>
      <c r="O60" s="2">
        <v>19.78</v>
      </c>
      <c r="P60" s="175"/>
      <c r="Q60" s="178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</row>
    <row r="61" spans="1:48" s="11" customFormat="1" ht="14.4" x14ac:dyDescent="0.3">
      <c r="A61" s="79" t="s">
        <v>63</v>
      </c>
      <c r="B61" s="80">
        <f>'GERAL 2022'!J9</f>
        <v>118.18</v>
      </c>
      <c r="C61" s="78">
        <v>6</v>
      </c>
      <c r="D61" s="80">
        <f t="shared" si="8"/>
        <v>19.696666666666669</v>
      </c>
      <c r="E61" s="574"/>
      <c r="F61" s="540"/>
      <c r="G61" s="540"/>
      <c r="J61" s="14"/>
      <c r="K61" s="14"/>
      <c r="L61" s="14"/>
      <c r="M61" s="514" t="s">
        <v>168</v>
      </c>
      <c r="N61" s="514"/>
      <c r="O61" s="2">
        <v>19.809999999999999</v>
      </c>
      <c r="P61" s="175"/>
      <c r="Q61" s="178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</row>
    <row r="62" spans="1:48" s="11" customFormat="1" ht="15" customHeight="1" x14ac:dyDescent="0.3">
      <c r="A62" s="12" t="s">
        <v>64</v>
      </c>
      <c r="B62" s="2">
        <f>'GERAL 2023'!H9</f>
        <v>15.019858156028368</v>
      </c>
      <c r="C62" s="88">
        <v>12</v>
      </c>
      <c r="D62" s="2">
        <f t="shared" si="8"/>
        <v>1.2516548463356973</v>
      </c>
      <c r="E62" s="574"/>
      <c r="F62" s="540"/>
      <c r="G62" s="540"/>
      <c r="J62" s="63"/>
      <c r="K62" s="63"/>
      <c r="L62" s="63"/>
      <c r="M62" s="514" t="s">
        <v>207</v>
      </c>
      <c r="N62" s="514"/>
      <c r="O62" s="2">
        <v>19.75</v>
      </c>
      <c r="Q62" s="14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</row>
    <row r="63" spans="1:48" s="11" customFormat="1" ht="14.4" x14ac:dyDescent="0.3">
      <c r="A63" s="79" t="s">
        <v>33</v>
      </c>
      <c r="B63" s="80">
        <f>'GERAL 2022'!J37</f>
        <v>118.18</v>
      </c>
      <c r="C63" s="78">
        <v>6</v>
      </c>
      <c r="D63" s="80">
        <f t="shared" si="8"/>
        <v>19.696666666666669</v>
      </c>
      <c r="E63" s="574"/>
      <c r="F63" s="540"/>
      <c r="G63" s="540"/>
      <c r="J63" s="14"/>
      <c r="K63" s="14"/>
      <c r="L63" s="14"/>
      <c r="M63" s="542" t="s">
        <v>672</v>
      </c>
      <c r="N63" s="542"/>
      <c r="O63" s="2">
        <f>120*4</f>
        <v>480</v>
      </c>
      <c r="P63" s="175"/>
      <c r="Q63" s="178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</row>
    <row r="64" spans="1:48" s="11" customFormat="1" ht="13.5" customHeight="1" x14ac:dyDescent="0.3">
      <c r="A64" s="12" t="s">
        <v>34</v>
      </c>
      <c r="B64" s="2">
        <f>'GERAL 2023'!H10</f>
        <v>15.019858156028368</v>
      </c>
      <c r="C64" s="88">
        <v>12</v>
      </c>
      <c r="D64" s="2">
        <f t="shared" si="8"/>
        <v>1.2516548463356973</v>
      </c>
      <c r="E64" s="574"/>
      <c r="F64" s="540"/>
      <c r="G64" s="540"/>
      <c r="J64" s="63"/>
      <c r="K64" s="63"/>
      <c r="L64" s="63"/>
      <c r="M64" s="520" t="s">
        <v>126</v>
      </c>
      <c r="N64" s="520"/>
      <c r="O64" s="2">
        <v>135.91</v>
      </c>
      <c r="P64" s="175"/>
      <c r="Q64" s="178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</row>
    <row r="65" spans="1:47" s="11" customFormat="1" ht="14.4" x14ac:dyDescent="0.3">
      <c r="A65" s="79" t="s">
        <v>41</v>
      </c>
      <c r="B65" s="80">
        <f>'GERAL 2022'!J11</f>
        <v>118.18</v>
      </c>
      <c r="C65" s="78">
        <v>6</v>
      </c>
      <c r="D65" s="80">
        <f t="shared" si="8"/>
        <v>19.696666666666669</v>
      </c>
      <c r="E65" s="574"/>
      <c r="F65" s="540"/>
      <c r="G65" s="540"/>
      <c r="M65" s="570" t="s">
        <v>673</v>
      </c>
      <c r="N65" s="570"/>
      <c r="O65" s="2">
        <v>600</v>
      </c>
      <c r="P65" s="175"/>
      <c r="Q65" s="178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</row>
    <row r="66" spans="1:47" s="11" customFormat="1" ht="14.4" x14ac:dyDescent="0.3">
      <c r="A66" s="12" t="s">
        <v>42</v>
      </c>
      <c r="B66" s="2">
        <f>'GERAL 2023'!H11</f>
        <v>15.019858156028368</v>
      </c>
      <c r="C66" s="88">
        <v>12</v>
      </c>
      <c r="D66" s="2">
        <f t="shared" si="8"/>
        <v>1.2516548463356973</v>
      </c>
      <c r="E66" s="574"/>
      <c r="F66" s="540"/>
      <c r="G66" s="540"/>
      <c r="J66" s="63"/>
      <c r="K66" s="63"/>
      <c r="L66" s="63"/>
      <c r="M66" s="516" t="s">
        <v>674</v>
      </c>
      <c r="N66" s="517"/>
      <c r="O66" s="5">
        <v>120</v>
      </c>
      <c r="P66" s="175"/>
      <c r="Q66" s="178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</row>
    <row r="67" spans="1:47" s="11" customFormat="1" ht="14.4" x14ac:dyDescent="0.3">
      <c r="A67" s="79" t="s">
        <v>66</v>
      </c>
      <c r="B67" s="80">
        <f>'GERAL 2022'!J38</f>
        <v>117.85</v>
      </c>
      <c r="C67" s="78">
        <v>6</v>
      </c>
      <c r="D67" s="80">
        <f t="shared" si="8"/>
        <v>19.641666666666666</v>
      </c>
      <c r="E67" s="574"/>
      <c r="F67" s="540"/>
      <c r="G67" s="540"/>
      <c r="J67" s="14"/>
      <c r="K67" s="14"/>
      <c r="L67" s="14"/>
      <c r="M67" s="563"/>
      <c r="N67" s="563"/>
      <c r="O67" s="141"/>
      <c r="P67" s="175"/>
      <c r="Q67" s="185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</row>
    <row r="68" spans="1:47" s="11" customFormat="1" ht="14.4" x14ac:dyDescent="0.3">
      <c r="A68" s="12" t="s">
        <v>67</v>
      </c>
      <c r="B68" s="2">
        <f>'GERAL 2023'!H12</f>
        <v>15.019858156028368</v>
      </c>
      <c r="C68" s="88">
        <v>12</v>
      </c>
      <c r="D68" s="2">
        <f t="shared" si="8"/>
        <v>1.2516548463356973</v>
      </c>
      <c r="E68" s="574"/>
      <c r="F68" s="540"/>
      <c r="G68" s="540"/>
      <c r="J68" s="63"/>
      <c r="K68" s="63"/>
      <c r="L68" s="63"/>
      <c r="M68" s="520"/>
      <c r="N68" s="520"/>
      <c r="O68" s="5"/>
      <c r="P68" s="175"/>
      <c r="Q68" s="176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</row>
    <row r="69" spans="1:47" s="11" customFormat="1" ht="14.4" x14ac:dyDescent="0.3">
      <c r="A69" s="79" t="s">
        <v>14</v>
      </c>
      <c r="B69" s="80">
        <f>'GERAL 2022'!J13</f>
        <v>117.85</v>
      </c>
      <c r="C69" s="78">
        <v>6</v>
      </c>
      <c r="D69" s="80">
        <f t="shared" si="8"/>
        <v>19.641666666666666</v>
      </c>
      <c r="E69" s="574"/>
      <c r="F69" s="540"/>
      <c r="G69" s="540"/>
      <c r="J69" s="14"/>
      <c r="K69" s="14"/>
      <c r="L69" s="14"/>
      <c r="M69" s="563"/>
      <c r="N69" s="563"/>
      <c r="O69" s="141"/>
      <c r="P69" s="175"/>
      <c r="Q69" s="176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</row>
    <row r="70" spans="1:47" s="11" customFormat="1" ht="14.4" x14ac:dyDescent="0.3">
      <c r="A70" s="12" t="s">
        <v>15</v>
      </c>
      <c r="B70" s="2">
        <f>'GERAL 2023'!H13</f>
        <v>15.019858156028368</v>
      </c>
      <c r="C70" s="88">
        <v>12</v>
      </c>
      <c r="D70" s="2">
        <f t="shared" si="8"/>
        <v>1.2516548463356973</v>
      </c>
      <c r="E70" s="574"/>
      <c r="F70" s="540"/>
      <c r="G70" s="540"/>
      <c r="J70" s="87"/>
      <c r="K70" s="87"/>
      <c r="L70" s="87"/>
      <c r="M70" s="520"/>
      <c r="N70" s="520"/>
      <c r="O70" s="165"/>
      <c r="P70" s="175"/>
      <c r="Q70" s="176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</row>
    <row r="71" spans="1:47" s="11" customFormat="1" ht="14.4" x14ac:dyDescent="0.3">
      <c r="A71" s="79" t="s">
        <v>55</v>
      </c>
      <c r="B71" s="80">
        <f>'GERAL 2022'!J14</f>
        <v>117.85</v>
      </c>
      <c r="C71" s="78">
        <v>6</v>
      </c>
      <c r="D71" s="80">
        <f t="shared" si="8"/>
        <v>19.641666666666666</v>
      </c>
      <c r="E71" s="574"/>
      <c r="F71" s="540"/>
      <c r="G71" s="540"/>
      <c r="M71" s="518" t="s">
        <v>26</v>
      </c>
      <c r="N71" s="518"/>
      <c r="O71" s="109">
        <f>SUM(O49:O70)</f>
        <v>3062.3013893405532</v>
      </c>
      <c r="P71" s="175"/>
      <c r="Q71" s="176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</row>
    <row r="72" spans="1:47" s="11" customFormat="1" ht="14.4" x14ac:dyDescent="0.3">
      <c r="A72" s="12" t="s">
        <v>56</v>
      </c>
      <c r="B72" s="2">
        <f>'GERAL 2023'!H14</f>
        <v>15.019858156028368</v>
      </c>
      <c r="C72" s="88">
        <v>12</v>
      </c>
      <c r="D72" s="2">
        <f t="shared" si="8"/>
        <v>1.2516548463356973</v>
      </c>
      <c r="E72" s="574"/>
      <c r="F72" s="540"/>
      <c r="G72" s="540"/>
      <c r="M72" s="543"/>
      <c r="N72" s="543"/>
      <c r="O72" s="135"/>
      <c r="P72" s="175"/>
      <c r="Q72" s="176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</row>
    <row r="73" spans="1:47" s="11" customFormat="1" ht="14.4" x14ac:dyDescent="0.3">
      <c r="A73" s="79" t="s">
        <v>35</v>
      </c>
      <c r="B73" s="80">
        <f>'GERAL 2022'!J15</f>
        <v>117.85</v>
      </c>
      <c r="C73" s="78">
        <v>6</v>
      </c>
      <c r="D73" s="80">
        <f t="shared" si="8"/>
        <v>19.641666666666666</v>
      </c>
      <c r="E73" s="574"/>
      <c r="F73" s="540"/>
      <c r="G73" s="540"/>
      <c r="M73" s="564" t="s">
        <v>11</v>
      </c>
      <c r="N73" s="565"/>
      <c r="O73" s="153">
        <f>J5+J35+J40</f>
        <v>17803.868169235186</v>
      </c>
      <c r="P73" s="175"/>
      <c r="Q73" s="178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</row>
    <row r="74" spans="1:47" s="11" customFormat="1" ht="14.4" x14ac:dyDescent="0.3">
      <c r="A74" s="12" t="s">
        <v>36</v>
      </c>
      <c r="B74" s="2">
        <f>'GERAL 2023'!H15</f>
        <v>15.019858156028368</v>
      </c>
      <c r="C74" s="88">
        <v>12</v>
      </c>
      <c r="D74" s="2">
        <f t="shared" si="8"/>
        <v>1.2516548463356973</v>
      </c>
      <c r="E74" s="574"/>
      <c r="F74" s="540"/>
      <c r="G74" s="540"/>
      <c r="J74" s="14"/>
      <c r="K74" s="14"/>
      <c r="L74" s="14"/>
      <c r="M74" s="518"/>
      <c r="N74" s="518"/>
      <c r="O74" s="519"/>
      <c r="P74" s="175"/>
      <c r="Q74" s="178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</row>
    <row r="75" spans="1:47" s="11" customFormat="1" ht="14.4" x14ac:dyDescent="0.3">
      <c r="A75" s="79" t="s">
        <v>47</v>
      </c>
      <c r="B75" s="80">
        <f>'GERAL 2022'!J39</f>
        <v>118.18</v>
      </c>
      <c r="C75" s="78">
        <v>6</v>
      </c>
      <c r="D75" s="80">
        <f t="shared" si="8"/>
        <v>19.696666666666669</v>
      </c>
      <c r="E75" s="574"/>
      <c r="F75" s="540"/>
      <c r="G75" s="540"/>
      <c r="J75" s="15"/>
      <c r="K75" s="15"/>
      <c r="L75" s="15"/>
      <c r="M75" s="513" t="s">
        <v>13</v>
      </c>
      <c r="N75" s="513"/>
      <c r="O75" s="151">
        <f>O73-O71</f>
        <v>14741.566779894632</v>
      </c>
      <c r="P75" s="175"/>
      <c r="Q75" s="178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</row>
    <row r="76" spans="1:47" s="11" customFormat="1" ht="14.4" x14ac:dyDescent="0.3">
      <c r="A76" s="12" t="s">
        <v>48</v>
      </c>
      <c r="B76" s="2">
        <f>'GERAL 2023'!H16</f>
        <v>15.019858156028368</v>
      </c>
      <c r="C76" s="88">
        <v>12</v>
      </c>
      <c r="D76" s="2">
        <f t="shared" si="8"/>
        <v>1.2516548463356973</v>
      </c>
      <c r="E76" s="574"/>
      <c r="F76" s="540"/>
      <c r="G76" s="540"/>
      <c r="J76" s="14"/>
      <c r="K76" s="14"/>
      <c r="L76" s="14"/>
      <c r="M76" s="124"/>
      <c r="N76" s="124"/>
      <c r="O76" s="57"/>
      <c r="P76" s="175"/>
      <c r="Q76" s="178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</row>
    <row r="77" spans="1:47" s="11" customFormat="1" ht="14.4" x14ac:dyDescent="0.3">
      <c r="A77" s="79" t="s">
        <v>16</v>
      </c>
      <c r="B77" s="80">
        <f>'GERAL 2022'!J40</f>
        <v>119.02</v>
      </c>
      <c r="C77" s="78">
        <v>6</v>
      </c>
      <c r="D77" s="80">
        <f t="shared" si="8"/>
        <v>19.836666666666666</v>
      </c>
      <c r="E77" s="574"/>
      <c r="F77" s="540"/>
      <c r="G77" s="540"/>
      <c r="J77" s="14"/>
      <c r="K77" s="14"/>
      <c r="L77" s="14"/>
      <c r="M77" s="124"/>
      <c r="N77" s="124"/>
      <c r="O77" s="57"/>
      <c r="P77" s="175"/>
      <c r="Q77" s="178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</row>
    <row r="78" spans="1:47" s="11" customFormat="1" ht="14.4" x14ac:dyDescent="0.3">
      <c r="A78" s="12" t="s">
        <v>17</v>
      </c>
      <c r="B78" s="2">
        <f>'GERAL 2023'!H17</f>
        <v>21.027801418439715</v>
      </c>
      <c r="C78" s="88">
        <v>12</v>
      </c>
      <c r="D78" s="2">
        <f t="shared" si="8"/>
        <v>1.7523167848699763</v>
      </c>
      <c r="E78" s="574"/>
      <c r="F78" s="540"/>
      <c r="G78" s="540"/>
      <c r="J78" s="14"/>
      <c r="K78" s="14"/>
      <c r="L78" s="14"/>
      <c r="M78" s="124"/>
      <c r="N78" s="124"/>
      <c r="O78" s="57"/>
      <c r="P78" s="175"/>
      <c r="Q78" s="178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</row>
    <row r="79" spans="1:47" s="11" customFormat="1" x14ac:dyDescent="0.3">
      <c r="A79" s="79" t="s">
        <v>27</v>
      </c>
      <c r="B79" s="80">
        <f>'GERAL 2023'!J37</f>
        <v>118.68</v>
      </c>
      <c r="C79" s="78">
        <v>6</v>
      </c>
      <c r="D79" s="80">
        <f t="shared" si="8"/>
        <v>19.78</v>
      </c>
      <c r="E79" s="574"/>
      <c r="F79" s="540"/>
      <c r="G79" s="540"/>
      <c r="J79" s="14"/>
      <c r="K79" s="14"/>
      <c r="L79" s="14"/>
      <c r="M79" s="124"/>
      <c r="N79" s="124"/>
      <c r="O79" s="57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</row>
    <row r="80" spans="1:47" s="69" customFormat="1" x14ac:dyDescent="0.3">
      <c r="A80" s="12" t="s">
        <v>28</v>
      </c>
      <c r="B80" s="2">
        <f>'GERAL 2023'!H37</f>
        <v>15.019858156028368</v>
      </c>
      <c r="C80" s="88">
        <v>12</v>
      </c>
      <c r="D80" s="2">
        <f t="shared" si="8"/>
        <v>1.2516548463356973</v>
      </c>
      <c r="E80" s="574"/>
      <c r="F80" s="540"/>
      <c r="G80" s="540"/>
      <c r="H80" s="11"/>
      <c r="I80" s="11"/>
      <c r="J80" s="14"/>
      <c r="K80" s="14"/>
      <c r="L80" s="14"/>
      <c r="M80" s="15"/>
      <c r="N80" s="14"/>
      <c r="O80" s="57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</row>
    <row r="81" spans="1:47" s="69" customFormat="1" x14ac:dyDescent="0.3">
      <c r="A81" s="79" t="s">
        <v>18</v>
      </c>
      <c r="B81" s="80">
        <f>'GERAL 2022'!J41</f>
        <v>118.18</v>
      </c>
      <c r="C81" s="78">
        <v>6</v>
      </c>
      <c r="D81" s="80">
        <f t="shared" si="8"/>
        <v>19.696666666666669</v>
      </c>
      <c r="E81" s="574"/>
      <c r="F81" s="540"/>
      <c r="G81" s="540"/>
      <c r="H81" s="11"/>
      <c r="I81" s="11"/>
      <c r="J81" s="14"/>
      <c r="K81" s="14"/>
      <c r="L81" s="14"/>
      <c r="M81" s="11"/>
      <c r="N81" s="15"/>
      <c r="O81" s="57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</row>
    <row r="82" spans="1:47" s="69" customFormat="1" x14ac:dyDescent="0.3">
      <c r="A82" s="12" t="s">
        <v>19</v>
      </c>
      <c r="B82" s="2">
        <f>'GERAL 2023'!H19</f>
        <v>15.019858156028368</v>
      </c>
      <c r="C82" s="88">
        <v>12</v>
      </c>
      <c r="D82" s="2">
        <f>B82/C82</f>
        <v>1.2516548463356973</v>
      </c>
      <c r="E82" s="574"/>
      <c r="F82" s="540"/>
      <c r="G82" s="540"/>
      <c r="H82" s="11"/>
      <c r="I82" s="11"/>
      <c r="J82" s="14"/>
      <c r="K82" s="14"/>
      <c r="L82" s="14"/>
      <c r="M82" s="11"/>
      <c r="N82" s="11"/>
      <c r="O82" s="57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</row>
    <row r="83" spans="1:47" s="69" customFormat="1" x14ac:dyDescent="0.3">
      <c r="A83" s="79" t="s">
        <v>37</v>
      </c>
      <c r="B83" s="80">
        <f>'GERAL 2022'!J42</f>
        <v>118.92</v>
      </c>
      <c r="C83" s="78">
        <v>6</v>
      </c>
      <c r="D83" s="80">
        <f t="shared" si="8"/>
        <v>19.82</v>
      </c>
      <c r="E83" s="574"/>
      <c r="F83" s="540"/>
      <c r="G83" s="540"/>
      <c r="H83" s="11"/>
      <c r="I83" s="11"/>
      <c r="J83" s="14"/>
      <c r="K83" s="14"/>
      <c r="L83" s="14"/>
      <c r="M83" s="14"/>
      <c r="N83" s="14"/>
      <c r="O83" s="57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</row>
    <row r="84" spans="1:47" s="69" customFormat="1" x14ac:dyDescent="0.3">
      <c r="A84" s="12" t="s">
        <v>38</v>
      </c>
      <c r="B84" s="2">
        <f>'GERAL 2023'!H20</f>
        <v>15.019858156028368</v>
      </c>
      <c r="C84" s="88">
        <v>12</v>
      </c>
      <c r="D84" s="2">
        <f t="shared" si="8"/>
        <v>1.2516548463356973</v>
      </c>
      <c r="E84" s="574"/>
      <c r="F84" s="540"/>
      <c r="G84" s="540"/>
      <c r="H84" s="11"/>
      <c r="I84" s="11"/>
      <c r="J84" s="14"/>
      <c r="K84" s="14"/>
      <c r="L84" s="14"/>
      <c r="M84" s="14"/>
      <c r="N84" s="15"/>
      <c r="O84" s="57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</row>
    <row r="85" spans="1:47" s="69" customFormat="1" x14ac:dyDescent="0.3">
      <c r="A85" s="79" t="s">
        <v>45</v>
      </c>
      <c r="B85" s="80">
        <f>'GERAL 2022'!J43</f>
        <v>117.85</v>
      </c>
      <c r="C85" s="78">
        <v>6</v>
      </c>
      <c r="D85" s="80">
        <f t="shared" si="8"/>
        <v>19.641666666666666</v>
      </c>
      <c r="E85" s="574"/>
      <c r="F85" s="540"/>
      <c r="G85" s="540"/>
      <c r="H85" s="11"/>
      <c r="I85" s="11"/>
      <c r="J85" s="14"/>
      <c r="K85" s="14"/>
      <c r="L85" s="14"/>
      <c r="M85" s="14"/>
      <c r="N85" s="11"/>
      <c r="O85" s="57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</row>
    <row r="86" spans="1:47" s="69" customFormat="1" x14ac:dyDescent="0.3">
      <c r="A86" s="12" t="s">
        <v>39</v>
      </c>
      <c r="B86" s="2">
        <f>'GERAL 2023'!H21</f>
        <v>15.019858156028368</v>
      </c>
      <c r="C86" s="88">
        <v>12</v>
      </c>
      <c r="D86" s="2">
        <f t="shared" si="8"/>
        <v>1.2516548463356973</v>
      </c>
      <c r="E86" s="574"/>
      <c r="F86" s="540"/>
      <c r="G86" s="540"/>
      <c r="H86" s="11"/>
      <c r="I86" s="11"/>
      <c r="J86" s="14"/>
      <c r="K86" s="14"/>
      <c r="L86" s="14"/>
      <c r="M86" s="14"/>
      <c r="N86" s="11"/>
      <c r="O86" s="57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</row>
    <row r="87" spans="1:47" s="69" customFormat="1" x14ac:dyDescent="0.3">
      <c r="A87" s="81" t="s">
        <v>49</v>
      </c>
      <c r="B87" s="80">
        <f>'GERAL 2022'!J22</f>
        <v>119.12</v>
      </c>
      <c r="C87" s="78">
        <v>6</v>
      </c>
      <c r="D87" s="80">
        <f t="shared" si="8"/>
        <v>19.853333333333335</v>
      </c>
      <c r="E87" s="574"/>
      <c r="F87" s="540"/>
      <c r="G87" s="540"/>
      <c r="H87" s="11"/>
      <c r="I87" s="11"/>
      <c r="J87" s="14"/>
      <c r="K87" s="14"/>
      <c r="L87" s="14"/>
      <c r="M87" s="11"/>
      <c r="N87" s="11"/>
      <c r="O87" s="57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</row>
    <row r="88" spans="1:47" s="69" customFormat="1" x14ac:dyDescent="0.3">
      <c r="A88" s="90" t="s">
        <v>50</v>
      </c>
      <c r="B88" s="2">
        <f>'GERAL 2023'!H22</f>
        <v>15.019858156028368</v>
      </c>
      <c r="C88" s="88">
        <v>12</v>
      </c>
      <c r="D88" s="2">
        <f t="shared" si="8"/>
        <v>1.2516548463356973</v>
      </c>
      <c r="E88" s="574"/>
      <c r="F88" s="540"/>
      <c r="G88" s="540"/>
      <c r="H88" s="11"/>
      <c r="I88" s="11"/>
      <c r="J88" s="14"/>
      <c r="K88" s="14"/>
      <c r="L88" s="14"/>
      <c r="M88" s="11"/>
      <c r="N88" s="14"/>
      <c r="O88" s="57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</row>
    <row r="89" spans="1:47" s="69" customFormat="1" x14ac:dyDescent="0.3">
      <c r="A89" s="81" t="s">
        <v>43</v>
      </c>
      <c r="B89" s="80">
        <f>'GERAL 2022'!J23</f>
        <v>117.26</v>
      </c>
      <c r="C89" s="78">
        <v>6</v>
      </c>
      <c r="D89" s="80">
        <f t="shared" si="8"/>
        <v>19.543333333333333</v>
      </c>
      <c r="E89" s="574"/>
      <c r="F89" s="540"/>
      <c r="G89" s="540"/>
      <c r="H89" s="11"/>
      <c r="I89" s="11"/>
      <c r="J89" s="14"/>
      <c r="K89" s="14"/>
      <c r="L89" s="14"/>
      <c r="M89" s="11"/>
      <c r="N89" s="14"/>
      <c r="O89" s="57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</row>
    <row r="90" spans="1:47" s="69" customFormat="1" x14ac:dyDescent="0.3">
      <c r="A90" s="90" t="s">
        <v>44</v>
      </c>
      <c r="B90" s="2">
        <f>'GERAL 2023'!H23</f>
        <v>15.019858156028368</v>
      </c>
      <c r="C90" s="88">
        <v>12</v>
      </c>
      <c r="D90" s="2">
        <f t="shared" si="8"/>
        <v>1.2516548463356973</v>
      </c>
      <c r="E90" s="574"/>
      <c r="F90" s="540"/>
      <c r="G90" s="540"/>
      <c r="H90" s="11"/>
      <c r="I90" s="11"/>
      <c r="J90" s="14"/>
      <c r="K90" s="14"/>
      <c r="L90" s="14"/>
      <c r="M90" s="11"/>
      <c r="N90" s="14"/>
      <c r="O90" s="57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</row>
    <row r="91" spans="1:47" s="69" customFormat="1" x14ac:dyDescent="0.3">
      <c r="A91" s="81" t="s">
        <v>51</v>
      </c>
      <c r="B91" s="80">
        <f>'GERAL 2022'!J24</f>
        <v>117.26</v>
      </c>
      <c r="C91" s="78">
        <v>6</v>
      </c>
      <c r="D91" s="80">
        <f t="shared" si="8"/>
        <v>19.543333333333333</v>
      </c>
      <c r="E91" s="574"/>
      <c r="F91" s="540"/>
      <c r="G91" s="540"/>
      <c r="J91" s="142"/>
      <c r="K91" s="142"/>
      <c r="L91" s="142"/>
      <c r="M91" s="11"/>
      <c r="N91" s="14"/>
      <c r="O91" s="57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</row>
    <row r="92" spans="1:47" s="70" customFormat="1" x14ac:dyDescent="0.3">
      <c r="A92" s="90" t="s">
        <v>52</v>
      </c>
      <c r="B92" s="2">
        <f>'GERAL 2023'!H24</f>
        <v>15.019858156028368</v>
      </c>
      <c r="C92" s="88">
        <v>12</v>
      </c>
      <c r="D92" s="2">
        <f t="shared" si="8"/>
        <v>1.2516548463356973</v>
      </c>
      <c r="E92" s="574"/>
      <c r="F92" s="540"/>
      <c r="G92" s="540"/>
      <c r="H92" s="63"/>
      <c r="I92" s="63"/>
      <c r="J92" s="69"/>
      <c r="K92" s="69"/>
      <c r="L92" s="69"/>
      <c r="M92" s="11"/>
      <c r="N92" s="11"/>
      <c r="O92" s="57"/>
    </row>
    <row r="93" spans="1:47" s="70" customFormat="1" ht="15" customHeight="1" x14ac:dyDescent="0.3">
      <c r="A93" s="81" t="s">
        <v>53</v>
      </c>
      <c r="B93" s="80">
        <f>'GERAL 2022'!J25</f>
        <v>117.85</v>
      </c>
      <c r="C93" s="78">
        <v>6</v>
      </c>
      <c r="D93" s="80">
        <f t="shared" si="8"/>
        <v>19.641666666666666</v>
      </c>
      <c r="E93" s="574"/>
      <c r="F93" s="540"/>
      <c r="G93" s="540"/>
      <c r="H93" s="11"/>
      <c r="I93" s="63"/>
      <c r="J93" s="142"/>
      <c r="K93" s="142"/>
      <c r="L93" s="142"/>
      <c r="M93" s="11"/>
      <c r="N93" s="11"/>
      <c r="O93" s="57"/>
      <c r="AU93" s="69"/>
    </row>
    <row r="94" spans="1:47" s="70" customFormat="1" x14ac:dyDescent="0.3">
      <c r="A94" s="90" t="s">
        <v>54</v>
      </c>
      <c r="B94" s="2">
        <f>'GERAL 2023'!H25</f>
        <v>15.019858156028368</v>
      </c>
      <c r="C94" s="88">
        <v>12</v>
      </c>
      <c r="D94" s="2">
        <f t="shared" si="8"/>
        <v>1.2516548463356973</v>
      </c>
      <c r="E94" s="574"/>
      <c r="F94" s="540"/>
      <c r="G94" s="540"/>
      <c r="H94" s="142"/>
      <c r="I94" s="142"/>
      <c r="J94" s="142"/>
      <c r="K94" s="142"/>
      <c r="L94" s="142"/>
      <c r="M94" s="69"/>
      <c r="N94" s="69"/>
      <c r="O94" s="69"/>
      <c r="AU94" s="69"/>
    </row>
    <row r="95" spans="1:47" s="70" customFormat="1" x14ac:dyDescent="0.3">
      <c r="A95" s="81" t="s">
        <v>78</v>
      </c>
      <c r="B95" s="80">
        <f>'GERAL 2022'!J26</f>
        <v>119.02</v>
      </c>
      <c r="C95" s="78">
        <v>6</v>
      </c>
      <c r="D95" s="80">
        <f t="shared" si="8"/>
        <v>19.836666666666666</v>
      </c>
      <c r="E95" s="574"/>
      <c r="F95" s="540"/>
      <c r="G95" s="540"/>
      <c r="H95" s="11"/>
      <c r="I95" s="63"/>
      <c r="J95" s="142"/>
      <c r="K95" s="142"/>
      <c r="L95" s="142"/>
      <c r="M95" s="69"/>
      <c r="N95" s="69"/>
      <c r="O95" s="69"/>
      <c r="AU95" s="69"/>
    </row>
    <row r="96" spans="1:47" s="70" customFormat="1" x14ac:dyDescent="0.3">
      <c r="A96" s="90" t="s">
        <v>79</v>
      </c>
      <c r="B96" s="2">
        <f>'GERAL 2023'!H26</f>
        <v>21.027801418439715</v>
      </c>
      <c r="C96" s="88">
        <v>12</v>
      </c>
      <c r="D96" s="2">
        <f t="shared" si="8"/>
        <v>1.7523167848699763</v>
      </c>
      <c r="E96" s="574"/>
      <c r="F96" s="540"/>
      <c r="G96" s="540"/>
      <c r="H96" s="142"/>
      <c r="I96" s="142"/>
      <c r="J96" s="142"/>
      <c r="K96" s="142"/>
      <c r="L96" s="142"/>
      <c r="M96" s="69"/>
      <c r="N96" s="69"/>
      <c r="O96" s="69"/>
      <c r="AU96" s="69"/>
    </row>
    <row r="97" spans="1:47" s="70" customFormat="1" x14ac:dyDescent="0.3">
      <c r="A97" s="81" t="s">
        <v>80</v>
      </c>
      <c r="B97" s="80">
        <f>'GERAL 2022'!J44</f>
        <v>118.53</v>
      </c>
      <c r="C97" s="78">
        <v>6</v>
      </c>
      <c r="D97" s="80">
        <f t="shared" si="8"/>
        <v>19.754999999999999</v>
      </c>
      <c r="E97" s="574"/>
      <c r="F97" s="540"/>
      <c r="G97" s="540"/>
      <c r="H97" s="11"/>
      <c r="I97" s="63"/>
      <c r="J97" s="142"/>
      <c r="K97" s="142"/>
      <c r="L97" s="142"/>
      <c r="M97" s="69"/>
      <c r="N97" s="69"/>
      <c r="O97" s="69"/>
      <c r="AU97" s="69"/>
    </row>
    <row r="98" spans="1:47" s="70" customFormat="1" x14ac:dyDescent="0.3">
      <c r="A98" s="90" t="s">
        <v>81</v>
      </c>
      <c r="B98" s="2">
        <f>'GERAL 2023'!H27</f>
        <v>15.019858156028368</v>
      </c>
      <c r="C98" s="88">
        <v>12</v>
      </c>
      <c r="D98" s="2">
        <f t="shared" si="8"/>
        <v>1.2516548463356973</v>
      </c>
      <c r="E98" s="574"/>
      <c r="F98" s="540"/>
      <c r="G98" s="540"/>
      <c r="H98" s="142"/>
      <c r="I98" s="142"/>
      <c r="J98" s="142"/>
      <c r="K98" s="142"/>
      <c r="L98" s="142"/>
      <c r="M98" s="69"/>
      <c r="N98" s="69"/>
      <c r="O98" s="69"/>
      <c r="AU98" s="69"/>
    </row>
    <row r="99" spans="1:47" s="70" customFormat="1" x14ac:dyDescent="0.3">
      <c r="A99" s="81" t="s">
        <v>82</v>
      </c>
      <c r="B99" s="80">
        <f>'GERAL 2022'!J28</f>
        <v>117.95</v>
      </c>
      <c r="C99" s="78">
        <v>6</v>
      </c>
      <c r="D99" s="80">
        <f t="shared" si="8"/>
        <v>19.658333333333335</v>
      </c>
      <c r="E99" s="574"/>
      <c r="F99" s="540"/>
      <c r="G99" s="540"/>
      <c r="H99" s="11"/>
      <c r="I99" s="63"/>
      <c r="J99" s="142"/>
      <c r="K99" s="142"/>
      <c r="L99" s="142"/>
      <c r="M99" s="69"/>
      <c r="N99" s="69"/>
      <c r="O99" s="69"/>
      <c r="AU99" s="69"/>
    </row>
    <row r="100" spans="1:47" s="70" customFormat="1" x14ac:dyDescent="0.3">
      <c r="A100" s="90" t="s">
        <v>83</v>
      </c>
      <c r="B100" s="2">
        <f>'GERAL 2023'!H28</f>
        <v>15.019858156028368</v>
      </c>
      <c r="C100" s="88">
        <v>12</v>
      </c>
      <c r="D100" s="2">
        <f t="shared" si="8"/>
        <v>1.2516548463356973</v>
      </c>
      <c r="E100" s="574"/>
      <c r="F100" s="540"/>
      <c r="G100" s="540"/>
      <c r="H100" s="142"/>
      <c r="I100" s="142"/>
      <c r="J100" s="142"/>
      <c r="K100" s="142"/>
      <c r="L100" s="142"/>
      <c r="M100" s="69"/>
      <c r="N100" s="69"/>
      <c r="O100" s="69"/>
      <c r="AU100" s="69"/>
    </row>
    <row r="101" spans="1:47" s="70" customFormat="1" x14ac:dyDescent="0.3">
      <c r="A101" s="81" t="s">
        <v>84</v>
      </c>
      <c r="B101" s="80">
        <f>'GERAL 2022'!J45</f>
        <v>118.18</v>
      </c>
      <c r="C101" s="78">
        <v>6</v>
      </c>
      <c r="D101" s="80">
        <f t="shared" si="8"/>
        <v>19.696666666666669</v>
      </c>
      <c r="E101" s="574"/>
      <c r="F101" s="540"/>
      <c r="G101" s="540"/>
      <c r="H101" s="11"/>
      <c r="I101" s="63"/>
      <c r="J101" s="142"/>
      <c r="K101" s="142"/>
      <c r="L101" s="142"/>
      <c r="M101" s="144"/>
      <c r="N101" s="69"/>
      <c r="O101" s="69"/>
      <c r="AU101" s="69"/>
    </row>
    <row r="102" spans="1:47" s="70" customFormat="1" x14ac:dyDescent="0.3">
      <c r="A102" s="90" t="s">
        <v>85</v>
      </c>
      <c r="B102" s="2">
        <f>'GERAL 2023'!H29</f>
        <v>15.019858156028368</v>
      </c>
      <c r="C102" s="88">
        <v>12</v>
      </c>
      <c r="D102" s="2">
        <f t="shared" si="8"/>
        <v>1.2516548463356973</v>
      </c>
      <c r="E102" s="574"/>
      <c r="F102" s="540"/>
      <c r="G102" s="540"/>
      <c r="H102" s="142"/>
      <c r="I102" s="142"/>
      <c r="J102" s="142"/>
      <c r="K102" s="142"/>
      <c r="L102" s="142"/>
      <c r="M102" s="144"/>
      <c r="N102" s="69"/>
      <c r="O102" s="69"/>
      <c r="AU102" s="69"/>
    </row>
    <row r="103" spans="1:47" s="70" customFormat="1" x14ac:dyDescent="0.3">
      <c r="A103" s="69"/>
      <c r="B103" s="189">
        <f>B50+B52+B54+B56+B58+B60+B62+B64+B66+B68+B70+B72+B74+B76+B78+B80+B82+B84+B86+B88+B90+B92+B94+B96+B98+B100+B102</f>
        <v>423.55999999999989</v>
      </c>
      <c r="C103" s="189">
        <f>C50+C52+C54+C56+C58+C60+C62+C64+C66+C68+C70+C72+C74+C76+C78+C80+C82+C84+C86+C88+C90+C92+C94+C96+C98+C100+C102</f>
        <v>324</v>
      </c>
      <c r="D103" s="189">
        <f>D50+D52+D54+D56+D58+D60+D62+D64+D66+D68+D70+D72+D74+D76+D78+D80+D82+D84+D86+D88+D90+D92+D94+D96+D98+D100+D102</f>
        <v>35.29666666666666</v>
      </c>
      <c r="E103" s="69"/>
      <c r="F103" s="69"/>
      <c r="G103" s="69"/>
      <c r="H103" s="142"/>
      <c r="I103" s="142"/>
      <c r="J103" s="142"/>
      <c r="K103" s="142"/>
      <c r="L103" s="142"/>
      <c r="M103" s="144"/>
      <c r="N103" s="69"/>
      <c r="AU103" s="69"/>
    </row>
    <row r="104" spans="1:47" s="70" customFormat="1" x14ac:dyDescent="0.3">
      <c r="A104" s="69"/>
      <c r="B104" s="69"/>
      <c r="C104" s="69"/>
      <c r="D104" s="69"/>
      <c r="E104" s="69"/>
      <c r="F104" s="69"/>
      <c r="G104" s="69"/>
      <c r="H104" s="69"/>
      <c r="I104" s="69"/>
      <c r="J104" s="142"/>
      <c r="K104" s="142"/>
      <c r="L104" s="142"/>
      <c r="M104" s="144"/>
      <c r="N104" s="69"/>
      <c r="AU104" s="69"/>
    </row>
    <row r="105" spans="1:47" s="70" customFormat="1" x14ac:dyDescent="0.3">
      <c r="A105" s="69"/>
      <c r="B105" s="69"/>
      <c r="C105" s="69"/>
      <c r="D105" s="69"/>
      <c r="E105" s="69"/>
      <c r="F105" s="69"/>
      <c r="G105" s="69"/>
      <c r="H105" s="69"/>
      <c r="I105" s="69"/>
      <c r="J105" s="142"/>
      <c r="K105" s="142"/>
      <c r="L105" s="142"/>
      <c r="M105" s="144"/>
      <c r="N105" s="69"/>
      <c r="AU105" s="69"/>
    </row>
    <row r="106" spans="1:47" s="70" customFormat="1" x14ac:dyDescent="0.3">
      <c r="A106" s="69"/>
      <c r="B106" s="69"/>
      <c r="C106" s="69"/>
      <c r="D106" s="69"/>
      <c r="E106" s="69"/>
      <c r="F106" s="69"/>
      <c r="G106" s="69"/>
      <c r="H106" s="69"/>
      <c r="I106" s="69"/>
      <c r="J106" s="142"/>
      <c r="K106" s="142"/>
      <c r="L106" s="142"/>
      <c r="M106" s="144"/>
      <c r="N106" s="144"/>
      <c r="AU106" s="69"/>
    </row>
    <row r="107" spans="1:47" s="70" customFormat="1" x14ac:dyDescent="0.3">
      <c r="A107" s="69"/>
      <c r="B107" s="69"/>
      <c r="C107" s="69"/>
      <c r="D107" s="69"/>
      <c r="E107" s="69"/>
      <c r="F107" s="69"/>
      <c r="G107" s="69"/>
      <c r="H107" s="69"/>
      <c r="I107" s="69"/>
      <c r="J107" s="142"/>
      <c r="K107" s="142"/>
      <c r="L107" s="142"/>
      <c r="M107" s="144"/>
      <c r="N107" s="144"/>
      <c r="AU107" s="69"/>
    </row>
    <row r="108" spans="1:47" s="70" customFormat="1" x14ac:dyDescent="0.3">
      <c r="A108" s="69"/>
      <c r="B108" s="69"/>
      <c r="C108" s="69"/>
      <c r="D108" s="69"/>
      <c r="E108" s="69"/>
      <c r="F108" s="69"/>
      <c r="G108" s="69"/>
      <c r="H108" s="69"/>
      <c r="I108" s="69"/>
      <c r="J108" s="142"/>
      <c r="K108" s="142"/>
      <c r="L108" s="142"/>
      <c r="M108" s="144"/>
      <c r="N108" s="144"/>
      <c r="AU108" s="69"/>
    </row>
    <row r="109" spans="1:47" s="70" customFormat="1" x14ac:dyDescent="0.3">
      <c r="A109" s="69"/>
      <c r="B109" s="69"/>
      <c r="C109" s="69"/>
      <c r="D109" s="69"/>
      <c r="E109" s="69"/>
      <c r="F109" s="69"/>
      <c r="G109" s="69"/>
      <c r="H109" s="69"/>
      <c r="I109" s="69"/>
      <c r="J109" s="142"/>
      <c r="K109" s="142"/>
      <c r="L109" s="142"/>
      <c r="M109" s="144"/>
      <c r="N109" s="144"/>
      <c r="AU109" s="69"/>
    </row>
    <row r="110" spans="1:47" s="70" customFormat="1" x14ac:dyDescent="0.3">
      <c r="A110" s="69"/>
      <c r="B110" s="69"/>
      <c r="C110" s="69"/>
      <c r="D110" s="69"/>
      <c r="E110" s="69"/>
      <c r="F110" s="69"/>
      <c r="G110" s="69"/>
      <c r="H110" s="69"/>
      <c r="I110" s="69"/>
      <c r="J110" s="142"/>
      <c r="K110" s="142"/>
      <c r="L110" s="142"/>
      <c r="M110" s="144"/>
      <c r="N110" s="144"/>
      <c r="AU110" s="69"/>
    </row>
    <row r="111" spans="1:47" s="70" customFormat="1" x14ac:dyDescent="0.3">
      <c r="H111" s="69"/>
      <c r="I111" s="69"/>
      <c r="J111" s="142"/>
      <c r="K111" s="142"/>
      <c r="L111" s="142"/>
      <c r="M111" s="144"/>
      <c r="N111" s="144"/>
      <c r="AU111" s="69"/>
    </row>
    <row r="112" spans="1:47" s="70" customFormat="1" x14ac:dyDescent="0.3">
      <c r="J112" s="142"/>
      <c r="K112" s="142"/>
      <c r="L112" s="142"/>
      <c r="M112" s="144"/>
      <c r="N112" s="144"/>
      <c r="AU112" s="69"/>
    </row>
    <row r="113" spans="10:47" s="70" customFormat="1" x14ac:dyDescent="0.3">
      <c r="J113" s="142"/>
      <c r="K113" s="142"/>
      <c r="L113" s="142"/>
      <c r="M113" s="144"/>
      <c r="N113" s="144"/>
      <c r="AU113" s="69"/>
    </row>
    <row r="114" spans="10:47" s="70" customFormat="1" x14ac:dyDescent="0.3">
      <c r="J114" s="142"/>
      <c r="K114" s="142"/>
      <c r="L114" s="142"/>
      <c r="M114" s="144"/>
      <c r="N114" s="144"/>
      <c r="AU114" s="69"/>
    </row>
    <row r="115" spans="10:47" s="70" customFormat="1" x14ac:dyDescent="0.3">
      <c r="J115" s="142"/>
      <c r="K115" s="142"/>
      <c r="L115" s="142"/>
      <c r="M115" s="144"/>
      <c r="N115" s="144"/>
      <c r="AU115" s="69"/>
    </row>
    <row r="116" spans="10:47" s="70" customFormat="1" x14ac:dyDescent="0.3">
      <c r="J116" s="142"/>
      <c r="K116" s="142"/>
      <c r="L116" s="142"/>
      <c r="M116" s="144"/>
      <c r="N116" s="144"/>
      <c r="AU116" s="69"/>
    </row>
    <row r="117" spans="10:47" s="70" customFormat="1" x14ac:dyDescent="0.3">
      <c r="J117" s="142"/>
      <c r="K117" s="142"/>
      <c r="L117" s="142"/>
      <c r="M117" s="144"/>
      <c r="N117" s="144"/>
      <c r="AU117" s="69"/>
    </row>
    <row r="118" spans="10:47" s="70" customFormat="1" x14ac:dyDescent="0.3">
      <c r="J118" s="142"/>
      <c r="K118" s="142"/>
      <c r="L118" s="142"/>
      <c r="M118" s="144"/>
      <c r="N118" s="144"/>
      <c r="AU118" s="69"/>
    </row>
    <row r="119" spans="10:47" s="70" customFormat="1" x14ac:dyDescent="0.3">
      <c r="J119" s="142"/>
      <c r="K119" s="142"/>
      <c r="L119" s="142"/>
      <c r="M119" s="144"/>
      <c r="N119" s="144"/>
      <c r="AU119" s="69"/>
    </row>
    <row r="120" spans="10:47" s="70" customFormat="1" x14ac:dyDescent="0.3">
      <c r="J120" s="142"/>
      <c r="K120" s="142"/>
      <c r="L120" s="142"/>
      <c r="M120" s="144"/>
      <c r="N120" s="144"/>
      <c r="AU120" s="69"/>
    </row>
    <row r="121" spans="10:47" s="70" customFormat="1" x14ac:dyDescent="0.3">
      <c r="J121" s="142"/>
      <c r="K121" s="142"/>
      <c r="L121" s="142"/>
      <c r="M121" s="144"/>
      <c r="N121" s="144"/>
      <c r="AU121" s="69"/>
    </row>
    <row r="122" spans="10:47" s="70" customFormat="1" x14ac:dyDescent="0.3">
      <c r="J122" s="142"/>
      <c r="K122" s="142"/>
      <c r="L122" s="142"/>
      <c r="M122" s="144"/>
      <c r="N122" s="144"/>
      <c r="AU122" s="69"/>
    </row>
    <row r="123" spans="10:47" s="70" customFormat="1" x14ac:dyDescent="0.3">
      <c r="J123" s="142"/>
      <c r="K123" s="142"/>
      <c r="L123" s="142"/>
      <c r="M123" s="144"/>
      <c r="N123" s="144"/>
      <c r="AU123" s="69"/>
    </row>
    <row r="124" spans="10:47" s="70" customFormat="1" x14ac:dyDescent="0.3">
      <c r="J124" s="142"/>
      <c r="K124" s="142"/>
      <c r="L124" s="142"/>
      <c r="M124" s="144"/>
      <c r="N124" s="144"/>
      <c r="AU124" s="69"/>
    </row>
    <row r="125" spans="10:47" s="70" customFormat="1" x14ac:dyDescent="0.3">
      <c r="J125" s="142"/>
      <c r="K125" s="142"/>
      <c r="L125" s="142"/>
      <c r="M125" s="144"/>
      <c r="N125" s="144"/>
      <c r="AU125" s="69"/>
    </row>
    <row r="126" spans="10:47" s="70" customFormat="1" x14ac:dyDescent="0.3">
      <c r="J126" s="142"/>
      <c r="K126" s="142"/>
      <c r="L126" s="142"/>
      <c r="M126" s="144"/>
      <c r="N126" s="144"/>
      <c r="AU126" s="69"/>
    </row>
    <row r="127" spans="10:47" s="70" customFormat="1" x14ac:dyDescent="0.3">
      <c r="J127" s="142"/>
      <c r="K127" s="142"/>
      <c r="L127" s="142"/>
      <c r="M127" s="144"/>
      <c r="N127" s="144"/>
      <c r="AU127" s="69"/>
    </row>
    <row r="128" spans="10:47" s="70" customFormat="1" x14ac:dyDescent="0.3">
      <c r="J128" s="142"/>
      <c r="K128" s="142"/>
      <c r="L128" s="142"/>
      <c r="M128" s="144"/>
      <c r="N128" s="144"/>
      <c r="AU128" s="69"/>
    </row>
    <row r="129" spans="10:47" s="70" customFormat="1" x14ac:dyDescent="0.3">
      <c r="J129" s="142"/>
      <c r="K129" s="142"/>
      <c r="L129" s="142"/>
      <c r="M129" s="144"/>
      <c r="N129" s="144"/>
      <c r="AU129" s="69"/>
    </row>
    <row r="130" spans="10:47" s="70" customFormat="1" x14ac:dyDescent="0.3">
      <c r="J130" s="142"/>
      <c r="K130" s="142"/>
      <c r="L130" s="142"/>
      <c r="M130" s="144"/>
      <c r="N130" s="144"/>
      <c r="AU130" s="69"/>
    </row>
    <row r="131" spans="10:47" s="70" customFormat="1" x14ac:dyDescent="0.3">
      <c r="J131" s="142"/>
      <c r="K131" s="142"/>
      <c r="L131" s="142"/>
      <c r="M131" s="144"/>
      <c r="N131" s="144"/>
      <c r="AU131" s="69"/>
    </row>
    <row r="132" spans="10:47" s="70" customFormat="1" x14ac:dyDescent="0.3">
      <c r="J132" s="142"/>
      <c r="K132" s="142"/>
      <c r="L132" s="142"/>
      <c r="M132" s="144"/>
      <c r="N132" s="144"/>
      <c r="AU132" s="69"/>
    </row>
    <row r="133" spans="10:47" s="70" customFormat="1" x14ac:dyDescent="0.3">
      <c r="J133" s="142"/>
      <c r="K133" s="142"/>
      <c r="L133" s="142"/>
      <c r="M133" s="144"/>
      <c r="N133" s="144"/>
      <c r="AU133" s="69"/>
    </row>
    <row r="134" spans="10:47" s="70" customFormat="1" x14ac:dyDescent="0.3">
      <c r="J134" s="142"/>
      <c r="K134" s="142"/>
      <c r="L134" s="142"/>
      <c r="M134" s="144"/>
      <c r="N134" s="144"/>
      <c r="AU134" s="69"/>
    </row>
    <row r="135" spans="10:47" s="70" customFormat="1" x14ac:dyDescent="0.3">
      <c r="J135" s="142"/>
      <c r="K135" s="142"/>
      <c r="L135" s="142"/>
      <c r="M135" s="144"/>
      <c r="N135" s="144"/>
      <c r="AU135" s="69"/>
    </row>
    <row r="136" spans="10:47" s="70" customFormat="1" x14ac:dyDescent="0.3">
      <c r="J136" s="142"/>
      <c r="K136" s="142"/>
      <c r="L136" s="142"/>
      <c r="M136" s="144"/>
      <c r="N136" s="144"/>
      <c r="AU136" s="69"/>
    </row>
    <row r="137" spans="10:47" s="70" customFormat="1" x14ac:dyDescent="0.3">
      <c r="J137" s="142"/>
      <c r="K137" s="142"/>
      <c r="L137" s="142"/>
      <c r="M137" s="144"/>
      <c r="N137" s="144"/>
      <c r="AU137" s="69"/>
    </row>
    <row r="138" spans="10:47" s="70" customFormat="1" x14ac:dyDescent="0.3">
      <c r="J138" s="142"/>
      <c r="K138" s="142"/>
      <c r="L138" s="142"/>
      <c r="M138" s="144"/>
      <c r="N138" s="144"/>
      <c r="AU138" s="69"/>
    </row>
    <row r="139" spans="10:47" s="70" customFormat="1" x14ac:dyDescent="0.3">
      <c r="J139" s="142"/>
      <c r="K139" s="142"/>
      <c r="L139" s="142"/>
      <c r="M139" s="144"/>
      <c r="N139" s="144"/>
      <c r="AU139" s="69"/>
    </row>
    <row r="140" spans="10:47" s="70" customFormat="1" x14ac:dyDescent="0.3">
      <c r="J140" s="142"/>
      <c r="K140" s="142"/>
      <c r="L140" s="142"/>
      <c r="M140" s="144"/>
      <c r="N140" s="144"/>
      <c r="AU140" s="69"/>
    </row>
    <row r="141" spans="10:47" s="70" customFormat="1" x14ac:dyDescent="0.3">
      <c r="J141" s="142"/>
      <c r="K141" s="142"/>
      <c r="L141" s="142"/>
      <c r="M141" s="144"/>
      <c r="N141" s="144"/>
      <c r="AU141" s="69"/>
    </row>
    <row r="142" spans="10:47" s="70" customFormat="1" x14ac:dyDescent="0.3">
      <c r="J142" s="142"/>
      <c r="K142" s="142"/>
      <c r="L142" s="142"/>
      <c r="M142" s="144"/>
      <c r="N142" s="144"/>
      <c r="AU142" s="69"/>
    </row>
    <row r="143" spans="10:47" s="70" customFormat="1" x14ac:dyDescent="0.3">
      <c r="J143" s="142"/>
      <c r="K143" s="142"/>
      <c r="L143" s="142"/>
      <c r="M143" s="144"/>
      <c r="N143" s="144"/>
      <c r="AU143" s="69"/>
    </row>
    <row r="144" spans="10:47" s="70" customFormat="1" x14ac:dyDescent="0.3">
      <c r="J144" s="142"/>
      <c r="K144" s="142"/>
      <c r="L144" s="142"/>
      <c r="M144" s="144"/>
      <c r="N144" s="144"/>
      <c r="AU144" s="69"/>
    </row>
    <row r="145" spans="10:47" s="70" customFormat="1" x14ac:dyDescent="0.3">
      <c r="J145" s="142"/>
      <c r="K145" s="142"/>
      <c r="L145" s="142"/>
      <c r="M145" s="144"/>
      <c r="N145" s="144"/>
      <c r="AU145" s="69"/>
    </row>
    <row r="146" spans="10:47" s="70" customFormat="1" x14ac:dyDescent="0.3">
      <c r="J146" s="142"/>
      <c r="K146" s="142"/>
      <c r="L146" s="142"/>
      <c r="M146" s="144"/>
      <c r="N146" s="144"/>
      <c r="AU146" s="69"/>
    </row>
    <row r="147" spans="10:47" s="70" customFormat="1" x14ac:dyDescent="0.3">
      <c r="J147" s="142"/>
      <c r="K147" s="142"/>
      <c r="L147" s="142"/>
      <c r="M147" s="144"/>
      <c r="N147" s="144"/>
      <c r="AU147" s="69"/>
    </row>
    <row r="148" spans="10:47" s="70" customFormat="1" x14ac:dyDescent="0.3">
      <c r="J148" s="142"/>
      <c r="K148" s="142"/>
      <c r="L148" s="142"/>
      <c r="M148" s="144"/>
      <c r="N148" s="144"/>
      <c r="AU148" s="69"/>
    </row>
    <row r="149" spans="10:47" s="70" customFormat="1" x14ac:dyDescent="0.3">
      <c r="J149" s="142"/>
      <c r="K149" s="142"/>
      <c r="L149" s="142"/>
      <c r="M149" s="144"/>
      <c r="N149" s="144"/>
      <c r="AU149" s="69"/>
    </row>
    <row r="150" spans="10:47" s="70" customFormat="1" x14ac:dyDescent="0.3">
      <c r="J150" s="142"/>
      <c r="K150" s="142"/>
      <c r="L150" s="142"/>
      <c r="M150" s="144"/>
      <c r="N150" s="144"/>
      <c r="AU150" s="69"/>
    </row>
    <row r="151" spans="10:47" s="70" customFormat="1" x14ac:dyDescent="0.3">
      <c r="J151" s="142"/>
      <c r="K151" s="142"/>
      <c r="L151" s="142"/>
      <c r="M151" s="144"/>
      <c r="N151" s="144"/>
      <c r="AU151" s="69"/>
    </row>
    <row r="152" spans="10:47" s="70" customFormat="1" x14ac:dyDescent="0.3">
      <c r="J152" s="142"/>
      <c r="K152" s="142"/>
      <c r="L152" s="142"/>
      <c r="M152" s="144"/>
      <c r="N152" s="144"/>
      <c r="AU152" s="69"/>
    </row>
    <row r="153" spans="10:47" s="70" customFormat="1" x14ac:dyDescent="0.3">
      <c r="J153" s="142"/>
      <c r="K153" s="142"/>
      <c r="L153" s="142"/>
      <c r="M153" s="144"/>
      <c r="N153" s="144"/>
      <c r="AU153" s="69"/>
    </row>
    <row r="154" spans="10:47" s="70" customFormat="1" x14ac:dyDescent="0.3">
      <c r="J154" s="142"/>
      <c r="K154" s="142"/>
      <c r="L154" s="142"/>
      <c r="M154" s="144"/>
      <c r="N154" s="144"/>
      <c r="AU154" s="69"/>
    </row>
    <row r="155" spans="10:47" s="70" customFormat="1" x14ac:dyDescent="0.3">
      <c r="J155" s="142"/>
      <c r="K155" s="142"/>
      <c r="L155" s="142"/>
      <c r="M155" s="144"/>
      <c r="N155" s="144"/>
      <c r="AU155" s="69"/>
    </row>
    <row r="156" spans="10:47" s="70" customFormat="1" x14ac:dyDescent="0.3">
      <c r="J156" s="142"/>
      <c r="K156" s="142"/>
      <c r="L156" s="142"/>
      <c r="M156" s="144"/>
      <c r="N156" s="144"/>
      <c r="AU156" s="69"/>
    </row>
    <row r="157" spans="10:47" s="70" customFormat="1" x14ac:dyDescent="0.3">
      <c r="J157" s="142"/>
      <c r="K157" s="142"/>
      <c r="L157" s="142"/>
      <c r="M157" s="144"/>
      <c r="N157" s="144"/>
      <c r="AU157" s="69"/>
    </row>
    <row r="158" spans="10:47" s="70" customFormat="1" x14ac:dyDescent="0.3">
      <c r="J158" s="142"/>
      <c r="K158" s="142"/>
      <c r="L158" s="142"/>
      <c r="M158" s="144"/>
      <c r="N158" s="144"/>
      <c r="AU158" s="69"/>
    </row>
    <row r="159" spans="10:47" s="70" customFormat="1" x14ac:dyDescent="0.3">
      <c r="J159" s="142"/>
      <c r="K159" s="142"/>
      <c r="L159" s="142"/>
      <c r="M159" s="144"/>
      <c r="N159" s="144"/>
      <c r="AU159" s="69"/>
    </row>
    <row r="160" spans="10:47" s="70" customFormat="1" x14ac:dyDescent="0.3">
      <c r="J160" s="142"/>
      <c r="K160" s="142"/>
      <c r="L160" s="142"/>
      <c r="M160" s="144"/>
      <c r="N160" s="144"/>
      <c r="AU160" s="69"/>
    </row>
    <row r="161" spans="1:48" s="70" customFormat="1" x14ac:dyDescent="0.3">
      <c r="J161" s="142"/>
      <c r="K161" s="142"/>
      <c r="L161" s="142"/>
      <c r="M161" s="144"/>
      <c r="N161" s="144"/>
      <c r="AU161" s="69"/>
    </row>
    <row r="162" spans="1:48" s="70" customFormat="1" x14ac:dyDescent="0.3">
      <c r="J162" s="142"/>
      <c r="K162" s="142"/>
      <c r="L162" s="142"/>
      <c r="M162" s="144"/>
      <c r="N162" s="144"/>
      <c r="AU162" s="69"/>
    </row>
    <row r="163" spans="1:48" s="70" customFormat="1" x14ac:dyDescent="0.3">
      <c r="J163" s="142"/>
      <c r="K163" s="142"/>
      <c r="L163" s="142"/>
      <c r="M163" s="144"/>
      <c r="N163" s="144"/>
      <c r="AU163" s="69"/>
    </row>
    <row r="164" spans="1:48" s="70" customFormat="1" x14ac:dyDescent="0.3">
      <c r="J164" s="142"/>
      <c r="K164" s="142"/>
      <c r="L164" s="142"/>
      <c r="M164" s="144"/>
      <c r="N164" s="144"/>
      <c r="AU164" s="69"/>
    </row>
    <row r="165" spans="1:48" s="70" customFormat="1" x14ac:dyDescent="0.3">
      <c r="J165" s="142"/>
      <c r="K165" s="142"/>
      <c r="L165" s="142"/>
      <c r="M165" s="144"/>
      <c r="N165" s="144"/>
      <c r="AU165" s="69"/>
    </row>
    <row r="166" spans="1:48" s="70" customFormat="1" x14ac:dyDescent="0.3">
      <c r="J166" s="142"/>
      <c r="K166" s="142"/>
      <c r="L166" s="142"/>
      <c r="M166" s="144"/>
      <c r="N166" s="144"/>
      <c r="AU166" s="69"/>
    </row>
    <row r="167" spans="1:48" s="145" customFormat="1" x14ac:dyDescent="0.3">
      <c r="A167" s="70"/>
      <c r="B167" s="70"/>
      <c r="C167" s="70"/>
      <c r="D167" s="70"/>
      <c r="E167" s="70"/>
      <c r="F167" s="70"/>
      <c r="G167" s="70"/>
      <c r="H167" s="70"/>
      <c r="I167" s="70"/>
      <c r="J167" s="142"/>
      <c r="K167" s="142"/>
      <c r="L167" s="142"/>
      <c r="M167" s="144"/>
      <c r="N167" s="144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69"/>
      <c r="AV167" s="70"/>
    </row>
    <row r="168" spans="1:48" s="145" customFormat="1" x14ac:dyDescent="0.3">
      <c r="A168" s="70"/>
      <c r="B168" s="70"/>
      <c r="C168" s="70"/>
      <c r="D168" s="70"/>
      <c r="E168" s="70"/>
      <c r="F168" s="70"/>
      <c r="G168" s="70"/>
      <c r="H168" s="70"/>
      <c r="I168" s="70"/>
      <c r="J168" s="142"/>
      <c r="K168" s="142"/>
      <c r="L168" s="142"/>
      <c r="M168" s="144"/>
      <c r="N168" s="144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69"/>
      <c r="AV168" s="70"/>
    </row>
    <row r="169" spans="1:48" s="145" customFormat="1" x14ac:dyDescent="0.3">
      <c r="A169" s="70"/>
      <c r="B169" s="70"/>
      <c r="C169" s="70"/>
      <c r="D169" s="70"/>
      <c r="E169" s="70"/>
      <c r="F169" s="70"/>
      <c r="G169" s="70"/>
      <c r="H169" s="70"/>
      <c r="I169" s="70"/>
      <c r="J169" s="142"/>
      <c r="K169" s="142"/>
      <c r="L169" s="142"/>
      <c r="M169" s="144"/>
      <c r="N169" s="144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69"/>
      <c r="AV169" s="70"/>
    </row>
    <row r="170" spans="1:48" s="145" customFormat="1" x14ac:dyDescent="0.3">
      <c r="A170" s="70"/>
      <c r="B170" s="70"/>
      <c r="C170" s="70"/>
      <c r="D170" s="70"/>
      <c r="E170" s="70"/>
      <c r="F170" s="70"/>
      <c r="G170" s="70"/>
      <c r="H170" s="70"/>
      <c r="I170" s="70"/>
      <c r="J170" s="142"/>
      <c r="K170" s="142"/>
      <c r="L170" s="142"/>
      <c r="M170" s="144"/>
      <c r="N170" s="144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69"/>
      <c r="AV170" s="70"/>
    </row>
    <row r="171" spans="1:48" s="145" customFormat="1" x14ac:dyDescent="0.3">
      <c r="A171" s="70"/>
      <c r="B171" s="70"/>
      <c r="C171" s="70"/>
      <c r="D171" s="70"/>
      <c r="E171" s="70"/>
      <c r="F171" s="70"/>
      <c r="G171" s="70"/>
      <c r="H171" s="70"/>
      <c r="I171" s="70"/>
      <c r="J171" s="142"/>
      <c r="K171" s="142"/>
      <c r="L171" s="142"/>
      <c r="M171" s="144"/>
      <c r="N171" s="144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69"/>
      <c r="AV171" s="70"/>
    </row>
    <row r="172" spans="1:48" s="145" customFormat="1" x14ac:dyDescent="0.3">
      <c r="A172" s="70"/>
      <c r="B172" s="70"/>
      <c r="C172" s="70"/>
      <c r="D172" s="70"/>
      <c r="E172" s="70"/>
      <c r="F172" s="70"/>
      <c r="G172" s="70"/>
      <c r="H172" s="70"/>
      <c r="I172" s="70"/>
      <c r="J172" s="142"/>
      <c r="K172" s="142"/>
      <c r="L172" s="142"/>
      <c r="M172" s="144"/>
      <c r="N172" s="144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69"/>
      <c r="AV172" s="70"/>
    </row>
    <row r="173" spans="1:48" s="145" customFormat="1" x14ac:dyDescent="0.3">
      <c r="A173" s="70"/>
      <c r="B173" s="70"/>
      <c r="C173" s="70"/>
      <c r="D173" s="70"/>
      <c r="E173" s="70"/>
      <c r="F173" s="70"/>
      <c r="G173" s="70"/>
      <c r="H173" s="70"/>
      <c r="I173" s="70"/>
      <c r="J173" s="142"/>
      <c r="K173" s="142"/>
      <c r="L173" s="142"/>
      <c r="M173" s="144"/>
      <c r="N173" s="144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69"/>
      <c r="AV173" s="70"/>
    </row>
    <row r="174" spans="1:48" s="145" customFormat="1" x14ac:dyDescent="0.3">
      <c r="A174" s="70"/>
      <c r="B174" s="70"/>
      <c r="C174" s="70"/>
      <c r="D174" s="70"/>
      <c r="E174" s="70"/>
      <c r="F174" s="70"/>
      <c r="G174" s="70"/>
      <c r="H174" s="70"/>
      <c r="I174" s="70"/>
      <c r="J174" s="142"/>
      <c r="K174" s="142"/>
      <c r="L174" s="142"/>
      <c r="M174" s="144"/>
      <c r="N174" s="144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69"/>
      <c r="AV174" s="70"/>
    </row>
    <row r="175" spans="1:48" s="145" customFormat="1" x14ac:dyDescent="0.3">
      <c r="A175" s="70"/>
      <c r="B175" s="70"/>
      <c r="C175" s="70"/>
      <c r="D175" s="70"/>
      <c r="E175" s="70"/>
      <c r="F175" s="70"/>
      <c r="G175" s="70"/>
      <c r="H175" s="70"/>
      <c r="I175" s="70"/>
      <c r="J175" s="142"/>
      <c r="K175" s="142"/>
      <c r="L175" s="142"/>
      <c r="M175" s="144"/>
      <c r="N175" s="144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69"/>
      <c r="AV175" s="70"/>
    </row>
    <row r="176" spans="1:48" s="145" customFormat="1" x14ac:dyDescent="0.3">
      <c r="A176" s="70"/>
      <c r="B176" s="70"/>
      <c r="C176" s="70"/>
      <c r="D176" s="70"/>
      <c r="E176" s="70"/>
      <c r="F176" s="70"/>
      <c r="G176" s="70"/>
      <c r="H176" s="70"/>
      <c r="I176" s="70"/>
      <c r="J176" s="142"/>
      <c r="K176" s="142"/>
      <c r="L176" s="142"/>
      <c r="M176" s="144"/>
      <c r="N176" s="144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69"/>
      <c r="AV176" s="70"/>
    </row>
    <row r="177" spans="1:48" s="145" customFormat="1" x14ac:dyDescent="0.3">
      <c r="A177" s="70"/>
      <c r="B177" s="70"/>
      <c r="C177" s="70"/>
      <c r="D177" s="70"/>
      <c r="E177" s="70"/>
      <c r="F177" s="70"/>
      <c r="G177" s="70"/>
      <c r="H177" s="70"/>
      <c r="I177" s="70"/>
      <c r="J177" s="142"/>
      <c r="K177" s="142"/>
      <c r="L177" s="142"/>
      <c r="M177" s="144"/>
      <c r="N177" s="144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69"/>
      <c r="AV177" s="70"/>
    </row>
    <row r="178" spans="1:48" s="145" customFormat="1" x14ac:dyDescent="0.3">
      <c r="A178" s="70"/>
      <c r="B178" s="70"/>
      <c r="C178" s="70"/>
      <c r="D178" s="70"/>
      <c r="E178" s="70"/>
      <c r="F178" s="70"/>
      <c r="G178" s="70"/>
      <c r="H178" s="70"/>
      <c r="I178" s="70"/>
      <c r="J178" s="142"/>
      <c r="K178" s="142"/>
      <c r="L178" s="142"/>
      <c r="M178" s="147"/>
      <c r="N178" s="144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69"/>
      <c r="AV178" s="70"/>
    </row>
    <row r="179" spans="1:48" s="145" customFormat="1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146"/>
      <c r="K179" s="146"/>
      <c r="L179" s="146"/>
      <c r="M179" s="147"/>
      <c r="N179" s="144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69"/>
      <c r="AV179" s="70"/>
    </row>
    <row r="180" spans="1:48" s="145" customFormat="1" x14ac:dyDescent="0.3">
      <c r="A180" s="70"/>
      <c r="B180" s="70"/>
      <c r="C180" s="70"/>
      <c r="D180" s="70"/>
      <c r="E180" s="70"/>
      <c r="F180" s="70"/>
      <c r="G180" s="70"/>
      <c r="H180" s="70"/>
      <c r="I180" s="70"/>
      <c r="J180" s="146"/>
      <c r="K180" s="146"/>
      <c r="L180" s="146"/>
      <c r="M180" s="147"/>
      <c r="N180" s="144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69"/>
      <c r="AV180" s="70"/>
    </row>
    <row r="181" spans="1:48" s="145" customFormat="1" x14ac:dyDescent="0.3">
      <c r="A181" s="70"/>
      <c r="B181" s="70"/>
      <c r="C181" s="70"/>
      <c r="D181" s="70"/>
      <c r="E181" s="70"/>
      <c r="F181" s="70"/>
      <c r="G181" s="70"/>
      <c r="H181" s="70"/>
      <c r="I181" s="70"/>
      <c r="J181" s="146"/>
      <c r="K181" s="146"/>
      <c r="L181" s="146"/>
      <c r="M181" s="147"/>
      <c r="N181" s="144"/>
      <c r="O181" s="149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69"/>
      <c r="AV181" s="70"/>
    </row>
    <row r="182" spans="1:48" s="145" customFormat="1" x14ac:dyDescent="0.3">
      <c r="A182" s="70"/>
      <c r="B182" s="70"/>
      <c r="C182" s="70"/>
      <c r="D182" s="70"/>
      <c r="E182" s="70"/>
      <c r="F182" s="70"/>
      <c r="G182" s="70"/>
      <c r="H182" s="70"/>
      <c r="I182" s="70"/>
      <c r="J182" s="146"/>
      <c r="K182" s="146"/>
      <c r="L182" s="146"/>
      <c r="M182" s="147"/>
      <c r="N182" s="144"/>
      <c r="O182" s="149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69"/>
      <c r="AV182" s="70"/>
    </row>
    <row r="183" spans="1:48" s="145" customFormat="1" x14ac:dyDescent="0.3">
      <c r="A183" s="70"/>
      <c r="B183" s="70"/>
      <c r="C183" s="70"/>
      <c r="D183" s="70"/>
      <c r="E183" s="70"/>
      <c r="F183" s="70"/>
      <c r="G183" s="70"/>
      <c r="H183" s="70"/>
      <c r="I183" s="70"/>
      <c r="J183" s="146"/>
      <c r="K183" s="146"/>
      <c r="L183" s="146"/>
      <c r="M183" s="147"/>
      <c r="N183" s="147"/>
      <c r="O183" s="149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69"/>
      <c r="AV183" s="70"/>
    </row>
    <row r="184" spans="1:48" x14ac:dyDescent="0.3">
      <c r="A184" s="70"/>
      <c r="B184" s="70"/>
      <c r="C184" s="70"/>
      <c r="D184" s="70"/>
      <c r="E184" s="70"/>
      <c r="F184" s="70"/>
      <c r="G184" s="70"/>
      <c r="H184" s="70"/>
      <c r="I184" s="70"/>
      <c r="J184" s="146"/>
      <c r="K184" s="146"/>
      <c r="L184" s="146"/>
      <c r="M184" s="147"/>
      <c r="N184" s="147"/>
      <c r="O184" s="149"/>
      <c r="AU184" s="148"/>
      <c r="AV184" s="148"/>
    </row>
    <row r="185" spans="1:48" x14ac:dyDescent="0.3">
      <c r="A185" s="70"/>
      <c r="B185" s="70"/>
      <c r="C185" s="70"/>
      <c r="D185" s="70"/>
      <c r="E185" s="70"/>
      <c r="F185" s="70"/>
      <c r="G185" s="70"/>
      <c r="H185" s="70"/>
      <c r="I185" s="70"/>
      <c r="J185" s="146"/>
      <c r="K185" s="146"/>
      <c r="L185" s="146"/>
      <c r="M185" s="147"/>
      <c r="N185" s="147"/>
      <c r="O185" s="149"/>
      <c r="AU185" s="148"/>
      <c r="AV185" s="148"/>
    </row>
    <row r="186" spans="1:48" x14ac:dyDescent="0.3">
      <c r="A186" s="70"/>
      <c r="B186" s="70"/>
      <c r="C186" s="70"/>
      <c r="D186" s="70"/>
      <c r="E186" s="70"/>
      <c r="F186" s="70"/>
      <c r="G186" s="70"/>
      <c r="H186" s="70"/>
      <c r="I186" s="70"/>
      <c r="J186" s="146"/>
      <c r="K186" s="146"/>
      <c r="L186" s="146"/>
      <c r="M186" s="147"/>
      <c r="N186" s="147"/>
      <c r="O186" s="149"/>
      <c r="AU186" s="148"/>
      <c r="AV186" s="148"/>
    </row>
    <row r="187" spans="1:48" x14ac:dyDescent="0.3">
      <c r="A187" s="70"/>
      <c r="B187" s="70"/>
      <c r="C187" s="70"/>
      <c r="D187" s="70"/>
      <c r="E187" s="70"/>
      <c r="F187" s="70"/>
      <c r="G187" s="70"/>
      <c r="H187" s="70"/>
      <c r="I187" s="70"/>
      <c r="J187" s="146"/>
      <c r="K187" s="146"/>
      <c r="L187" s="146"/>
      <c r="M187" s="147"/>
      <c r="N187" s="147"/>
      <c r="O187" s="149"/>
      <c r="AU187" s="148"/>
      <c r="AV187" s="148"/>
    </row>
    <row r="188" spans="1:48" x14ac:dyDescent="0.3">
      <c r="A188" s="149"/>
      <c r="B188" s="149"/>
      <c r="C188" s="149"/>
      <c r="D188" s="149"/>
      <c r="E188" s="149"/>
      <c r="F188" s="149"/>
      <c r="G188" s="149"/>
      <c r="H188" s="70"/>
      <c r="I188" s="70"/>
      <c r="J188" s="146"/>
      <c r="K188" s="146"/>
      <c r="L188" s="146"/>
      <c r="M188" s="147"/>
      <c r="N188" s="147"/>
      <c r="O188" s="149"/>
      <c r="AU188" s="148"/>
      <c r="AV188" s="148"/>
    </row>
    <row r="189" spans="1:48" x14ac:dyDescent="0.3">
      <c r="A189" s="149"/>
      <c r="B189" s="149"/>
      <c r="C189" s="149"/>
      <c r="D189" s="149"/>
      <c r="E189" s="149"/>
      <c r="F189" s="149"/>
      <c r="G189" s="149"/>
      <c r="H189" s="149"/>
      <c r="I189" s="149"/>
      <c r="J189" s="146"/>
      <c r="K189" s="146"/>
      <c r="L189" s="146"/>
      <c r="M189" s="147"/>
      <c r="N189" s="147"/>
      <c r="O189" s="149"/>
      <c r="AU189" s="148"/>
      <c r="AV189" s="148"/>
    </row>
    <row r="190" spans="1:48" x14ac:dyDescent="0.3">
      <c r="A190" s="149"/>
      <c r="B190" s="149"/>
      <c r="C190" s="149"/>
      <c r="D190" s="149"/>
      <c r="E190" s="149"/>
      <c r="F190" s="149"/>
      <c r="G190" s="149"/>
      <c r="H190" s="149"/>
      <c r="I190" s="149"/>
      <c r="J190" s="146"/>
      <c r="K190" s="146"/>
      <c r="L190" s="146"/>
      <c r="M190" s="147"/>
      <c r="N190" s="147"/>
      <c r="O190" s="149"/>
      <c r="AU190" s="148"/>
      <c r="AV190" s="148"/>
    </row>
    <row r="191" spans="1:48" x14ac:dyDescent="0.3">
      <c r="A191" s="149"/>
      <c r="B191" s="149"/>
      <c r="C191" s="149"/>
      <c r="D191" s="149"/>
      <c r="E191" s="149"/>
      <c r="F191" s="149"/>
      <c r="G191" s="149"/>
      <c r="H191" s="149"/>
      <c r="I191" s="149"/>
      <c r="J191" s="146"/>
      <c r="K191" s="146"/>
      <c r="L191" s="146"/>
      <c r="M191" s="147"/>
      <c r="N191" s="147"/>
      <c r="O191" s="149"/>
      <c r="AU191" s="148"/>
      <c r="AV191" s="148"/>
    </row>
    <row r="192" spans="1:48" x14ac:dyDescent="0.3">
      <c r="A192" s="149"/>
      <c r="B192" s="149"/>
      <c r="C192" s="149"/>
      <c r="D192" s="149"/>
      <c r="E192" s="149"/>
      <c r="F192" s="149"/>
      <c r="G192" s="149"/>
      <c r="H192" s="149"/>
      <c r="I192" s="149"/>
      <c r="J192" s="146"/>
      <c r="K192" s="146"/>
      <c r="L192" s="146"/>
      <c r="M192" s="147"/>
      <c r="N192" s="147"/>
      <c r="O192" s="149"/>
      <c r="AU192" s="148"/>
      <c r="AV192" s="148"/>
    </row>
    <row r="193" spans="1:48" x14ac:dyDescent="0.3">
      <c r="A193" s="149"/>
      <c r="B193" s="149"/>
      <c r="C193" s="149"/>
      <c r="D193" s="149"/>
      <c r="E193" s="149"/>
      <c r="F193" s="149"/>
      <c r="G193" s="149"/>
      <c r="H193" s="149"/>
      <c r="I193" s="149"/>
      <c r="J193" s="146"/>
      <c r="K193" s="146"/>
      <c r="L193" s="146"/>
      <c r="M193" s="147"/>
      <c r="N193" s="147"/>
      <c r="AU193" s="148"/>
      <c r="AV193" s="148"/>
    </row>
    <row r="194" spans="1:48" x14ac:dyDescent="0.3">
      <c r="A194" s="149"/>
      <c r="B194" s="149"/>
      <c r="C194" s="149"/>
      <c r="D194" s="149"/>
      <c r="E194" s="149"/>
      <c r="F194" s="149"/>
      <c r="G194" s="149"/>
      <c r="H194" s="149"/>
      <c r="I194" s="149"/>
      <c r="J194" s="146"/>
      <c r="K194" s="146"/>
      <c r="L194" s="146"/>
      <c r="M194" s="147"/>
      <c r="N194" s="147"/>
      <c r="AU194" s="148"/>
      <c r="AV194" s="148"/>
    </row>
    <row r="195" spans="1:48" x14ac:dyDescent="0.3">
      <c r="A195" s="149"/>
      <c r="B195" s="149"/>
      <c r="C195" s="149"/>
      <c r="D195" s="149"/>
      <c r="E195" s="149"/>
      <c r="F195" s="149"/>
      <c r="G195" s="149"/>
      <c r="H195" s="149"/>
      <c r="I195" s="149"/>
      <c r="J195" s="146"/>
      <c r="K195" s="146"/>
      <c r="L195" s="146"/>
      <c r="N195" s="147"/>
      <c r="AU195" s="148"/>
      <c r="AV195" s="148"/>
    </row>
    <row r="196" spans="1:48" x14ac:dyDescent="0.3">
      <c r="A196" s="149"/>
      <c r="B196" s="149"/>
      <c r="C196" s="149"/>
      <c r="D196" s="149"/>
      <c r="E196" s="149"/>
      <c r="F196" s="149"/>
      <c r="G196" s="149"/>
      <c r="H196" s="149"/>
      <c r="I196" s="149"/>
      <c r="N196" s="147"/>
    </row>
    <row r="197" spans="1:48" x14ac:dyDescent="0.3">
      <c r="A197" s="149"/>
      <c r="B197" s="149"/>
      <c r="C197" s="149"/>
      <c r="D197" s="149"/>
      <c r="E197" s="149"/>
      <c r="F197" s="149"/>
      <c r="G197" s="149"/>
      <c r="H197" s="149"/>
      <c r="I197" s="149"/>
      <c r="N197" s="147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69"/>
      <c r="AJ197" s="69"/>
      <c r="AK197" s="69"/>
      <c r="AL197" s="69"/>
      <c r="AM197" s="69"/>
      <c r="AN197" s="69"/>
      <c r="AO197" s="69"/>
      <c r="AP197" s="69"/>
      <c r="AQ197" s="69"/>
      <c r="AR197" s="69"/>
      <c r="AS197" s="69"/>
      <c r="AT197" s="69"/>
      <c r="AU197" s="148"/>
      <c r="AV197" s="148"/>
    </row>
    <row r="198" spans="1:48" x14ac:dyDescent="0.3">
      <c r="A198" s="149"/>
      <c r="B198" s="149"/>
      <c r="C198" s="149"/>
      <c r="D198" s="149"/>
      <c r="E198" s="149"/>
      <c r="F198" s="149"/>
      <c r="G198" s="149"/>
      <c r="H198" s="149"/>
      <c r="I198" s="149"/>
      <c r="N198" s="147"/>
    </row>
    <row r="199" spans="1:48" x14ac:dyDescent="0.3">
      <c r="A199" s="149"/>
      <c r="B199" s="149"/>
      <c r="C199" s="149"/>
      <c r="D199" s="149"/>
      <c r="E199" s="149"/>
      <c r="F199" s="149"/>
      <c r="G199" s="149"/>
      <c r="H199" s="149"/>
      <c r="I199" s="149"/>
      <c r="M199" s="148"/>
      <c r="N199" s="147"/>
    </row>
    <row r="200" spans="1:48" x14ac:dyDescent="0.3">
      <c r="A200" s="149"/>
      <c r="B200" s="149"/>
      <c r="C200" s="149"/>
      <c r="D200" s="149"/>
      <c r="E200" s="149"/>
      <c r="F200" s="149"/>
      <c r="G200" s="149"/>
      <c r="H200" s="149"/>
      <c r="I200" s="149"/>
    </row>
    <row r="201" spans="1:48" x14ac:dyDescent="0.3">
      <c r="A201" s="149"/>
      <c r="B201" s="149"/>
      <c r="C201" s="149"/>
      <c r="D201" s="149"/>
      <c r="E201" s="149"/>
      <c r="F201" s="149"/>
      <c r="G201" s="149"/>
      <c r="H201" s="149"/>
      <c r="I201" s="149"/>
    </row>
    <row r="202" spans="1:48" x14ac:dyDescent="0.3">
      <c r="A202" s="149"/>
      <c r="B202" s="149"/>
      <c r="C202" s="149"/>
      <c r="D202" s="149"/>
      <c r="E202" s="149"/>
      <c r="F202" s="149"/>
      <c r="G202" s="149"/>
      <c r="H202" s="149"/>
      <c r="I202" s="149"/>
    </row>
    <row r="203" spans="1:48" x14ac:dyDescent="0.3">
      <c r="A203" s="149"/>
      <c r="B203" s="149"/>
      <c r="C203" s="149"/>
      <c r="D203" s="149"/>
      <c r="E203" s="149"/>
      <c r="F203" s="149"/>
      <c r="G203" s="149"/>
      <c r="H203" s="149"/>
      <c r="I203" s="149"/>
    </row>
    <row r="204" spans="1:48" x14ac:dyDescent="0.3">
      <c r="A204" s="149"/>
      <c r="B204" s="149"/>
      <c r="C204" s="149"/>
      <c r="D204" s="149"/>
      <c r="E204" s="149"/>
      <c r="F204" s="149"/>
      <c r="G204" s="149"/>
      <c r="H204" s="149"/>
      <c r="I204" s="149"/>
    </row>
    <row r="205" spans="1:48" x14ac:dyDescent="0.3">
      <c r="H205" s="149"/>
      <c r="I205" s="149"/>
    </row>
    <row r="209" spans="10:12" x14ac:dyDescent="0.3">
      <c r="J209" s="148"/>
      <c r="K209" s="148"/>
      <c r="L209" s="148"/>
    </row>
    <row r="1048537" spans="1:59" x14ac:dyDescent="0.3">
      <c r="O1048537" s="57"/>
    </row>
    <row r="1048541" spans="1:59" s="70" customFormat="1" x14ac:dyDescent="0.3">
      <c r="A1048541" s="148"/>
      <c r="B1048541" s="148"/>
      <c r="C1048541" s="148"/>
      <c r="D1048541" s="148"/>
      <c r="E1048541" s="148"/>
      <c r="F1048541" s="148"/>
      <c r="G1048541" s="148"/>
      <c r="H1048541" s="148"/>
      <c r="I1048541" s="148"/>
      <c r="J1048541" s="150"/>
      <c r="K1048541" s="150"/>
      <c r="L1048541" s="150"/>
      <c r="M1048541" s="150"/>
      <c r="N1048541" s="150"/>
      <c r="O1048541" s="148"/>
      <c r="AU1048541" s="69"/>
      <c r="AV1048541" s="69"/>
      <c r="AW1048541" s="148"/>
      <c r="AX1048541" s="148"/>
      <c r="AY1048541" s="148"/>
      <c r="AZ1048541" s="148"/>
      <c r="BA1048541" s="148"/>
      <c r="BB1048541" s="148"/>
      <c r="BC1048541" s="148"/>
      <c r="BD1048541" s="148"/>
      <c r="BE1048541" s="148"/>
      <c r="BF1048541" s="148"/>
      <c r="BG1048541" s="148"/>
    </row>
  </sheetData>
  <mergeCells count="46">
    <mergeCell ref="M66:N66"/>
    <mergeCell ref="M67:N67"/>
    <mergeCell ref="M75:N75"/>
    <mergeCell ref="M69:N69"/>
    <mergeCell ref="M70:N70"/>
    <mergeCell ref="M71:N71"/>
    <mergeCell ref="M72:N72"/>
    <mergeCell ref="M73:N73"/>
    <mergeCell ref="M74:O74"/>
    <mergeCell ref="M62:N62"/>
    <mergeCell ref="M63:N63"/>
    <mergeCell ref="M64:N64"/>
    <mergeCell ref="M65:N65"/>
    <mergeCell ref="A48:D48"/>
    <mergeCell ref="E48:G102"/>
    <mergeCell ref="M48:O48"/>
    <mergeCell ref="M49:N49"/>
    <mergeCell ref="M50:N50"/>
    <mergeCell ref="M51:O52"/>
    <mergeCell ref="M53:O53"/>
    <mergeCell ref="M54:N54"/>
    <mergeCell ref="M55:N55"/>
    <mergeCell ref="M56:N56"/>
    <mergeCell ref="M60:N60"/>
    <mergeCell ref="M68:N68"/>
    <mergeCell ref="M57:N57"/>
    <mergeCell ref="M58:N58"/>
    <mergeCell ref="M59:N59"/>
    <mergeCell ref="M61:N61"/>
    <mergeCell ref="A46:I46"/>
    <mergeCell ref="D37:I37"/>
    <mergeCell ref="D38:I38"/>
    <mergeCell ref="D39:I39"/>
    <mergeCell ref="A40:I40"/>
    <mergeCell ref="A41:M41"/>
    <mergeCell ref="A42:O42"/>
    <mergeCell ref="D43:I43"/>
    <mergeCell ref="D44:I44"/>
    <mergeCell ref="D45:I45"/>
    <mergeCell ref="M40:O40"/>
    <mergeCell ref="A36:O36"/>
    <mergeCell ref="A1:O1"/>
    <mergeCell ref="A2:O2"/>
    <mergeCell ref="A5:B5"/>
    <mergeCell ref="A6:O6"/>
    <mergeCell ref="A35:B35"/>
  </mergeCells>
  <pageMargins left="0" right="0" top="0" bottom="0" header="0.31496062992125984" footer="0.31496062992125984"/>
  <pageSetup paperSize="9" scale="1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11C6-CBEB-4E65-B0EC-29770E173F0A}">
  <sheetPr>
    <pageSetUpPr fitToPage="1"/>
  </sheetPr>
  <dimension ref="A1:BH1048541"/>
  <sheetViews>
    <sheetView zoomScale="60" zoomScaleNormal="60" workbookViewId="0">
      <selection activeCell="G4" activeCellId="1" sqref="G8:G34 G4"/>
    </sheetView>
  </sheetViews>
  <sheetFormatPr defaultColWidth="9.109375" defaultRowHeight="13.8" x14ac:dyDescent="0.3"/>
  <cols>
    <col min="1" max="1" width="27.6640625" style="148" customWidth="1"/>
    <col min="2" max="2" width="13.109375" style="148" bestFit="1" customWidth="1"/>
    <col min="3" max="3" width="19.88671875" style="148" customWidth="1"/>
    <col min="4" max="4" width="19.44140625" style="148" customWidth="1"/>
    <col min="5" max="5" width="21.33203125" style="148" customWidth="1"/>
    <col min="6" max="8" width="19.109375" style="148" customWidth="1"/>
    <col min="9" max="9" width="17.5546875" style="148" customWidth="1"/>
    <col min="10" max="10" width="15.5546875" style="148" bestFit="1" customWidth="1"/>
    <col min="11" max="11" width="21.44140625" style="150" customWidth="1"/>
    <col min="12" max="12" width="17.109375" style="150" bestFit="1" customWidth="1"/>
    <col min="13" max="13" width="18" style="150" bestFit="1" customWidth="1"/>
    <col min="14" max="14" width="121.44140625" style="150" bestFit="1" customWidth="1"/>
    <col min="15" max="15" width="9.5546875" style="150" customWidth="1"/>
    <col min="16" max="16" width="18.5546875" style="148" customWidth="1"/>
    <col min="17" max="17" width="40.109375" style="70" bestFit="1" customWidth="1"/>
    <col min="18" max="18" width="13.109375" style="70" bestFit="1" customWidth="1"/>
    <col min="19" max="47" width="9.109375" style="70"/>
    <col min="48" max="49" width="9.109375" style="69"/>
    <col min="50" max="16384" width="9.109375" style="148"/>
  </cols>
  <sheetData>
    <row r="1" spans="1:42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</row>
    <row r="2" spans="1:42" s="10" customFormat="1" ht="28.5" customHeight="1" x14ac:dyDescent="0.3">
      <c r="A2" s="521" t="s">
        <v>675</v>
      </c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</row>
    <row r="3" spans="1:42" s="10" customFormat="1" ht="30.75" customHeight="1" x14ac:dyDescent="0.3">
      <c r="A3" s="83" t="s">
        <v>3</v>
      </c>
      <c r="B3" s="83" t="s">
        <v>0</v>
      </c>
      <c r="C3" s="84" t="s">
        <v>1</v>
      </c>
      <c r="D3" s="84" t="s">
        <v>68</v>
      </c>
      <c r="E3" s="84" t="s">
        <v>69</v>
      </c>
      <c r="F3" s="85" t="s">
        <v>2</v>
      </c>
      <c r="G3" s="85" t="s">
        <v>678</v>
      </c>
      <c r="H3" s="85" t="s">
        <v>592</v>
      </c>
      <c r="I3" s="84" t="s">
        <v>6</v>
      </c>
      <c r="J3" s="84" t="s">
        <v>7</v>
      </c>
      <c r="K3" s="84" t="s">
        <v>4</v>
      </c>
      <c r="L3" s="84" t="s">
        <v>5</v>
      </c>
      <c r="M3" s="84" t="s">
        <v>70</v>
      </c>
      <c r="N3" s="83" t="s">
        <v>59</v>
      </c>
      <c r="O3" s="86" t="s">
        <v>8</v>
      </c>
      <c r="P3" s="86" t="s">
        <v>10</v>
      </c>
    </row>
    <row r="4" spans="1:42" s="11" customFormat="1" x14ac:dyDescent="0.3">
      <c r="A4" s="3" t="s">
        <v>665</v>
      </c>
      <c r="B4" s="3">
        <v>16</v>
      </c>
      <c r="C4" s="2">
        <f>'GERAL 2023'!G37</f>
        <v>610</v>
      </c>
      <c r="D4" s="2">
        <v>0</v>
      </c>
      <c r="E4" s="5">
        <f>C4-D4</f>
        <v>610</v>
      </c>
      <c r="F4" s="2">
        <v>0</v>
      </c>
      <c r="G4" s="5">
        <f>(193.5/27)/9</f>
        <v>0.79629629629629628</v>
      </c>
      <c r="H4" s="2">
        <f>(1347.3/27)</f>
        <v>49.9</v>
      </c>
      <c r="I4" s="2">
        <f>D80</f>
        <v>1.2516548463356973</v>
      </c>
      <c r="J4" s="2">
        <v>19.760000000000002</v>
      </c>
      <c r="K4" s="109">
        <f>SUM(E4:J4)</f>
        <v>681.70795114263194</v>
      </c>
      <c r="L4" s="2">
        <f>60%*(C4+F4)</f>
        <v>366</v>
      </c>
      <c r="M4" s="2">
        <f>K4-L4</f>
        <v>315.70795114263194</v>
      </c>
      <c r="N4" s="90" t="s">
        <v>680</v>
      </c>
      <c r="O4" s="3">
        <v>10</v>
      </c>
      <c r="P4" s="3">
        <v>11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</row>
    <row r="5" spans="1:42" s="10" customFormat="1" x14ac:dyDescent="0.3">
      <c r="A5" s="518" t="s">
        <v>4</v>
      </c>
      <c r="B5" s="518"/>
      <c r="C5" s="109">
        <f t="shared" ref="C5:M5" si="0">SUM(C4:C4)</f>
        <v>610</v>
      </c>
      <c r="D5" s="109">
        <f t="shared" si="0"/>
        <v>0</v>
      </c>
      <c r="E5" s="109">
        <f t="shared" si="0"/>
        <v>610</v>
      </c>
      <c r="F5" s="109">
        <f t="shared" si="0"/>
        <v>0</v>
      </c>
      <c r="G5" s="109">
        <f t="shared" si="0"/>
        <v>0.79629629629629628</v>
      </c>
      <c r="H5" s="109">
        <f t="shared" si="0"/>
        <v>49.9</v>
      </c>
      <c r="I5" s="109">
        <f t="shared" si="0"/>
        <v>1.2516548463356973</v>
      </c>
      <c r="J5" s="109">
        <f t="shared" si="0"/>
        <v>19.760000000000002</v>
      </c>
      <c r="K5" s="109">
        <f t="shared" si="0"/>
        <v>681.70795114263194</v>
      </c>
      <c r="L5" s="109">
        <f t="shared" si="0"/>
        <v>366</v>
      </c>
      <c r="M5" s="109">
        <f t="shared" si="0"/>
        <v>315.70795114263194</v>
      </c>
      <c r="N5" s="90"/>
      <c r="O5" s="3"/>
      <c r="P5" s="3"/>
    </row>
    <row r="6" spans="1:42" s="10" customFormat="1" ht="28.5" customHeight="1" x14ac:dyDescent="0.3">
      <c r="A6" s="521" t="s">
        <v>676</v>
      </c>
      <c r="B6" s="521"/>
      <c r="C6" s="521"/>
      <c r="D6" s="521"/>
      <c r="E6" s="521"/>
      <c r="F6" s="521"/>
      <c r="G6" s="521"/>
      <c r="H6" s="521"/>
      <c r="I6" s="521"/>
      <c r="J6" s="521"/>
      <c r="K6" s="521"/>
      <c r="L6" s="521"/>
      <c r="M6" s="521"/>
      <c r="N6" s="521"/>
      <c r="O6" s="521"/>
      <c r="P6" s="521"/>
    </row>
    <row r="7" spans="1:42" s="11" customFormat="1" ht="34.5" customHeight="1" x14ac:dyDescent="0.3">
      <c r="A7" s="83" t="s">
        <v>3</v>
      </c>
      <c r="B7" s="83" t="s">
        <v>0</v>
      </c>
      <c r="C7" s="84" t="s">
        <v>1</v>
      </c>
      <c r="D7" s="84" t="s">
        <v>68</v>
      </c>
      <c r="E7" s="84" t="s">
        <v>69</v>
      </c>
      <c r="F7" s="85" t="s">
        <v>2</v>
      </c>
      <c r="G7" s="85" t="s">
        <v>678</v>
      </c>
      <c r="H7" s="85" t="s">
        <v>592</v>
      </c>
      <c r="I7" s="84" t="s">
        <v>6</v>
      </c>
      <c r="J7" s="84" t="s">
        <v>7</v>
      </c>
      <c r="K7" s="84" t="s">
        <v>4</v>
      </c>
      <c r="L7" s="84" t="s">
        <v>5</v>
      </c>
      <c r="M7" s="84" t="s">
        <v>70</v>
      </c>
      <c r="N7" s="83" t="s">
        <v>59</v>
      </c>
      <c r="O7" s="86" t="s">
        <v>8</v>
      </c>
      <c r="P7" s="86" t="s">
        <v>10</v>
      </c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</row>
    <row r="8" spans="1:42" s="15" customFormat="1" x14ac:dyDescent="0.3">
      <c r="A8" s="88" t="s">
        <v>636</v>
      </c>
      <c r="B8" s="90">
        <v>1</v>
      </c>
      <c r="C8" s="2">
        <f>'GERAL 2023'!G33</f>
        <v>580</v>
      </c>
      <c r="D8" s="2">
        <v>0</v>
      </c>
      <c r="E8" s="2">
        <f>C8-D8</f>
        <v>580</v>
      </c>
      <c r="F8" s="5">
        <v>0</v>
      </c>
      <c r="G8" s="5">
        <f t="shared" ref="G8:G34" si="1">(193.5/27)/9</f>
        <v>0.79629629629629628</v>
      </c>
      <c r="H8" s="2">
        <f>(1347.3/27)</f>
        <v>49.9</v>
      </c>
      <c r="I8" s="2">
        <f>D54</f>
        <v>1.2516548463356973</v>
      </c>
      <c r="J8" s="2">
        <v>19.7</v>
      </c>
      <c r="K8" s="109">
        <f>SUM(E8:J8)</f>
        <v>651.647951142632</v>
      </c>
      <c r="L8" s="2">
        <f>7%*K8</f>
        <v>45.615356579984244</v>
      </c>
      <c r="M8" s="2">
        <f>K8-L8</f>
        <v>606.03259456264777</v>
      </c>
      <c r="N8" s="5" t="s">
        <v>679</v>
      </c>
      <c r="O8" s="3">
        <v>10</v>
      </c>
      <c r="P8" s="3">
        <v>11</v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spans="1:42" s="96" customFormat="1" x14ac:dyDescent="0.3">
      <c r="A9" s="90" t="s">
        <v>434</v>
      </c>
      <c r="B9" s="4">
        <v>2</v>
      </c>
      <c r="C9" s="5">
        <f>'GERAL 2022'!G4</f>
        <v>580</v>
      </c>
      <c r="D9" s="5">
        <v>0</v>
      </c>
      <c r="E9" s="5">
        <f t="shared" ref="E9:E24" si="2">C9-D9</f>
        <v>580</v>
      </c>
      <c r="F9" s="5">
        <v>50</v>
      </c>
      <c r="G9" s="5">
        <f t="shared" si="1"/>
        <v>0.79629629629629628</v>
      </c>
      <c r="H9" s="2">
        <f t="shared" ref="H9:H34" si="3">(1347.3/27)</f>
        <v>49.9</v>
      </c>
      <c r="I9" s="2">
        <f>D52</f>
        <v>1.2516548463356973</v>
      </c>
      <c r="J9" s="5">
        <v>0</v>
      </c>
      <c r="K9" s="109">
        <f t="shared" ref="K9:K34" si="4">SUM(E9:J9)</f>
        <v>681.94795114263195</v>
      </c>
      <c r="L9" s="2">
        <f>7%*K9</f>
        <v>47.736356579984239</v>
      </c>
      <c r="M9" s="2">
        <f t="shared" ref="M9:M33" si="5">K9-L9</f>
        <v>634.21159456264775</v>
      </c>
      <c r="N9" s="90" t="s">
        <v>684</v>
      </c>
      <c r="O9" s="3">
        <v>10</v>
      </c>
      <c r="P9" s="3">
        <v>11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16"/>
      <c r="AM9" s="17"/>
      <c r="AN9" s="17"/>
      <c r="AO9" s="17"/>
      <c r="AP9" s="17"/>
    </row>
    <row r="10" spans="1:42" s="6" customFormat="1" x14ac:dyDescent="0.3">
      <c r="A10" s="90" t="s">
        <v>438</v>
      </c>
      <c r="B10" s="4">
        <v>3</v>
      </c>
      <c r="C10" s="5">
        <f>'GERAL 2022'!G5</f>
        <v>550</v>
      </c>
      <c r="D10" s="5">
        <v>0</v>
      </c>
      <c r="E10" s="5">
        <f t="shared" si="2"/>
        <v>550</v>
      </c>
      <c r="F10" s="5">
        <v>0</v>
      </c>
      <c r="G10" s="5">
        <f t="shared" si="1"/>
        <v>0.79629629629629628</v>
      </c>
      <c r="H10" s="2">
        <f t="shared" si="3"/>
        <v>49.9</v>
      </c>
      <c r="I10" s="2">
        <f>D54</f>
        <v>1.2516548463356973</v>
      </c>
      <c r="J10" s="5">
        <v>0</v>
      </c>
      <c r="K10" s="109">
        <f t="shared" si="4"/>
        <v>601.94795114263195</v>
      </c>
      <c r="L10" s="2">
        <f t="shared" ref="L10:L34" si="6">7%*K10</f>
        <v>42.136356579984238</v>
      </c>
      <c r="M10" s="2">
        <f t="shared" si="5"/>
        <v>559.81159456264777</v>
      </c>
      <c r="N10" s="90" t="s">
        <v>684</v>
      </c>
      <c r="O10" s="3">
        <v>10</v>
      </c>
      <c r="P10" s="3">
        <v>11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</row>
    <row r="11" spans="1:42" s="15" customFormat="1" x14ac:dyDescent="0.3">
      <c r="A11" s="90" t="s">
        <v>263</v>
      </c>
      <c r="B11" s="90">
        <v>4</v>
      </c>
      <c r="C11" s="2">
        <f>550+(3.78823%*550)</f>
        <v>570.83526500000005</v>
      </c>
      <c r="D11" s="2">
        <v>0</v>
      </c>
      <c r="E11" s="2">
        <f t="shared" si="2"/>
        <v>570.83526500000005</v>
      </c>
      <c r="F11" s="2">
        <v>50</v>
      </c>
      <c r="G11" s="5">
        <f t="shared" si="1"/>
        <v>0.79629629629629628</v>
      </c>
      <c r="H11" s="2">
        <f>(1347.3/27)</f>
        <v>49.9</v>
      </c>
      <c r="I11" s="2">
        <f>D56</f>
        <v>1.2516548463356973</v>
      </c>
      <c r="J11" s="2">
        <v>19.64</v>
      </c>
      <c r="K11" s="109">
        <f t="shared" si="4"/>
        <v>692.42321614263199</v>
      </c>
      <c r="L11" s="2">
        <f t="shared" si="6"/>
        <v>48.469625129984244</v>
      </c>
      <c r="M11" s="2">
        <f t="shared" si="5"/>
        <v>643.95359101264773</v>
      </c>
      <c r="N11" s="90" t="s">
        <v>685</v>
      </c>
      <c r="O11" s="3">
        <v>10</v>
      </c>
      <c r="P11" s="4">
        <v>11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s="15" customFormat="1" x14ac:dyDescent="0.3">
      <c r="A12" s="90" t="s">
        <v>625</v>
      </c>
      <c r="B12" s="90">
        <v>5</v>
      </c>
      <c r="C12" s="2">
        <f>'GERAL 2023'!G7</f>
        <v>580</v>
      </c>
      <c r="D12" s="2">
        <v>0</v>
      </c>
      <c r="E12" s="2">
        <f>C12-D12</f>
        <v>580</v>
      </c>
      <c r="F12" s="2">
        <f>50</f>
        <v>50</v>
      </c>
      <c r="G12" s="5">
        <f t="shared" si="1"/>
        <v>0.79629629629629628</v>
      </c>
      <c r="H12" s="2">
        <f t="shared" si="3"/>
        <v>49.9</v>
      </c>
      <c r="I12" s="2">
        <f>D58</f>
        <v>1.2516548463356973</v>
      </c>
      <c r="J12" s="2">
        <f>D57</f>
        <v>19.696666666666669</v>
      </c>
      <c r="K12" s="109">
        <f t="shared" si="4"/>
        <v>701.64461780929867</v>
      </c>
      <c r="L12" s="2">
        <f t="shared" si="6"/>
        <v>49.11512324665091</v>
      </c>
      <c r="M12" s="2">
        <f t="shared" si="5"/>
        <v>652.52949456264776</v>
      </c>
      <c r="N12" s="90" t="s">
        <v>686</v>
      </c>
      <c r="O12" s="3">
        <v>10</v>
      </c>
      <c r="P12" s="3">
        <v>11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s="11" customFormat="1" x14ac:dyDescent="0.3">
      <c r="A13" s="90" t="s">
        <v>627</v>
      </c>
      <c r="B13" s="90">
        <v>6</v>
      </c>
      <c r="C13" s="5">
        <f>'GERAL 2023'!G8</f>
        <v>680</v>
      </c>
      <c r="D13" s="5">
        <v>0</v>
      </c>
      <c r="E13" s="2">
        <f>C13-D13</f>
        <v>680</v>
      </c>
      <c r="F13" s="2">
        <f>100</f>
        <v>100</v>
      </c>
      <c r="G13" s="5">
        <f t="shared" si="1"/>
        <v>0.79629629629629628</v>
      </c>
      <c r="H13" s="2">
        <f t="shared" si="3"/>
        <v>49.9</v>
      </c>
      <c r="I13" s="2">
        <f>D60</f>
        <v>1.7523167848699763</v>
      </c>
      <c r="J13" s="2">
        <f>D59</f>
        <v>19.893333333333334</v>
      </c>
      <c r="K13" s="109">
        <f t="shared" si="4"/>
        <v>852.3419464144996</v>
      </c>
      <c r="L13" s="2">
        <f t="shared" si="6"/>
        <v>59.663936249014981</v>
      </c>
      <c r="M13" s="2">
        <f>K13-L13</f>
        <v>792.67801016548458</v>
      </c>
      <c r="N13" s="90" t="s">
        <v>686</v>
      </c>
      <c r="O13" s="3">
        <v>10</v>
      </c>
      <c r="P13" s="3">
        <v>11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</row>
    <row r="14" spans="1:42" s="15" customFormat="1" x14ac:dyDescent="0.3">
      <c r="A14" s="90" t="s">
        <v>442</v>
      </c>
      <c r="B14" s="90">
        <v>7</v>
      </c>
      <c r="C14" s="2">
        <f>'GERAL 2022'!G9</f>
        <v>580</v>
      </c>
      <c r="D14" s="2">
        <v>0</v>
      </c>
      <c r="E14" s="5">
        <f t="shared" si="2"/>
        <v>580</v>
      </c>
      <c r="F14" s="2">
        <v>50</v>
      </c>
      <c r="G14" s="5">
        <f t="shared" si="1"/>
        <v>0.79629629629629628</v>
      </c>
      <c r="H14" s="2">
        <f t="shared" si="3"/>
        <v>49.9</v>
      </c>
      <c r="I14" s="2">
        <f>D62</f>
        <v>1.2516548463356973</v>
      </c>
      <c r="J14" s="2">
        <v>0</v>
      </c>
      <c r="K14" s="109">
        <f t="shared" si="4"/>
        <v>681.94795114263195</v>
      </c>
      <c r="L14" s="2">
        <f t="shared" si="6"/>
        <v>47.736356579984239</v>
      </c>
      <c r="M14" s="2">
        <f t="shared" si="5"/>
        <v>634.21159456264775</v>
      </c>
      <c r="N14" s="90" t="s">
        <v>684</v>
      </c>
      <c r="O14" s="3">
        <v>10</v>
      </c>
      <c r="P14" s="3">
        <v>11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2" s="15" customFormat="1" x14ac:dyDescent="0.3">
      <c r="A15" s="90" t="s">
        <v>493</v>
      </c>
      <c r="B15" s="90">
        <v>8</v>
      </c>
      <c r="C15" s="2">
        <f>'GERAL 2022'!G37</f>
        <v>580</v>
      </c>
      <c r="D15" s="2">
        <v>0</v>
      </c>
      <c r="E15" s="5">
        <f t="shared" si="2"/>
        <v>580</v>
      </c>
      <c r="F15" s="2">
        <v>50</v>
      </c>
      <c r="G15" s="5">
        <f t="shared" si="1"/>
        <v>0.79629629629629628</v>
      </c>
      <c r="H15" s="2">
        <f t="shared" si="3"/>
        <v>49.9</v>
      </c>
      <c r="I15" s="2">
        <f>D64</f>
        <v>1.2516548463356973</v>
      </c>
      <c r="J15" s="2">
        <v>0</v>
      </c>
      <c r="K15" s="109">
        <f t="shared" si="4"/>
        <v>681.94795114263195</v>
      </c>
      <c r="L15" s="2">
        <f t="shared" si="6"/>
        <v>47.736356579984239</v>
      </c>
      <c r="M15" s="2">
        <f t="shared" si="5"/>
        <v>634.21159456264775</v>
      </c>
      <c r="N15" s="90" t="s">
        <v>684</v>
      </c>
      <c r="O15" s="125">
        <v>10</v>
      </c>
      <c r="P15" s="3">
        <v>11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s="15" customFormat="1" ht="14.25" customHeight="1" x14ac:dyDescent="0.3">
      <c r="A16" s="90" t="s">
        <v>246</v>
      </c>
      <c r="B16" s="90">
        <v>9</v>
      </c>
      <c r="C16" s="2">
        <f>'GERAL 2022'!G11+(5.45129%*580)</f>
        <v>611.617482</v>
      </c>
      <c r="D16" s="2">
        <v>0</v>
      </c>
      <c r="E16" s="5">
        <f t="shared" si="2"/>
        <v>611.617482</v>
      </c>
      <c r="F16" s="2">
        <f>25</f>
        <v>25</v>
      </c>
      <c r="G16" s="5">
        <f t="shared" si="1"/>
        <v>0.79629629629629628</v>
      </c>
      <c r="H16" s="2">
        <f t="shared" si="3"/>
        <v>49.9</v>
      </c>
      <c r="I16" s="2">
        <f>D66</f>
        <v>1.2516548463356973</v>
      </c>
      <c r="J16" s="2">
        <v>19.7</v>
      </c>
      <c r="K16" s="109">
        <f t="shared" si="4"/>
        <v>708.26543314263199</v>
      </c>
      <c r="L16" s="2">
        <f t="shared" si="6"/>
        <v>49.578580319984248</v>
      </c>
      <c r="M16" s="2">
        <f t="shared" si="5"/>
        <v>658.68685282264778</v>
      </c>
      <c r="N16" s="90" t="s">
        <v>687</v>
      </c>
      <c r="O16" s="125">
        <v>10</v>
      </c>
      <c r="P16" s="3">
        <v>11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7" s="69" customFormat="1" x14ac:dyDescent="0.3">
      <c r="A17" s="4" t="s">
        <v>402</v>
      </c>
      <c r="B17" s="4">
        <v>10</v>
      </c>
      <c r="C17" s="2">
        <f>'GERAL 2022'!G38</f>
        <v>550</v>
      </c>
      <c r="D17" s="2">
        <v>0</v>
      </c>
      <c r="E17" s="5">
        <f t="shared" si="2"/>
        <v>550</v>
      </c>
      <c r="F17" s="2">
        <v>50</v>
      </c>
      <c r="G17" s="5">
        <f t="shared" si="1"/>
        <v>0.79629629629629628</v>
      </c>
      <c r="H17" s="2">
        <f t="shared" si="3"/>
        <v>49.9</v>
      </c>
      <c r="I17" s="2">
        <f>D68</f>
        <v>1.2516548463356973</v>
      </c>
      <c r="J17" s="2">
        <v>0</v>
      </c>
      <c r="K17" s="109">
        <f t="shared" si="4"/>
        <v>651.94795114263195</v>
      </c>
      <c r="L17" s="2">
        <f t="shared" si="6"/>
        <v>45.636356579984238</v>
      </c>
      <c r="M17" s="2">
        <f t="shared" si="5"/>
        <v>606.31159456264777</v>
      </c>
      <c r="N17" s="90" t="s">
        <v>684</v>
      </c>
      <c r="O17" s="3">
        <v>10</v>
      </c>
      <c r="P17" s="4">
        <v>11</v>
      </c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</row>
    <row r="18" spans="1:47" s="69" customFormat="1" x14ac:dyDescent="0.3">
      <c r="A18" s="4" t="s">
        <v>321</v>
      </c>
      <c r="B18" s="4">
        <v>11</v>
      </c>
      <c r="C18" s="2">
        <f>'GERAL 2022'!G13+(0.16712%*550)</f>
        <v>550.91916000000003</v>
      </c>
      <c r="D18" s="2">
        <v>0</v>
      </c>
      <c r="E18" s="5">
        <f t="shared" si="2"/>
        <v>550.91916000000003</v>
      </c>
      <c r="F18" s="2">
        <v>0</v>
      </c>
      <c r="G18" s="5">
        <f t="shared" si="1"/>
        <v>0.79629629629629628</v>
      </c>
      <c r="H18" s="2">
        <f t="shared" si="3"/>
        <v>49.9</v>
      </c>
      <c r="I18" s="2">
        <f>D70</f>
        <v>1.2516548463356973</v>
      </c>
      <c r="J18" s="2">
        <v>19.649999999999999</v>
      </c>
      <c r="K18" s="109">
        <f>SUM(E18:J18)</f>
        <v>622.51711114263196</v>
      </c>
      <c r="L18" s="2">
        <f t="shared" si="6"/>
        <v>43.576197779984241</v>
      </c>
      <c r="M18" s="2">
        <f t="shared" si="5"/>
        <v>578.94091336264773</v>
      </c>
      <c r="N18" s="5" t="s">
        <v>681</v>
      </c>
      <c r="O18" s="3">
        <v>10</v>
      </c>
      <c r="P18" s="4">
        <v>11</v>
      </c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</row>
    <row r="19" spans="1:47" s="15" customFormat="1" x14ac:dyDescent="0.3">
      <c r="A19" s="90" t="s">
        <v>566</v>
      </c>
      <c r="B19" s="90">
        <v>12</v>
      </c>
      <c r="C19" s="2">
        <f>'GERAL 2022'!G14</f>
        <v>550</v>
      </c>
      <c r="D19" s="2">
        <v>0</v>
      </c>
      <c r="E19" s="5">
        <f t="shared" si="2"/>
        <v>550</v>
      </c>
      <c r="F19" s="5">
        <v>25</v>
      </c>
      <c r="G19" s="5">
        <f t="shared" si="1"/>
        <v>0.79629629629629628</v>
      </c>
      <c r="H19" s="2">
        <f t="shared" si="3"/>
        <v>49.9</v>
      </c>
      <c r="I19" s="2">
        <f>D72</f>
        <v>1.2516548463356973</v>
      </c>
      <c r="J19" s="5">
        <v>0</v>
      </c>
      <c r="K19" s="109">
        <f t="shared" si="4"/>
        <v>626.94795114263195</v>
      </c>
      <c r="L19" s="2">
        <f t="shared" si="6"/>
        <v>43.886356579984238</v>
      </c>
      <c r="M19" s="2">
        <f t="shared" si="5"/>
        <v>583.06159456264777</v>
      </c>
      <c r="N19" s="90" t="s">
        <v>684</v>
      </c>
      <c r="O19" s="3">
        <v>10</v>
      </c>
      <c r="P19" s="3">
        <v>11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7" s="11" customFormat="1" x14ac:dyDescent="0.3">
      <c r="A20" s="90" t="s">
        <v>362</v>
      </c>
      <c r="B20" s="90">
        <v>13</v>
      </c>
      <c r="C20" s="5">
        <f>'GERAL 2022'!G15</f>
        <v>550</v>
      </c>
      <c r="D20" s="5">
        <v>0</v>
      </c>
      <c r="E20" s="5">
        <f t="shared" si="2"/>
        <v>550</v>
      </c>
      <c r="F20" s="2">
        <v>0</v>
      </c>
      <c r="G20" s="5">
        <f t="shared" si="1"/>
        <v>0.79629629629629628</v>
      </c>
      <c r="H20" s="2">
        <f t="shared" si="3"/>
        <v>49.9</v>
      </c>
      <c r="I20" s="2">
        <f>D74</f>
        <v>1.2516548463356973</v>
      </c>
      <c r="J20" s="2">
        <v>0</v>
      </c>
      <c r="K20" s="109">
        <f t="shared" si="4"/>
        <v>601.94795114263195</v>
      </c>
      <c r="L20" s="2">
        <f t="shared" si="6"/>
        <v>42.136356579984238</v>
      </c>
      <c r="M20" s="2">
        <f t="shared" si="5"/>
        <v>559.81159456264777</v>
      </c>
      <c r="N20" s="90" t="s">
        <v>684</v>
      </c>
      <c r="O20" s="3">
        <v>10</v>
      </c>
      <c r="P20" s="3">
        <v>11</v>
      </c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</row>
    <row r="21" spans="1:47" s="69" customFormat="1" x14ac:dyDescent="0.3">
      <c r="A21" s="4" t="s">
        <v>559</v>
      </c>
      <c r="B21" s="4">
        <v>14</v>
      </c>
      <c r="C21" s="2">
        <f>'GERAL 2022'!G39</f>
        <v>580</v>
      </c>
      <c r="D21" s="2">
        <v>0</v>
      </c>
      <c r="E21" s="5">
        <f t="shared" si="2"/>
        <v>580</v>
      </c>
      <c r="F21" s="2">
        <f>50</f>
        <v>50</v>
      </c>
      <c r="G21" s="5">
        <f t="shared" si="1"/>
        <v>0.79629629629629628</v>
      </c>
      <c r="H21" s="2">
        <f t="shared" si="3"/>
        <v>49.9</v>
      </c>
      <c r="I21" s="2">
        <f>D76</f>
        <v>1.2516548463356973</v>
      </c>
      <c r="J21" s="2">
        <v>0</v>
      </c>
      <c r="K21" s="109">
        <f t="shared" si="4"/>
        <v>681.94795114263195</v>
      </c>
      <c r="L21" s="2">
        <f t="shared" si="6"/>
        <v>47.736356579984239</v>
      </c>
      <c r="M21" s="2">
        <f t="shared" si="5"/>
        <v>634.21159456264775</v>
      </c>
      <c r="N21" s="90" t="s">
        <v>684</v>
      </c>
      <c r="O21" s="3">
        <v>10</v>
      </c>
      <c r="P21" s="4">
        <v>11</v>
      </c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</row>
    <row r="22" spans="1:47" s="6" customFormat="1" x14ac:dyDescent="0.3">
      <c r="A22" s="90"/>
      <c r="B22" s="90">
        <v>15</v>
      </c>
      <c r="C22" s="2">
        <v>0</v>
      </c>
      <c r="D22" s="2">
        <v>0</v>
      </c>
      <c r="E22" s="5">
        <f t="shared" si="2"/>
        <v>0</v>
      </c>
      <c r="F22" s="2">
        <v>0</v>
      </c>
      <c r="G22" s="5">
        <v>0</v>
      </c>
      <c r="H22" s="2">
        <v>0</v>
      </c>
      <c r="I22" s="2">
        <v>0</v>
      </c>
      <c r="J22" s="2">
        <v>0</v>
      </c>
      <c r="K22" s="109">
        <f t="shared" si="4"/>
        <v>0</v>
      </c>
      <c r="L22" s="2">
        <f t="shared" si="6"/>
        <v>0</v>
      </c>
      <c r="M22" s="2">
        <f t="shared" si="5"/>
        <v>0</v>
      </c>
      <c r="N22" s="90" t="s">
        <v>525</v>
      </c>
      <c r="O22" s="3"/>
      <c r="P22" s="3"/>
      <c r="Q22" s="9"/>
      <c r="R22" s="9"/>
      <c r="S22" s="9"/>
      <c r="T22" s="9"/>
      <c r="U22" s="9"/>
      <c r="V22" s="9"/>
      <c r="W22" s="9"/>
      <c r="X22" s="9"/>
      <c r="Y22" s="9"/>
    </row>
    <row r="23" spans="1:47" s="11" customFormat="1" x14ac:dyDescent="0.3">
      <c r="A23" s="3" t="s">
        <v>665</v>
      </c>
      <c r="B23" s="3">
        <v>16</v>
      </c>
      <c r="C23" s="2">
        <v>0</v>
      </c>
      <c r="D23" s="2">
        <v>0</v>
      </c>
      <c r="E23" s="5">
        <f t="shared" si="2"/>
        <v>0</v>
      </c>
      <c r="F23" s="2">
        <v>0</v>
      </c>
      <c r="G23" s="5">
        <v>0</v>
      </c>
      <c r="H23" s="2">
        <v>0</v>
      </c>
      <c r="I23" s="2">
        <v>0</v>
      </c>
      <c r="J23" s="2">
        <v>0</v>
      </c>
      <c r="K23" s="109">
        <f t="shared" si="4"/>
        <v>0</v>
      </c>
      <c r="L23" s="2">
        <f t="shared" si="6"/>
        <v>0</v>
      </c>
      <c r="M23" s="2">
        <f t="shared" si="5"/>
        <v>0</v>
      </c>
      <c r="N23" s="90" t="s">
        <v>108</v>
      </c>
      <c r="O23" s="3">
        <v>10</v>
      </c>
      <c r="P23" s="3">
        <v>11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</row>
    <row r="24" spans="1:47" s="11" customFormat="1" x14ac:dyDescent="0.3">
      <c r="A24" s="88" t="s">
        <v>392</v>
      </c>
      <c r="B24" s="88">
        <v>17</v>
      </c>
      <c r="C24" s="2">
        <f>'GERAL 2022'!G41</f>
        <v>580</v>
      </c>
      <c r="D24" s="2">
        <v>0</v>
      </c>
      <c r="E24" s="5">
        <f t="shared" si="2"/>
        <v>580</v>
      </c>
      <c r="F24" s="2">
        <v>0</v>
      </c>
      <c r="G24" s="5">
        <f t="shared" si="1"/>
        <v>0.79629629629629628</v>
      </c>
      <c r="H24" s="2">
        <f t="shared" si="3"/>
        <v>49.9</v>
      </c>
      <c r="I24" s="2">
        <f>D82</f>
        <v>1.2516548463356973</v>
      </c>
      <c r="J24" s="2">
        <v>0</v>
      </c>
      <c r="K24" s="109">
        <f t="shared" si="4"/>
        <v>631.94795114263195</v>
      </c>
      <c r="L24" s="2">
        <f t="shared" si="6"/>
        <v>44.236356579984239</v>
      </c>
      <c r="M24" s="2">
        <f t="shared" si="5"/>
        <v>587.71159456264775</v>
      </c>
      <c r="N24" s="5" t="s">
        <v>684</v>
      </c>
      <c r="O24" s="3">
        <v>10</v>
      </c>
      <c r="P24" s="3">
        <v>11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</row>
    <row r="25" spans="1:47" s="11" customFormat="1" x14ac:dyDescent="0.3">
      <c r="A25" s="88" t="s">
        <v>602</v>
      </c>
      <c r="B25" s="90">
        <v>18</v>
      </c>
      <c r="C25" s="2">
        <f>'GERAL 2023'!G20</f>
        <v>640</v>
      </c>
      <c r="D25" s="2">
        <v>0</v>
      </c>
      <c r="E25" s="5">
        <f>C25-D25</f>
        <v>640</v>
      </c>
      <c r="F25" s="2">
        <v>50</v>
      </c>
      <c r="G25" s="5">
        <f t="shared" si="1"/>
        <v>0.79629629629629628</v>
      </c>
      <c r="H25" s="2">
        <f t="shared" si="3"/>
        <v>49.9</v>
      </c>
      <c r="I25" s="2">
        <f>D84</f>
        <v>1.2516548463356973</v>
      </c>
      <c r="J25" s="2">
        <v>19.809999999999999</v>
      </c>
      <c r="K25" s="109">
        <f t="shared" si="4"/>
        <v>761.7579511426319</v>
      </c>
      <c r="L25" s="2">
        <f t="shared" si="6"/>
        <v>53.32305657998424</v>
      </c>
      <c r="M25" s="2">
        <f t="shared" si="5"/>
        <v>708.43489456264763</v>
      </c>
      <c r="N25" s="90" t="s">
        <v>682</v>
      </c>
      <c r="O25" s="3">
        <v>10</v>
      </c>
      <c r="P25" s="3">
        <v>11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</row>
    <row r="26" spans="1:47" s="11" customFormat="1" x14ac:dyDescent="0.3">
      <c r="A26" s="90" t="s">
        <v>500</v>
      </c>
      <c r="B26" s="90">
        <v>19</v>
      </c>
      <c r="C26" s="2">
        <f>'GERAL 2022'!G43/30*26</f>
        <v>476.66666666666663</v>
      </c>
      <c r="D26" s="2">
        <v>0</v>
      </c>
      <c r="E26" s="5">
        <f>(C26-D26)</f>
        <v>476.66666666666663</v>
      </c>
      <c r="F26" s="2">
        <f>50/30*26</f>
        <v>43.333333333333336</v>
      </c>
      <c r="G26" s="5">
        <f>((193.5/27)/9)/30*26</f>
        <v>0.69012345679012344</v>
      </c>
      <c r="H26" s="2">
        <f>(1347.3/27)/30*26</f>
        <v>43.24666666666667</v>
      </c>
      <c r="I26" s="2">
        <f>D86/30*26</f>
        <v>1.0847675334909377</v>
      </c>
      <c r="J26" s="2">
        <v>0</v>
      </c>
      <c r="K26" s="109">
        <f t="shared" si="4"/>
        <v>565.02155765694772</v>
      </c>
      <c r="L26" s="2">
        <f t="shared" si="6"/>
        <v>39.551509035986342</v>
      </c>
      <c r="M26" s="2">
        <f t="shared" si="5"/>
        <v>525.47004862096139</v>
      </c>
      <c r="N26" s="90" t="s">
        <v>683</v>
      </c>
      <c r="O26" s="3">
        <v>10</v>
      </c>
      <c r="P26" s="3">
        <v>11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 spans="1:47" s="11" customFormat="1" x14ac:dyDescent="0.3">
      <c r="A27" s="88" t="s">
        <v>345</v>
      </c>
      <c r="B27" s="90">
        <v>20</v>
      </c>
      <c r="C27" s="2">
        <f>'GERAL 2022'!G22</f>
        <v>660</v>
      </c>
      <c r="D27" s="2">
        <v>0</v>
      </c>
      <c r="E27" s="5">
        <f t="shared" ref="E27:E34" si="7">C27-D27</f>
        <v>660</v>
      </c>
      <c r="F27" s="2">
        <v>50</v>
      </c>
      <c r="G27" s="5">
        <f t="shared" si="1"/>
        <v>0.79629629629629628</v>
      </c>
      <c r="H27" s="2">
        <f t="shared" si="3"/>
        <v>49.9</v>
      </c>
      <c r="I27" s="2">
        <f>D88</f>
        <v>1.2516548463356973</v>
      </c>
      <c r="J27" s="2">
        <v>0</v>
      </c>
      <c r="K27" s="109">
        <f t="shared" si="4"/>
        <v>761.94795114263195</v>
      </c>
      <c r="L27" s="2">
        <f t="shared" si="6"/>
        <v>53.336356579984241</v>
      </c>
      <c r="M27" s="2">
        <f t="shared" si="5"/>
        <v>708.61159456264772</v>
      </c>
      <c r="N27" s="90" t="s">
        <v>684</v>
      </c>
      <c r="O27" s="125">
        <v>10</v>
      </c>
      <c r="P27" s="3">
        <v>11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 spans="1:47" s="11" customFormat="1" x14ac:dyDescent="0.3">
      <c r="A28" s="88" t="s">
        <v>346</v>
      </c>
      <c r="B28" s="90">
        <v>21</v>
      </c>
      <c r="C28" s="2">
        <f>'GERAL 2022'!G23</f>
        <v>500</v>
      </c>
      <c r="D28" s="2">
        <v>0</v>
      </c>
      <c r="E28" s="5">
        <f t="shared" si="7"/>
        <v>500</v>
      </c>
      <c r="F28" s="2">
        <v>25</v>
      </c>
      <c r="G28" s="5">
        <f t="shared" si="1"/>
        <v>0.79629629629629628</v>
      </c>
      <c r="H28" s="2">
        <f t="shared" si="3"/>
        <v>49.9</v>
      </c>
      <c r="I28" s="2">
        <f>D90</f>
        <v>1.2516548463356973</v>
      </c>
      <c r="J28" s="2">
        <v>0</v>
      </c>
      <c r="K28" s="109">
        <f t="shared" si="4"/>
        <v>576.94795114263195</v>
      </c>
      <c r="L28" s="2">
        <f t="shared" si="6"/>
        <v>40.386356579984238</v>
      </c>
      <c r="M28" s="2">
        <f t="shared" si="5"/>
        <v>536.56159456264777</v>
      </c>
      <c r="N28" s="90" t="s">
        <v>684</v>
      </c>
      <c r="O28" s="125">
        <v>10</v>
      </c>
      <c r="P28" s="3">
        <v>11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 spans="1:47" s="11" customFormat="1" ht="15.75" customHeight="1" x14ac:dyDescent="0.3">
      <c r="A29" s="88" t="s">
        <v>119</v>
      </c>
      <c r="B29" s="90">
        <v>22</v>
      </c>
      <c r="C29" s="2">
        <f>'GERAL 2022'!G24</f>
        <v>500</v>
      </c>
      <c r="D29" s="2">
        <v>0</v>
      </c>
      <c r="E29" s="5">
        <f t="shared" si="7"/>
        <v>500</v>
      </c>
      <c r="F29" s="2">
        <v>25</v>
      </c>
      <c r="G29" s="5">
        <f t="shared" si="1"/>
        <v>0.79629629629629628</v>
      </c>
      <c r="H29" s="2">
        <f t="shared" si="3"/>
        <v>49.9</v>
      </c>
      <c r="I29" s="2">
        <f>D92</f>
        <v>1.2516548463356973</v>
      </c>
      <c r="J29" s="2">
        <v>0</v>
      </c>
      <c r="K29" s="109">
        <f t="shared" si="4"/>
        <v>576.94795114263195</v>
      </c>
      <c r="L29" s="2">
        <f t="shared" si="6"/>
        <v>40.386356579984238</v>
      </c>
      <c r="M29" s="2">
        <f t="shared" si="5"/>
        <v>536.56159456264777</v>
      </c>
      <c r="N29" s="90" t="s">
        <v>684</v>
      </c>
      <c r="O29" s="125">
        <v>10</v>
      </c>
      <c r="P29" s="3">
        <v>11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</row>
    <row r="30" spans="1:47" s="11" customFormat="1" x14ac:dyDescent="0.3">
      <c r="A30" s="88" t="s">
        <v>379</v>
      </c>
      <c r="B30" s="90">
        <v>23</v>
      </c>
      <c r="C30" s="2">
        <f>'GERAL 2022'!G25</f>
        <v>550</v>
      </c>
      <c r="D30" s="2">
        <v>0</v>
      </c>
      <c r="E30" s="5">
        <f t="shared" si="7"/>
        <v>550</v>
      </c>
      <c r="F30" s="2">
        <v>0</v>
      </c>
      <c r="G30" s="5">
        <f t="shared" si="1"/>
        <v>0.79629629629629628</v>
      </c>
      <c r="H30" s="2">
        <f t="shared" si="3"/>
        <v>49.9</v>
      </c>
      <c r="I30" s="2">
        <f>D94</f>
        <v>1.2516548463356973</v>
      </c>
      <c r="J30" s="2">
        <v>0</v>
      </c>
      <c r="K30" s="109">
        <f t="shared" si="4"/>
        <v>601.94795114263195</v>
      </c>
      <c r="L30" s="2">
        <f t="shared" si="6"/>
        <v>42.136356579984238</v>
      </c>
      <c r="M30" s="2">
        <f t="shared" si="5"/>
        <v>559.81159456264777</v>
      </c>
      <c r="N30" s="90" t="s">
        <v>684</v>
      </c>
      <c r="O30" s="3">
        <v>10</v>
      </c>
      <c r="P30" s="3">
        <v>11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</row>
    <row r="31" spans="1:47" s="6" customFormat="1" x14ac:dyDescent="0.3">
      <c r="A31" s="90"/>
      <c r="B31" s="90">
        <v>24</v>
      </c>
      <c r="C31" s="2">
        <v>0</v>
      </c>
      <c r="D31" s="2">
        <v>0</v>
      </c>
      <c r="E31" s="5">
        <f t="shared" si="7"/>
        <v>0</v>
      </c>
      <c r="F31" s="2">
        <v>0</v>
      </c>
      <c r="G31" s="5">
        <v>0</v>
      </c>
      <c r="H31" s="2">
        <v>0</v>
      </c>
      <c r="I31" s="2">
        <v>0</v>
      </c>
      <c r="J31" s="2">
        <v>0</v>
      </c>
      <c r="K31" s="109">
        <f t="shared" si="4"/>
        <v>0</v>
      </c>
      <c r="L31" s="2">
        <f t="shared" si="6"/>
        <v>0</v>
      </c>
      <c r="M31" s="2">
        <f t="shared" si="5"/>
        <v>0</v>
      </c>
      <c r="N31" s="90" t="s">
        <v>525</v>
      </c>
      <c r="O31" s="125"/>
      <c r="P31" s="3"/>
      <c r="Q31" s="9"/>
      <c r="R31" s="9"/>
      <c r="S31" s="9"/>
      <c r="T31" s="9"/>
      <c r="U31" s="9"/>
      <c r="V31" s="9"/>
      <c r="W31" s="9"/>
      <c r="X31" s="9"/>
      <c r="Y31" s="9"/>
    </row>
    <row r="32" spans="1:47" s="6" customFormat="1" x14ac:dyDescent="0.3">
      <c r="A32" s="11" t="s">
        <v>563</v>
      </c>
      <c r="B32" s="90">
        <v>25</v>
      </c>
      <c r="C32" s="2">
        <f>'GERAL 2022'!G44</f>
        <v>610</v>
      </c>
      <c r="D32" s="2">
        <v>0</v>
      </c>
      <c r="E32" s="5">
        <f t="shared" si="7"/>
        <v>610</v>
      </c>
      <c r="F32" s="2">
        <v>0</v>
      </c>
      <c r="G32" s="5">
        <f t="shared" si="1"/>
        <v>0.79629629629629628</v>
      </c>
      <c r="H32" s="2">
        <f t="shared" si="3"/>
        <v>49.9</v>
      </c>
      <c r="I32" s="2">
        <f>D98</f>
        <v>1.2516548463356973</v>
      </c>
      <c r="J32" s="2">
        <v>0</v>
      </c>
      <c r="K32" s="109">
        <f t="shared" si="4"/>
        <v>661.94795114263195</v>
      </c>
      <c r="L32" s="2">
        <f t="shared" si="6"/>
        <v>46.336356579984241</v>
      </c>
      <c r="M32" s="2">
        <f t="shared" si="5"/>
        <v>615.61159456264772</v>
      </c>
      <c r="N32" s="90" t="s">
        <v>684</v>
      </c>
      <c r="O32" s="125">
        <v>10</v>
      </c>
      <c r="P32" s="3">
        <v>11</v>
      </c>
      <c r="Q32" s="9"/>
      <c r="R32" s="9"/>
      <c r="S32" s="9"/>
      <c r="T32" s="9"/>
      <c r="U32" s="9"/>
      <c r="V32" s="9"/>
      <c r="W32" s="9"/>
      <c r="X32" s="9"/>
      <c r="Y32" s="9"/>
    </row>
    <row r="33" spans="1:60" s="11" customFormat="1" x14ac:dyDescent="0.3">
      <c r="A33" s="88" t="s">
        <v>348</v>
      </c>
      <c r="B33" s="90">
        <v>26</v>
      </c>
      <c r="C33" s="2">
        <f>'GERAL 2022'!G28</f>
        <v>560</v>
      </c>
      <c r="D33" s="2">
        <v>0</v>
      </c>
      <c r="E33" s="5">
        <f t="shared" si="7"/>
        <v>560</v>
      </c>
      <c r="F33" s="2">
        <v>50</v>
      </c>
      <c r="G33" s="5">
        <f t="shared" si="1"/>
        <v>0.79629629629629628</v>
      </c>
      <c r="H33" s="2">
        <f t="shared" si="3"/>
        <v>49.9</v>
      </c>
      <c r="I33" s="2">
        <f>D100</f>
        <v>1.2516548463356973</v>
      </c>
      <c r="J33" s="2">
        <v>0</v>
      </c>
      <c r="K33" s="109">
        <f t="shared" si="4"/>
        <v>661.94795114263195</v>
      </c>
      <c r="L33" s="2">
        <f t="shared" si="6"/>
        <v>46.336356579984241</v>
      </c>
      <c r="M33" s="2">
        <f t="shared" si="5"/>
        <v>615.61159456264772</v>
      </c>
      <c r="N33" s="90" t="s">
        <v>684</v>
      </c>
      <c r="O33" s="3">
        <v>10</v>
      </c>
      <c r="P33" s="3">
        <v>11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</row>
    <row r="34" spans="1:60" s="11" customFormat="1" x14ac:dyDescent="0.3">
      <c r="A34" s="88" t="s">
        <v>349</v>
      </c>
      <c r="B34" s="90">
        <v>27</v>
      </c>
      <c r="C34" s="72">
        <f>'GERAL 2022'!G45</f>
        <v>580</v>
      </c>
      <c r="D34" s="72">
        <v>0</v>
      </c>
      <c r="E34" s="5">
        <f t="shared" si="7"/>
        <v>580</v>
      </c>
      <c r="F34" s="72">
        <v>0</v>
      </c>
      <c r="G34" s="5">
        <f t="shared" si="1"/>
        <v>0.79629629629629628</v>
      </c>
      <c r="H34" s="2">
        <f t="shared" si="3"/>
        <v>49.9</v>
      </c>
      <c r="I34" s="72">
        <f>D102</f>
        <v>1.2516548463356973</v>
      </c>
      <c r="J34" s="72">
        <v>0</v>
      </c>
      <c r="K34" s="109">
        <f t="shared" si="4"/>
        <v>631.94795114263195</v>
      </c>
      <c r="L34" s="2">
        <f t="shared" si="6"/>
        <v>44.236356579984239</v>
      </c>
      <c r="M34" s="2">
        <f>K34-L34</f>
        <v>587.71159456264775</v>
      </c>
      <c r="N34" s="90" t="s">
        <v>684</v>
      </c>
      <c r="O34" s="3">
        <v>10</v>
      </c>
      <c r="P34" s="3">
        <v>11</v>
      </c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 spans="1:60" s="11" customFormat="1" x14ac:dyDescent="0.3">
      <c r="A35" s="518" t="s">
        <v>4</v>
      </c>
      <c r="B35" s="518"/>
      <c r="C35" s="109">
        <f>SUM(C8:C34)</f>
        <v>13750.038573666667</v>
      </c>
      <c r="D35" s="109">
        <f t="shared" ref="D35:M35" si="8">SUM(D8:D34)</f>
        <v>0</v>
      </c>
      <c r="E35" s="109">
        <f t="shared" si="8"/>
        <v>13750.038573666667</v>
      </c>
      <c r="F35" s="109">
        <f t="shared" si="8"/>
        <v>743.33333333333337</v>
      </c>
      <c r="G35" s="109">
        <f t="shared" si="8"/>
        <v>19.004938271604939</v>
      </c>
      <c r="H35" s="109">
        <f t="shared" si="8"/>
        <v>1190.9466666666667</v>
      </c>
      <c r="I35" s="109">
        <f t="shared" si="8"/>
        <v>30.373490937746247</v>
      </c>
      <c r="J35" s="109">
        <f t="shared" si="8"/>
        <v>138.09</v>
      </c>
      <c r="K35" s="109">
        <f t="shared" si="8"/>
        <v>15871.787002876021</v>
      </c>
      <c r="L35" s="109">
        <f t="shared" si="8"/>
        <v>1111.0250902013213</v>
      </c>
      <c r="M35" s="109">
        <f t="shared" si="8"/>
        <v>14760.761912674699</v>
      </c>
      <c r="N35" s="90"/>
      <c r="O35" s="3"/>
      <c r="P35" s="3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 spans="1:60" s="11" customFormat="1" ht="28.5" customHeight="1" x14ac:dyDescent="0.3">
      <c r="A36" s="521" t="s">
        <v>677</v>
      </c>
      <c r="B36" s="521"/>
      <c r="C36" s="521"/>
      <c r="D36" s="521"/>
      <c r="E36" s="521"/>
      <c r="F36" s="521"/>
      <c r="G36" s="521"/>
      <c r="H36" s="521"/>
      <c r="I36" s="521"/>
      <c r="J36" s="521"/>
      <c r="K36" s="521"/>
      <c r="L36" s="521"/>
      <c r="M36" s="521"/>
      <c r="N36" s="521"/>
      <c r="O36" s="521"/>
      <c r="P36" s="521"/>
      <c r="Q36" s="10"/>
      <c r="R36" s="10"/>
      <c r="S36" s="10"/>
      <c r="T36" s="10"/>
      <c r="U36" s="10"/>
      <c r="V36" s="10"/>
      <c r="W36" s="10"/>
      <c r="X36" s="10"/>
      <c r="Y36" s="10"/>
    </row>
    <row r="37" spans="1:60" s="11" customFormat="1" ht="27.75" customHeight="1" x14ac:dyDescent="0.3">
      <c r="A37" s="127" t="s">
        <v>3</v>
      </c>
      <c r="B37" s="127" t="s">
        <v>0</v>
      </c>
      <c r="C37" s="128" t="s">
        <v>174</v>
      </c>
      <c r="D37" s="555" t="s">
        <v>175</v>
      </c>
      <c r="E37" s="556"/>
      <c r="F37" s="556"/>
      <c r="G37" s="556"/>
      <c r="H37" s="556"/>
      <c r="I37" s="556"/>
      <c r="J37" s="557"/>
      <c r="K37" s="128" t="s">
        <v>4</v>
      </c>
      <c r="L37" s="128" t="s">
        <v>5</v>
      </c>
      <c r="M37" s="128" t="s">
        <v>70</v>
      </c>
      <c r="N37" s="127" t="s">
        <v>59</v>
      </c>
      <c r="O37" s="130" t="s">
        <v>8</v>
      </c>
      <c r="P37" s="130" t="s">
        <v>10</v>
      </c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1:60" s="15" customFormat="1" x14ac:dyDescent="0.3">
      <c r="A38" s="90" t="s">
        <v>552</v>
      </c>
      <c r="B38" s="90">
        <v>6</v>
      </c>
      <c r="C38" s="2">
        <v>1475.65</v>
      </c>
      <c r="D38" s="546" t="s">
        <v>605</v>
      </c>
      <c r="E38" s="547"/>
      <c r="F38" s="547"/>
      <c r="G38" s="547"/>
      <c r="H38" s="547"/>
      <c r="I38" s="547"/>
      <c r="J38" s="548"/>
      <c r="K38" s="2">
        <v>184.46</v>
      </c>
      <c r="L38" s="2">
        <f>7%*K38</f>
        <v>12.912200000000002</v>
      </c>
      <c r="M38" s="2">
        <f>K38-L38</f>
        <v>171.5478</v>
      </c>
      <c r="N38" s="90" t="s">
        <v>688</v>
      </c>
      <c r="O38" s="3">
        <v>10</v>
      </c>
      <c r="P38" s="3">
        <v>11</v>
      </c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spans="1:60" s="15" customFormat="1" x14ac:dyDescent="0.3">
      <c r="A39" s="90" t="s">
        <v>500</v>
      </c>
      <c r="B39" s="90">
        <v>19</v>
      </c>
      <c r="C39" s="2">
        <v>1210</v>
      </c>
      <c r="D39" s="546" t="s">
        <v>689</v>
      </c>
      <c r="E39" s="547"/>
      <c r="F39" s="547"/>
      <c r="G39" s="547"/>
      <c r="H39" s="547"/>
      <c r="I39" s="547"/>
      <c r="J39" s="548"/>
      <c r="K39" s="2">
        <v>1210</v>
      </c>
      <c r="L39" s="2">
        <f>7%*K39</f>
        <v>84.7</v>
      </c>
      <c r="M39" s="2">
        <f>K39-L39</f>
        <v>1125.3</v>
      </c>
      <c r="N39" s="90" t="s">
        <v>690</v>
      </c>
      <c r="O39" s="3">
        <v>10</v>
      </c>
      <c r="P39" s="3">
        <v>11</v>
      </c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</row>
    <row r="40" spans="1:60" s="11" customFormat="1" x14ac:dyDescent="0.3">
      <c r="A40" s="518" t="s">
        <v>4</v>
      </c>
      <c r="B40" s="518"/>
      <c r="C40" s="518"/>
      <c r="D40" s="518"/>
      <c r="E40" s="518"/>
      <c r="F40" s="518"/>
      <c r="G40" s="518"/>
      <c r="H40" s="518"/>
      <c r="I40" s="518"/>
      <c r="J40" s="518"/>
      <c r="K40" s="109">
        <f>SUM(K38:K39)</f>
        <v>1394.46</v>
      </c>
      <c r="L40" s="109">
        <f>SUM(L38:L39)</f>
        <v>97.612200000000001</v>
      </c>
      <c r="M40" s="109">
        <f>SUM(M38:M39)</f>
        <v>1296.8478</v>
      </c>
      <c r="N40" s="527"/>
      <c r="O40" s="527"/>
      <c r="P40" s="527"/>
      <c r="Q40" s="10"/>
      <c r="R40" s="10"/>
      <c r="S40" s="10"/>
      <c r="T40" s="10"/>
      <c r="U40" s="10"/>
      <c r="V40" s="10"/>
      <c r="W40" s="10"/>
      <c r="X40" s="10"/>
      <c r="Y40" s="10"/>
    </row>
    <row r="41" spans="1:60" s="11" customFormat="1" x14ac:dyDescent="0.3">
      <c r="A41" s="518"/>
      <c r="B41" s="518"/>
      <c r="C41" s="518"/>
      <c r="D41" s="518"/>
      <c r="E41" s="518"/>
      <c r="F41" s="518"/>
      <c r="G41" s="518"/>
      <c r="H41" s="518"/>
      <c r="I41" s="518"/>
      <c r="J41" s="518"/>
      <c r="K41" s="518"/>
      <c r="L41" s="518"/>
      <c r="M41" s="518"/>
      <c r="N41" s="518"/>
      <c r="O41" s="109"/>
      <c r="P41" s="109"/>
      <c r="Q41" s="10"/>
      <c r="R41" s="10"/>
      <c r="S41" s="10"/>
      <c r="T41" s="10"/>
      <c r="U41" s="10"/>
      <c r="V41" s="10"/>
      <c r="W41" s="10"/>
      <c r="X41" s="10"/>
      <c r="Y41" s="10"/>
    </row>
    <row r="42" spans="1:60" s="11" customFormat="1" ht="28.5" customHeight="1" x14ac:dyDescent="0.3">
      <c r="A42" s="521" t="s">
        <v>177</v>
      </c>
      <c r="B42" s="521"/>
      <c r="C42" s="521"/>
      <c r="D42" s="521"/>
      <c r="E42" s="521"/>
      <c r="F42" s="521"/>
      <c r="G42" s="521"/>
      <c r="H42" s="521"/>
      <c r="I42" s="521"/>
      <c r="J42" s="521"/>
      <c r="K42" s="521"/>
      <c r="L42" s="521"/>
      <c r="M42" s="521"/>
      <c r="N42" s="521"/>
      <c r="O42" s="521"/>
      <c r="P42" s="521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60" s="11" customFormat="1" ht="25.5" customHeight="1" x14ac:dyDescent="0.3">
      <c r="A43" s="126" t="s">
        <v>173</v>
      </c>
      <c r="B43" s="126" t="s">
        <v>0</v>
      </c>
      <c r="C43" s="126" t="s">
        <v>174</v>
      </c>
      <c r="D43" s="521" t="s">
        <v>175</v>
      </c>
      <c r="E43" s="521"/>
      <c r="F43" s="521"/>
      <c r="G43" s="521"/>
      <c r="H43" s="521"/>
      <c r="I43" s="521"/>
      <c r="J43" s="521"/>
      <c r="K43" s="129" t="s">
        <v>4</v>
      </c>
      <c r="L43" s="128"/>
      <c r="M43" s="128"/>
      <c r="N43" s="127" t="s">
        <v>59</v>
      </c>
      <c r="O43" s="130" t="s">
        <v>8</v>
      </c>
      <c r="P43" s="130" t="s">
        <v>10</v>
      </c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60" s="69" customFormat="1" ht="15" customHeight="1" x14ac:dyDescent="0.3">
      <c r="A44" s="4" t="s">
        <v>132</v>
      </c>
      <c r="B44" s="4">
        <v>1</v>
      </c>
      <c r="C44" s="5">
        <f>4977.59-1520</f>
        <v>3457.59</v>
      </c>
      <c r="D44" s="546" t="s">
        <v>284</v>
      </c>
      <c r="E44" s="547"/>
      <c r="F44" s="547"/>
      <c r="G44" s="547"/>
      <c r="H44" s="547"/>
      <c r="I44" s="547"/>
      <c r="J44" s="548"/>
      <c r="K44" s="5">
        <f>4977.59-1520</f>
        <v>3457.59</v>
      </c>
      <c r="L44" s="5"/>
      <c r="M44" s="5"/>
      <c r="N44" s="5" t="s">
        <v>510</v>
      </c>
      <c r="O44" s="140">
        <v>10</v>
      </c>
      <c r="P44" s="4">
        <v>11</v>
      </c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</row>
    <row r="45" spans="1:60" s="11" customFormat="1" x14ac:dyDescent="0.3">
      <c r="A45" s="90" t="s">
        <v>87</v>
      </c>
      <c r="B45" s="90">
        <v>25</v>
      </c>
      <c r="C45" s="5">
        <v>3013.33</v>
      </c>
      <c r="D45" s="546" t="s">
        <v>543</v>
      </c>
      <c r="E45" s="547"/>
      <c r="F45" s="547"/>
      <c r="G45" s="547"/>
      <c r="H45" s="547"/>
      <c r="I45" s="547"/>
      <c r="J45" s="548"/>
      <c r="K45" s="5">
        <v>3040.58</v>
      </c>
      <c r="L45" s="2"/>
      <c r="M45" s="2"/>
      <c r="N45" s="5" t="s">
        <v>545</v>
      </c>
      <c r="O45" s="98">
        <v>10</v>
      </c>
      <c r="P45" s="3">
        <v>11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</row>
    <row r="46" spans="1:60" s="40" customFormat="1" ht="15" customHeight="1" thickBot="1" x14ac:dyDescent="0.35">
      <c r="A46" s="534" t="s">
        <v>4</v>
      </c>
      <c r="B46" s="549"/>
      <c r="C46" s="549"/>
      <c r="D46" s="549"/>
      <c r="E46" s="549"/>
      <c r="F46" s="549"/>
      <c r="G46" s="549"/>
      <c r="H46" s="549"/>
      <c r="I46" s="549"/>
      <c r="J46" s="535"/>
      <c r="K46" s="114">
        <f>SUM(K44:K45)</f>
        <v>6498.17</v>
      </c>
      <c r="L46" s="90"/>
      <c r="M46" s="90"/>
      <c r="N46" s="90"/>
      <c r="O46" s="90"/>
      <c r="P46" s="9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1"/>
      <c r="AU46" s="11"/>
      <c r="AV46" s="11"/>
      <c r="AW46" s="11"/>
    </row>
    <row r="47" spans="1:60" s="19" customFormat="1" x14ac:dyDescent="0.3">
      <c r="A47" s="179"/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1"/>
      <c r="P47" s="182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</row>
    <row r="48" spans="1:60" s="40" customFormat="1" x14ac:dyDescent="0.3">
      <c r="A48" s="575" t="s">
        <v>9</v>
      </c>
      <c r="B48" s="576"/>
      <c r="C48" s="576"/>
      <c r="D48" s="577"/>
      <c r="E48" s="574"/>
      <c r="F48" s="540"/>
      <c r="G48" s="540"/>
      <c r="H48" s="540"/>
      <c r="I48" s="46"/>
      <c r="J48" s="46"/>
      <c r="K48" s="46"/>
      <c r="L48" s="46"/>
      <c r="M48" s="46"/>
      <c r="N48" s="544" t="s">
        <v>315</v>
      </c>
      <c r="O48" s="544"/>
      <c r="P48" s="545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1"/>
      <c r="AU48" s="11"/>
      <c r="AV48" s="11"/>
      <c r="AW48" s="11"/>
    </row>
    <row r="49" spans="1:49" s="40" customFormat="1" x14ac:dyDescent="0.3">
      <c r="A49" s="76" t="s">
        <v>40</v>
      </c>
      <c r="B49" s="77">
        <f>'GERAL 2022'!J35</f>
        <v>118.18</v>
      </c>
      <c r="C49" s="78">
        <v>6</v>
      </c>
      <c r="D49" s="77">
        <f t="shared" ref="D49:D102" si="9">B49/C49</f>
        <v>19.696666666666669</v>
      </c>
      <c r="E49" s="574"/>
      <c r="F49" s="540"/>
      <c r="G49" s="540"/>
      <c r="H49" s="540"/>
      <c r="I49" s="11"/>
      <c r="J49" s="11"/>
      <c r="K49" s="87"/>
      <c r="L49" s="87"/>
      <c r="M49" s="87"/>
      <c r="N49" s="527" t="s">
        <v>94</v>
      </c>
      <c r="O49" s="527"/>
      <c r="P49" s="114">
        <f>L35+L40</f>
        <v>1208.6372902013213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1"/>
      <c r="AU49" s="11"/>
      <c r="AV49" s="11"/>
      <c r="AW49" s="11"/>
    </row>
    <row r="50" spans="1:49" s="40" customFormat="1" x14ac:dyDescent="0.3">
      <c r="A50" s="12" t="s">
        <v>46</v>
      </c>
      <c r="B50" s="2">
        <f>'GERAL 2023'!H3</f>
        <v>15.019858156028368</v>
      </c>
      <c r="C50" s="88">
        <v>12</v>
      </c>
      <c r="D50" s="2">
        <f t="shared" si="9"/>
        <v>1.2516548463356973</v>
      </c>
      <c r="E50" s="574"/>
      <c r="F50" s="540"/>
      <c r="G50" s="540"/>
      <c r="H50" s="540"/>
      <c r="I50" s="11"/>
      <c r="J50" s="11"/>
      <c r="K50" s="14"/>
      <c r="L50" s="14"/>
      <c r="M50" s="14"/>
      <c r="N50" s="518" t="s">
        <v>260</v>
      </c>
      <c r="O50" s="518"/>
      <c r="P50" s="114">
        <f>L5</f>
        <v>366</v>
      </c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1"/>
      <c r="AU50" s="11"/>
      <c r="AV50" s="11"/>
      <c r="AW50" s="11"/>
    </row>
    <row r="51" spans="1:49" s="40" customFormat="1" x14ac:dyDescent="0.3">
      <c r="A51" s="79" t="s">
        <v>29</v>
      </c>
      <c r="B51" s="80">
        <f>'GERAL 2022'!J4</f>
        <v>118.18</v>
      </c>
      <c r="C51" s="78">
        <v>6</v>
      </c>
      <c r="D51" s="80">
        <f t="shared" si="9"/>
        <v>19.696666666666669</v>
      </c>
      <c r="E51" s="574"/>
      <c r="F51" s="540"/>
      <c r="G51" s="540"/>
      <c r="H51" s="540"/>
      <c r="I51" s="11"/>
      <c r="J51" s="11"/>
      <c r="K51" s="14"/>
      <c r="L51" s="14"/>
      <c r="M51" s="14"/>
      <c r="N51" s="520"/>
      <c r="O51" s="520"/>
      <c r="P51" s="52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1"/>
      <c r="AU51" s="11"/>
      <c r="AV51" s="11"/>
      <c r="AW51" s="11"/>
    </row>
    <row r="52" spans="1:49" s="40" customFormat="1" x14ac:dyDescent="0.3">
      <c r="A52" s="12" t="s">
        <v>30</v>
      </c>
      <c r="B52" s="2">
        <f>'GERAL 2023'!H4</f>
        <v>15.019858156028368</v>
      </c>
      <c r="C52" s="88">
        <v>12</v>
      </c>
      <c r="D52" s="2">
        <f t="shared" si="9"/>
        <v>1.2516548463356973</v>
      </c>
      <c r="E52" s="574"/>
      <c r="F52" s="540"/>
      <c r="G52" s="540"/>
      <c r="H52" s="540"/>
      <c r="I52" s="11"/>
      <c r="J52" s="11"/>
      <c r="K52" s="62"/>
      <c r="L52" s="62"/>
      <c r="M52" s="62"/>
      <c r="N52" s="520"/>
      <c r="O52" s="520"/>
      <c r="P52" s="52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1"/>
      <c r="AU52" s="11"/>
      <c r="AV52" s="11"/>
      <c r="AW52" s="11"/>
    </row>
    <row r="53" spans="1:49" s="40" customFormat="1" ht="14.4" x14ac:dyDescent="0.3">
      <c r="A53" s="79" t="s">
        <v>65</v>
      </c>
      <c r="B53" s="80">
        <f>'GERAL 2022'!J5</f>
        <v>117.85</v>
      </c>
      <c r="C53" s="78">
        <v>6</v>
      </c>
      <c r="D53" s="80">
        <f t="shared" si="9"/>
        <v>19.641666666666666</v>
      </c>
      <c r="E53" s="574"/>
      <c r="F53" s="540"/>
      <c r="G53" s="540"/>
      <c r="H53" s="540"/>
      <c r="I53" s="11"/>
      <c r="J53" s="11"/>
      <c r="K53" s="14"/>
      <c r="L53" s="14"/>
      <c r="M53" s="14"/>
      <c r="N53" s="529" t="s">
        <v>12</v>
      </c>
      <c r="O53" s="529"/>
      <c r="P53" s="529"/>
      <c r="Q53" s="175"/>
      <c r="R53" s="178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1"/>
      <c r="AU53" s="11"/>
      <c r="AV53" s="11"/>
      <c r="AW53" s="11"/>
    </row>
    <row r="54" spans="1:49" s="11" customFormat="1" ht="15" customHeight="1" x14ac:dyDescent="0.3">
      <c r="A54" s="12" t="s">
        <v>62</v>
      </c>
      <c r="B54" s="2">
        <f>'GERAL 2023'!H5</f>
        <v>15.019858156028368</v>
      </c>
      <c r="C54" s="88">
        <v>12</v>
      </c>
      <c r="D54" s="2">
        <f t="shared" si="9"/>
        <v>1.2516548463356973</v>
      </c>
      <c r="E54" s="574"/>
      <c r="F54" s="540"/>
      <c r="G54" s="540"/>
      <c r="H54" s="540"/>
      <c r="K54" s="63"/>
      <c r="L54" s="63"/>
      <c r="M54" s="63"/>
      <c r="N54" s="514" t="s">
        <v>181</v>
      </c>
      <c r="O54" s="514"/>
      <c r="P54" s="2">
        <v>19.7</v>
      </c>
      <c r="Q54" s="175"/>
      <c r="R54" s="178"/>
    </row>
    <row r="55" spans="1:49" s="11" customFormat="1" ht="14.4" x14ac:dyDescent="0.3">
      <c r="A55" s="79" t="s">
        <v>60</v>
      </c>
      <c r="B55" s="80">
        <f>'GERAL 2022'!J6</f>
        <v>117.85</v>
      </c>
      <c r="C55" s="78">
        <v>6</v>
      </c>
      <c r="D55" s="80">
        <f t="shared" si="9"/>
        <v>19.641666666666666</v>
      </c>
      <c r="E55" s="574"/>
      <c r="F55" s="540"/>
      <c r="G55" s="540"/>
      <c r="H55" s="540"/>
      <c r="K55" s="14"/>
      <c r="L55" s="14"/>
      <c r="M55" s="14"/>
      <c r="N55" s="514" t="s">
        <v>324</v>
      </c>
      <c r="O55" s="514"/>
      <c r="P55" s="2">
        <v>19.64</v>
      </c>
      <c r="Q55" s="175"/>
      <c r="R55" s="178"/>
    </row>
    <row r="56" spans="1:49" s="11" customFormat="1" ht="15" customHeight="1" x14ac:dyDescent="0.3">
      <c r="A56" s="12" t="s">
        <v>61</v>
      </c>
      <c r="B56" s="2">
        <f>'GERAL 2023'!H6</f>
        <v>15.019858156028368</v>
      </c>
      <c r="C56" s="88">
        <v>12</v>
      </c>
      <c r="D56" s="2">
        <f t="shared" si="9"/>
        <v>1.2516548463356973</v>
      </c>
      <c r="E56" s="574"/>
      <c r="F56" s="540"/>
      <c r="G56" s="540"/>
      <c r="H56" s="540"/>
      <c r="K56" s="63"/>
      <c r="L56" s="63"/>
      <c r="M56" s="63"/>
      <c r="N56" s="514" t="s">
        <v>569</v>
      </c>
      <c r="O56" s="514"/>
      <c r="P56" s="2">
        <v>19.7</v>
      </c>
      <c r="Q56" s="190"/>
      <c r="R56" s="178"/>
    </row>
    <row r="57" spans="1:49" s="11" customFormat="1" ht="14.4" x14ac:dyDescent="0.3">
      <c r="A57" s="79" t="s">
        <v>31</v>
      </c>
      <c r="B57" s="80">
        <f>'GERAL 2023'!J7</f>
        <v>118.18</v>
      </c>
      <c r="C57" s="78">
        <v>6</v>
      </c>
      <c r="D57" s="80">
        <f>B57/C57</f>
        <v>19.696666666666669</v>
      </c>
      <c r="E57" s="574"/>
      <c r="F57" s="540"/>
      <c r="G57" s="540"/>
      <c r="H57" s="540"/>
      <c r="K57" s="14"/>
      <c r="L57" s="14"/>
      <c r="M57" s="14"/>
      <c r="N57" s="514" t="s">
        <v>409</v>
      </c>
      <c r="O57" s="514"/>
      <c r="P57" s="2">
        <v>19.89</v>
      </c>
      <c r="Q57" s="175"/>
      <c r="R57" s="178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</row>
    <row r="58" spans="1:49" s="11" customFormat="1" ht="14.4" x14ac:dyDescent="0.3">
      <c r="A58" s="12" t="s">
        <v>32</v>
      </c>
      <c r="B58" s="2">
        <f>'GERAL 2023'!H7</f>
        <v>15.019858156028368</v>
      </c>
      <c r="C58" s="88">
        <v>12</v>
      </c>
      <c r="D58" s="2">
        <f t="shared" si="9"/>
        <v>1.2516548463356973</v>
      </c>
      <c r="E58" s="574"/>
      <c r="F58" s="540"/>
      <c r="G58" s="540"/>
      <c r="H58" s="540"/>
      <c r="K58" s="63"/>
      <c r="L58" s="63"/>
      <c r="M58" s="63"/>
      <c r="N58" s="514" t="s">
        <v>327</v>
      </c>
      <c r="O58" s="514"/>
      <c r="P58" s="2">
        <v>19.7</v>
      </c>
      <c r="Q58" s="175"/>
      <c r="R58" s="178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</row>
    <row r="59" spans="1:49" s="11" customFormat="1" ht="14.4" x14ac:dyDescent="0.3">
      <c r="A59" s="79" t="s">
        <v>57</v>
      </c>
      <c r="B59" s="80">
        <f>'GERAL 2022'!J36</f>
        <v>119.36</v>
      </c>
      <c r="C59" s="78">
        <v>6</v>
      </c>
      <c r="D59" s="80">
        <f t="shared" si="9"/>
        <v>19.893333333333334</v>
      </c>
      <c r="E59" s="574"/>
      <c r="F59" s="540"/>
      <c r="G59" s="540"/>
      <c r="H59" s="540"/>
      <c r="K59" s="14"/>
      <c r="L59" s="14"/>
      <c r="M59" s="14"/>
      <c r="N59" s="514" t="s">
        <v>337</v>
      </c>
      <c r="O59" s="514"/>
      <c r="P59" s="2">
        <v>19.649999999999999</v>
      </c>
      <c r="Q59" s="175"/>
      <c r="R59" s="185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</row>
    <row r="60" spans="1:49" s="11" customFormat="1" ht="12.75" customHeight="1" x14ac:dyDescent="0.3">
      <c r="A60" s="12" t="s">
        <v>58</v>
      </c>
      <c r="B60" s="2">
        <f>'GERAL 2023'!H8</f>
        <v>21.027801418439715</v>
      </c>
      <c r="C60" s="88">
        <v>12</v>
      </c>
      <c r="D60" s="2">
        <f t="shared" si="9"/>
        <v>1.7523167848699763</v>
      </c>
      <c r="E60" s="574"/>
      <c r="F60" s="540"/>
      <c r="G60" s="540"/>
      <c r="H60" s="540"/>
      <c r="K60" s="63"/>
      <c r="L60" s="63"/>
      <c r="M60" s="63"/>
      <c r="N60" s="514" t="s">
        <v>122</v>
      </c>
      <c r="O60" s="514"/>
      <c r="P60" s="2">
        <v>19.760000000000002</v>
      </c>
      <c r="Q60" s="175"/>
      <c r="R60" s="178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</row>
    <row r="61" spans="1:49" s="11" customFormat="1" ht="14.4" x14ac:dyDescent="0.3">
      <c r="A61" s="79" t="s">
        <v>63</v>
      </c>
      <c r="B61" s="80">
        <f>'GERAL 2022'!J9</f>
        <v>118.18</v>
      </c>
      <c r="C61" s="78">
        <v>6</v>
      </c>
      <c r="D61" s="80">
        <f t="shared" si="9"/>
        <v>19.696666666666669</v>
      </c>
      <c r="E61" s="574"/>
      <c r="F61" s="540"/>
      <c r="G61" s="540"/>
      <c r="H61" s="540"/>
      <c r="K61" s="14"/>
      <c r="L61" s="14"/>
      <c r="M61" s="14"/>
      <c r="N61" s="514" t="s">
        <v>186</v>
      </c>
      <c r="O61" s="514"/>
      <c r="P61" s="2">
        <v>19.809999999999999</v>
      </c>
      <c r="Q61" s="175"/>
      <c r="R61" s="178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</row>
    <row r="62" spans="1:49" s="11" customFormat="1" ht="15" customHeight="1" x14ac:dyDescent="0.3">
      <c r="A62" s="12" t="s">
        <v>64</v>
      </c>
      <c r="B62" s="2">
        <f>'GERAL 2023'!H9</f>
        <v>15.019858156028368</v>
      </c>
      <c r="C62" s="88">
        <v>12</v>
      </c>
      <c r="D62" s="2">
        <f t="shared" si="9"/>
        <v>1.2516548463356973</v>
      </c>
      <c r="E62" s="574"/>
      <c r="F62" s="540"/>
      <c r="G62" s="540"/>
      <c r="H62" s="540"/>
      <c r="K62" s="63"/>
      <c r="L62" s="63"/>
      <c r="M62" s="63"/>
      <c r="N62" s="542" t="s">
        <v>691</v>
      </c>
      <c r="O62" s="542"/>
      <c r="P62" s="2">
        <f>120*5</f>
        <v>600</v>
      </c>
      <c r="R62" s="14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</row>
    <row r="63" spans="1:49" s="11" customFormat="1" ht="14.4" x14ac:dyDescent="0.3">
      <c r="A63" s="79" t="s">
        <v>33</v>
      </c>
      <c r="B63" s="80">
        <f>'GERAL 2022'!J37</f>
        <v>118.18</v>
      </c>
      <c r="C63" s="78">
        <v>6</v>
      </c>
      <c r="D63" s="80">
        <f t="shared" si="9"/>
        <v>19.696666666666669</v>
      </c>
      <c r="E63" s="574"/>
      <c r="F63" s="540"/>
      <c r="G63" s="540"/>
      <c r="H63" s="540"/>
      <c r="K63" s="14"/>
      <c r="L63" s="14"/>
      <c r="M63" s="14"/>
      <c r="N63" s="520" t="s">
        <v>126</v>
      </c>
      <c r="O63" s="520"/>
      <c r="P63" s="2">
        <v>125.04</v>
      </c>
      <c r="Q63" s="175"/>
      <c r="R63" s="178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</row>
    <row r="64" spans="1:49" s="11" customFormat="1" ht="13.5" customHeight="1" x14ac:dyDescent="0.3">
      <c r="A64" s="12" t="s">
        <v>34</v>
      </c>
      <c r="B64" s="2">
        <f>'GERAL 2023'!H10</f>
        <v>15.019858156028368</v>
      </c>
      <c r="C64" s="88">
        <v>12</v>
      </c>
      <c r="D64" s="2">
        <f t="shared" si="9"/>
        <v>1.2516548463356973</v>
      </c>
      <c r="E64" s="574"/>
      <c r="F64" s="540"/>
      <c r="G64" s="540"/>
      <c r="H64" s="540"/>
      <c r="K64" s="63"/>
      <c r="L64" s="63"/>
      <c r="M64" s="63"/>
      <c r="N64" s="563" t="s">
        <v>127</v>
      </c>
      <c r="O64" s="563"/>
      <c r="P64" s="2">
        <v>1347.3</v>
      </c>
      <c r="Q64" s="175"/>
      <c r="R64" s="178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</row>
    <row r="65" spans="1:48" s="11" customFormat="1" ht="14.4" x14ac:dyDescent="0.3">
      <c r="A65" s="79" t="s">
        <v>41</v>
      </c>
      <c r="B65" s="80">
        <f>'GERAL 2022'!J11</f>
        <v>118.18</v>
      </c>
      <c r="C65" s="78">
        <v>6</v>
      </c>
      <c r="D65" s="80">
        <f t="shared" si="9"/>
        <v>19.696666666666669</v>
      </c>
      <c r="E65" s="574"/>
      <c r="F65" s="540"/>
      <c r="G65" s="540"/>
      <c r="H65" s="540"/>
      <c r="N65" s="520" t="s">
        <v>692</v>
      </c>
      <c r="O65" s="520"/>
      <c r="P65" s="5">
        <v>21.5</v>
      </c>
      <c r="Q65" s="175"/>
      <c r="R65" s="178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</row>
    <row r="66" spans="1:48" s="11" customFormat="1" ht="14.4" x14ac:dyDescent="0.3">
      <c r="A66" s="12" t="s">
        <v>42</v>
      </c>
      <c r="B66" s="2">
        <f>'GERAL 2023'!H11</f>
        <v>15.019858156028368</v>
      </c>
      <c r="C66" s="88">
        <v>12</v>
      </c>
      <c r="D66" s="2">
        <f t="shared" si="9"/>
        <v>1.2516548463356973</v>
      </c>
      <c r="E66" s="574"/>
      <c r="F66" s="540"/>
      <c r="G66" s="540"/>
      <c r="H66" s="540"/>
      <c r="K66" s="63"/>
      <c r="L66" s="63"/>
      <c r="M66" s="63"/>
      <c r="N66" s="578" t="s">
        <v>693</v>
      </c>
      <c r="O66" s="579"/>
      <c r="P66" s="141"/>
      <c r="Q66" s="175"/>
      <c r="R66" s="178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</row>
    <row r="67" spans="1:48" s="11" customFormat="1" ht="14.4" x14ac:dyDescent="0.3">
      <c r="A67" s="79" t="s">
        <v>66</v>
      </c>
      <c r="B67" s="80">
        <f>'GERAL 2022'!J38</f>
        <v>117.85</v>
      </c>
      <c r="C67" s="78">
        <v>6</v>
      </c>
      <c r="D67" s="80">
        <f t="shared" si="9"/>
        <v>19.641666666666666</v>
      </c>
      <c r="E67" s="574"/>
      <c r="F67" s="540"/>
      <c r="G67" s="540"/>
      <c r="H67" s="540"/>
      <c r="K67" s="14"/>
      <c r="L67" s="14"/>
      <c r="M67" s="14"/>
      <c r="N67" s="520"/>
      <c r="O67" s="520"/>
      <c r="P67" s="5"/>
      <c r="Q67" s="175"/>
      <c r="R67" s="185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</row>
    <row r="68" spans="1:48" s="11" customFormat="1" ht="14.4" x14ac:dyDescent="0.3">
      <c r="A68" s="12" t="s">
        <v>67</v>
      </c>
      <c r="B68" s="2">
        <f>'GERAL 2023'!H12</f>
        <v>15.019858156028368</v>
      </c>
      <c r="C68" s="88">
        <v>12</v>
      </c>
      <c r="D68" s="2">
        <f t="shared" si="9"/>
        <v>1.2516548463356973</v>
      </c>
      <c r="E68" s="574"/>
      <c r="F68" s="540"/>
      <c r="G68" s="540"/>
      <c r="H68" s="540"/>
      <c r="K68" s="63"/>
      <c r="L68" s="63"/>
      <c r="M68" s="63"/>
      <c r="N68" s="563"/>
      <c r="O68" s="563"/>
      <c r="P68" s="141"/>
      <c r="Q68" s="175"/>
      <c r="R68" s="176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</row>
    <row r="69" spans="1:48" s="11" customFormat="1" ht="14.4" x14ac:dyDescent="0.3">
      <c r="A69" s="79" t="s">
        <v>14</v>
      </c>
      <c r="B69" s="80">
        <f>'GERAL 2022'!J13</f>
        <v>117.85</v>
      </c>
      <c r="C69" s="78">
        <v>6</v>
      </c>
      <c r="D69" s="80">
        <f t="shared" si="9"/>
        <v>19.641666666666666</v>
      </c>
      <c r="E69" s="574"/>
      <c r="F69" s="540"/>
      <c r="G69" s="540"/>
      <c r="H69" s="540"/>
      <c r="K69" s="14"/>
      <c r="L69" s="14"/>
      <c r="M69" s="14"/>
      <c r="N69" s="520"/>
      <c r="O69" s="520"/>
      <c r="P69" s="165"/>
      <c r="Q69" s="175"/>
      <c r="R69" s="176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</row>
    <row r="70" spans="1:48" s="11" customFormat="1" ht="14.4" x14ac:dyDescent="0.3">
      <c r="A70" s="12" t="s">
        <v>15</v>
      </c>
      <c r="B70" s="2">
        <f>'GERAL 2023'!H13</f>
        <v>15.019858156028368</v>
      </c>
      <c r="C70" s="88">
        <v>12</v>
      </c>
      <c r="D70" s="2">
        <f t="shared" si="9"/>
        <v>1.2516548463356973</v>
      </c>
      <c r="E70" s="574"/>
      <c r="F70" s="540"/>
      <c r="G70" s="540"/>
      <c r="H70" s="540"/>
      <c r="K70" s="87"/>
      <c r="L70" s="87"/>
      <c r="M70" s="87"/>
      <c r="N70" s="518" t="s">
        <v>26</v>
      </c>
      <c r="O70" s="518"/>
      <c r="P70" s="109">
        <f>SUM(P49:P69)</f>
        <v>3826.3272902013214</v>
      </c>
      <c r="Q70" s="175"/>
      <c r="R70" s="176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</row>
    <row r="71" spans="1:48" s="11" customFormat="1" ht="14.4" x14ac:dyDescent="0.3">
      <c r="A71" s="79" t="s">
        <v>55</v>
      </c>
      <c r="B71" s="80">
        <f>'GERAL 2022'!J14</f>
        <v>117.85</v>
      </c>
      <c r="C71" s="78">
        <v>6</v>
      </c>
      <c r="D71" s="80">
        <f t="shared" si="9"/>
        <v>19.641666666666666</v>
      </c>
      <c r="E71" s="574"/>
      <c r="F71" s="540"/>
      <c r="G71" s="540"/>
      <c r="H71" s="540"/>
      <c r="N71" s="543"/>
      <c r="O71" s="543"/>
      <c r="P71" s="135"/>
      <c r="Q71" s="175"/>
      <c r="R71" s="176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</row>
    <row r="72" spans="1:48" s="11" customFormat="1" ht="14.4" x14ac:dyDescent="0.3">
      <c r="A72" s="12" t="s">
        <v>56</v>
      </c>
      <c r="B72" s="2">
        <f>'GERAL 2023'!H14</f>
        <v>15.019858156028368</v>
      </c>
      <c r="C72" s="88">
        <v>12</v>
      </c>
      <c r="D72" s="2">
        <f t="shared" si="9"/>
        <v>1.2516548463356973</v>
      </c>
      <c r="E72" s="574"/>
      <c r="F72" s="540"/>
      <c r="G72" s="540"/>
      <c r="H72" s="540"/>
      <c r="N72" s="564" t="s">
        <v>11</v>
      </c>
      <c r="O72" s="565"/>
      <c r="P72" s="153">
        <f>K5+K35+K40</f>
        <v>17947.954954018653</v>
      </c>
      <c r="Q72" s="175"/>
      <c r="R72" s="176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</row>
    <row r="73" spans="1:48" s="11" customFormat="1" ht="14.4" x14ac:dyDescent="0.3">
      <c r="A73" s="79" t="s">
        <v>35</v>
      </c>
      <c r="B73" s="80">
        <f>'GERAL 2022'!J15</f>
        <v>117.85</v>
      </c>
      <c r="C73" s="78">
        <v>6</v>
      </c>
      <c r="D73" s="80">
        <f t="shared" si="9"/>
        <v>19.641666666666666</v>
      </c>
      <c r="E73" s="574"/>
      <c r="F73" s="540"/>
      <c r="G73" s="540"/>
      <c r="H73" s="540"/>
      <c r="N73" s="518"/>
      <c r="O73" s="518"/>
      <c r="P73" s="519"/>
      <c r="Q73" s="175"/>
      <c r="R73" s="178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</row>
    <row r="74" spans="1:48" s="11" customFormat="1" ht="14.4" x14ac:dyDescent="0.3">
      <c r="A74" s="12" t="s">
        <v>36</v>
      </c>
      <c r="B74" s="2">
        <f>'GERAL 2023'!H15</f>
        <v>15.019858156028368</v>
      </c>
      <c r="C74" s="88">
        <v>12</v>
      </c>
      <c r="D74" s="2">
        <f t="shared" si="9"/>
        <v>1.2516548463356973</v>
      </c>
      <c r="E74" s="574"/>
      <c r="F74" s="540"/>
      <c r="G74" s="540"/>
      <c r="H74" s="540"/>
      <c r="K74" s="14"/>
      <c r="L74" s="14"/>
      <c r="M74" s="14"/>
      <c r="N74" s="513" t="s">
        <v>13</v>
      </c>
      <c r="O74" s="513"/>
      <c r="P74" s="151">
        <f>P72-P70</f>
        <v>14121.627663817331</v>
      </c>
      <c r="Q74" s="175"/>
      <c r="R74" s="178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</row>
    <row r="75" spans="1:48" s="11" customFormat="1" ht="14.4" x14ac:dyDescent="0.3">
      <c r="A75" s="79" t="s">
        <v>47</v>
      </c>
      <c r="B75" s="80">
        <f>'GERAL 2022'!J39</f>
        <v>118.18</v>
      </c>
      <c r="C75" s="78">
        <v>6</v>
      </c>
      <c r="D75" s="80">
        <f t="shared" si="9"/>
        <v>19.696666666666669</v>
      </c>
      <c r="E75" s="574"/>
      <c r="F75" s="540"/>
      <c r="G75" s="540"/>
      <c r="H75" s="540"/>
      <c r="K75" s="15"/>
      <c r="L75" s="15"/>
      <c r="M75" s="15"/>
      <c r="N75" s="124"/>
      <c r="O75" s="124"/>
      <c r="P75" s="57"/>
      <c r="Q75" s="175"/>
      <c r="R75" s="178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</row>
    <row r="76" spans="1:48" s="11" customFormat="1" ht="14.4" x14ac:dyDescent="0.3">
      <c r="A76" s="12" t="s">
        <v>48</v>
      </c>
      <c r="B76" s="2">
        <f>'GERAL 2023'!H16</f>
        <v>15.019858156028368</v>
      </c>
      <c r="C76" s="88">
        <v>12</v>
      </c>
      <c r="D76" s="2">
        <f t="shared" si="9"/>
        <v>1.2516548463356973</v>
      </c>
      <c r="E76" s="574"/>
      <c r="F76" s="540"/>
      <c r="G76" s="540"/>
      <c r="H76" s="540"/>
      <c r="K76" s="14"/>
      <c r="L76" s="14"/>
      <c r="M76" s="14"/>
      <c r="N76" s="124"/>
      <c r="O76" s="124"/>
      <c r="P76" s="57"/>
      <c r="Q76" s="175"/>
      <c r="R76" s="178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</row>
    <row r="77" spans="1:48" s="11" customFormat="1" ht="14.4" x14ac:dyDescent="0.3">
      <c r="A77" s="79" t="s">
        <v>16</v>
      </c>
      <c r="B77" s="80">
        <f>'GERAL 2022'!J40</f>
        <v>119.02</v>
      </c>
      <c r="C77" s="78">
        <v>6</v>
      </c>
      <c r="D77" s="80">
        <f t="shared" si="9"/>
        <v>19.836666666666666</v>
      </c>
      <c r="E77" s="574"/>
      <c r="F77" s="540"/>
      <c r="G77" s="540"/>
      <c r="H77" s="540"/>
      <c r="K77" s="14"/>
      <c r="L77" s="14"/>
      <c r="M77" s="14"/>
      <c r="N77" s="124"/>
      <c r="O77" s="124"/>
      <c r="P77" s="57"/>
      <c r="Q77" s="175"/>
      <c r="R77" s="178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</row>
    <row r="78" spans="1:48" s="11" customFormat="1" ht="14.4" x14ac:dyDescent="0.3">
      <c r="A78" s="12" t="s">
        <v>17</v>
      </c>
      <c r="B78" s="2">
        <f>'GERAL 2023'!H17</f>
        <v>21.027801418439715</v>
      </c>
      <c r="C78" s="88">
        <v>12</v>
      </c>
      <c r="D78" s="2">
        <f t="shared" si="9"/>
        <v>1.7523167848699763</v>
      </c>
      <c r="E78" s="574"/>
      <c r="F78" s="540"/>
      <c r="G78" s="540"/>
      <c r="H78" s="540"/>
      <c r="K78" s="14"/>
      <c r="L78" s="14"/>
      <c r="M78" s="14"/>
      <c r="N78" s="124"/>
      <c r="O78" s="124"/>
      <c r="P78" s="57"/>
      <c r="Q78" s="175"/>
      <c r="R78" s="178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</row>
    <row r="79" spans="1:48" s="11" customFormat="1" x14ac:dyDescent="0.3">
      <c r="A79" s="79" t="s">
        <v>27</v>
      </c>
      <c r="B79" s="80">
        <f>'GERAL 2023'!J37</f>
        <v>118.68</v>
      </c>
      <c r="C79" s="78">
        <v>6</v>
      </c>
      <c r="D79" s="80">
        <f t="shared" si="9"/>
        <v>19.78</v>
      </c>
      <c r="E79" s="574"/>
      <c r="F79" s="540"/>
      <c r="G79" s="540"/>
      <c r="H79" s="540"/>
      <c r="K79" s="14"/>
      <c r="L79" s="14"/>
      <c r="M79" s="14"/>
      <c r="N79" s="15"/>
      <c r="O79" s="14"/>
      <c r="P79" s="57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</row>
    <row r="80" spans="1:48" s="69" customFormat="1" x14ac:dyDescent="0.3">
      <c r="A80" s="12" t="s">
        <v>28</v>
      </c>
      <c r="B80" s="2">
        <f>'GERAL 2023'!H37</f>
        <v>15.019858156028368</v>
      </c>
      <c r="C80" s="88">
        <v>12</v>
      </c>
      <c r="D80" s="2">
        <f t="shared" si="9"/>
        <v>1.2516548463356973</v>
      </c>
      <c r="E80" s="574"/>
      <c r="F80" s="540"/>
      <c r="G80" s="540"/>
      <c r="H80" s="540"/>
      <c r="I80" s="11"/>
      <c r="J80" s="11"/>
      <c r="K80" s="14"/>
      <c r="L80" s="14"/>
      <c r="M80" s="14"/>
      <c r="N80" s="11"/>
      <c r="O80" s="15"/>
      <c r="P80" s="57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</row>
    <row r="81" spans="1:48" s="69" customFormat="1" x14ac:dyDescent="0.3">
      <c r="A81" s="79" t="s">
        <v>18</v>
      </c>
      <c r="B81" s="80">
        <f>'GERAL 2022'!J41</f>
        <v>118.18</v>
      </c>
      <c r="C81" s="78">
        <v>6</v>
      </c>
      <c r="D81" s="80">
        <f t="shared" si="9"/>
        <v>19.696666666666669</v>
      </c>
      <c r="E81" s="574"/>
      <c r="F81" s="540"/>
      <c r="G81" s="540"/>
      <c r="H81" s="540"/>
      <c r="I81" s="11"/>
      <c r="J81" s="11"/>
      <c r="K81" s="14"/>
      <c r="L81" s="14"/>
      <c r="M81" s="14"/>
      <c r="N81" s="11"/>
      <c r="O81" s="11"/>
      <c r="P81" s="57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</row>
    <row r="82" spans="1:48" s="69" customFormat="1" x14ac:dyDescent="0.3">
      <c r="A82" s="12" t="s">
        <v>19</v>
      </c>
      <c r="B82" s="2">
        <f>'GERAL 2023'!H19</f>
        <v>15.019858156028368</v>
      </c>
      <c r="C82" s="88">
        <v>12</v>
      </c>
      <c r="D82" s="2">
        <f>B82/C82</f>
        <v>1.2516548463356973</v>
      </c>
      <c r="E82" s="574"/>
      <c r="F82" s="540"/>
      <c r="G82" s="540"/>
      <c r="H82" s="540"/>
      <c r="I82" s="11"/>
      <c r="J82" s="11"/>
      <c r="K82" s="14"/>
      <c r="L82" s="14"/>
      <c r="M82" s="14"/>
      <c r="N82" s="14"/>
      <c r="O82" s="14"/>
      <c r="P82" s="57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</row>
    <row r="83" spans="1:48" s="69" customFormat="1" x14ac:dyDescent="0.3">
      <c r="A83" s="79" t="s">
        <v>37</v>
      </c>
      <c r="B83" s="80">
        <f>'GERAL 2022'!J42</f>
        <v>118.92</v>
      </c>
      <c r="C83" s="78">
        <v>6</v>
      </c>
      <c r="D83" s="80">
        <f t="shared" si="9"/>
        <v>19.82</v>
      </c>
      <c r="E83" s="574"/>
      <c r="F83" s="540"/>
      <c r="G83" s="540"/>
      <c r="H83" s="540"/>
      <c r="I83" s="11"/>
      <c r="J83" s="11"/>
      <c r="K83" s="14"/>
      <c r="L83" s="14"/>
      <c r="M83" s="14"/>
      <c r="N83" s="14"/>
      <c r="O83" s="15"/>
      <c r="P83" s="57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</row>
    <row r="84" spans="1:48" s="69" customFormat="1" x14ac:dyDescent="0.3">
      <c r="A84" s="12" t="s">
        <v>38</v>
      </c>
      <c r="B84" s="2">
        <f>'GERAL 2023'!H20</f>
        <v>15.019858156028368</v>
      </c>
      <c r="C84" s="88">
        <v>12</v>
      </c>
      <c r="D84" s="2">
        <f t="shared" si="9"/>
        <v>1.2516548463356973</v>
      </c>
      <c r="E84" s="574"/>
      <c r="F84" s="540"/>
      <c r="G84" s="540"/>
      <c r="H84" s="540"/>
      <c r="I84" s="11"/>
      <c r="J84" s="11"/>
      <c r="K84" s="14"/>
      <c r="L84" s="14"/>
      <c r="M84" s="14"/>
      <c r="N84" s="14"/>
      <c r="O84" s="11"/>
      <c r="P84" s="57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</row>
    <row r="85" spans="1:48" s="69" customFormat="1" x14ac:dyDescent="0.3">
      <c r="A85" s="79" t="s">
        <v>45</v>
      </c>
      <c r="B85" s="80">
        <f>'GERAL 2022'!J43</f>
        <v>117.85</v>
      </c>
      <c r="C85" s="78">
        <v>6</v>
      </c>
      <c r="D85" s="80">
        <f t="shared" si="9"/>
        <v>19.641666666666666</v>
      </c>
      <c r="E85" s="574"/>
      <c r="F85" s="540"/>
      <c r="G85" s="540"/>
      <c r="H85" s="540"/>
      <c r="I85" s="11"/>
      <c r="J85" s="11"/>
      <c r="K85" s="14"/>
      <c r="L85" s="14"/>
      <c r="M85" s="14"/>
      <c r="N85" s="14"/>
      <c r="O85" s="11"/>
      <c r="P85" s="57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</row>
    <row r="86" spans="1:48" s="69" customFormat="1" x14ac:dyDescent="0.3">
      <c r="A86" s="12" t="s">
        <v>39</v>
      </c>
      <c r="B86" s="2">
        <f>'GERAL 2023'!H21</f>
        <v>15.019858156028368</v>
      </c>
      <c r="C86" s="88">
        <v>12</v>
      </c>
      <c r="D86" s="2">
        <f t="shared" si="9"/>
        <v>1.2516548463356973</v>
      </c>
      <c r="E86" s="574"/>
      <c r="F86" s="540"/>
      <c r="G86" s="540"/>
      <c r="H86" s="540"/>
      <c r="I86" s="11"/>
      <c r="J86" s="11"/>
      <c r="K86" s="14"/>
      <c r="L86" s="14"/>
      <c r="M86" s="14"/>
      <c r="N86" s="11"/>
      <c r="O86" s="11"/>
      <c r="P86" s="57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</row>
    <row r="87" spans="1:48" s="69" customFormat="1" x14ac:dyDescent="0.3">
      <c r="A87" s="81" t="s">
        <v>49</v>
      </c>
      <c r="B87" s="80">
        <f>'GERAL 2022'!J22</f>
        <v>119.12</v>
      </c>
      <c r="C87" s="78">
        <v>6</v>
      </c>
      <c r="D87" s="80">
        <f t="shared" si="9"/>
        <v>19.853333333333335</v>
      </c>
      <c r="E87" s="574"/>
      <c r="F87" s="540"/>
      <c r="G87" s="540"/>
      <c r="H87" s="540"/>
      <c r="I87" s="11"/>
      <c r="J87" s="11"/>
      <c r="K87" s="14"/>
      <c r="L87" s="14"/>
      <c r="M87" s="14"/>
      <c r="N87" s="11"/>
      <c r="O87" s="14"/>
      <c r="P87" s="57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</row>
    <row r="88" spans="1:48" s="69" customFormat="1" x14ac:dyDescent="0.3">
      <c r="A88" s="90" t="s">
        <v>50</v>
      </c>
      <c r="B88" s="2">
        <f>'GERAL 2023'!H22</f>
        <v>15.019858156028368</v>
      </c>
      <c r="C88" s="88">
        <v>12</v>
      </c>
      <c r="D88" s="2">
        <f t="shared" si="9"/>
        <v>1.2516548463356973</v>
      </c>
      <c r="E88" s="574"/>
      <c r="F88" s="540"/>
      <c r="G88" s="540"/>
      <c r="H88" s="540"/>
      <c r="I88" s="11"/>
      <c r="J88" s="11"/>
      <c r="K88" s="14"/>
      <c r="L88" s="14"/>
      <c r="M88" s="14"/>
      <c r="N88" s="11"/>
      <c r="O88" s="14"/>
      <c r="P88" s="57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</row>
    <row r="89" spans="1:48" s="69" customFormat="1" x14ac:dyDescent="0.3">
      <c r="A89" s="81" t="s">
        <v>43</v>
      </c>
      <c r="B89" s="80">
        <f>'GERAL 2022'!J23</f>
        <v>117.26</v>
      </c>
      <c r="C89" s="78">
        <v>6</v>
      </c>
      <c r="D89" s="80">
        <f t="shared" si="9"/>
        <v>19.543333333333333</v>
      </c>
      <c r="E89" s="574"/>
      <c r="F89" s="540"/>
      <c r="G89" s="540"/>
      <c r="H89" s="540"/>
      <c r="I89" s="11"/>
      <c r="J89" s="11"/>
      <c r="K89" s="14"/>
      <c r="L89" s="14"/>
      <c r="M89" s="14"/>
      <c r="N89" s="11"/>
      <c r="O89" s="14"/>
      <c r="P89" s="57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</row>
    <row r="90" spans="1:48" s="69" customFormat="1" x14ac:dyDescent="0.3">
      <c r="A90" s="90" t="s">
        <v>44</v>
      </c>
      <c r="B90" s="2">
        <f>'GERAL 2023'!H23</f>
        <v>15.019858156028368</v>
      </c>
      <c r="C90" s="88">
        <v>12</v>
      </c>
      <c r="D90" s="2">
        <f t="shared" si="9"/>
        <v>1.2516548463356973</v>
      </c>
      <c r="E90" s="574"/>
      <c r="F90" s="540"/>
      <c r="G90" s="540"/>
      <c r="H90" s="540"/>
      <c r="I90" s="11"/>
      <c r="J90" s="11"/>
      <c r="K90" s="14"/>
      <c r="L90" s="14"/>
      <c r="M90" s="14"/>
      <c r="N90" s="11"/>
      <c r="O90" s="14"/>
      <c r="P90" s="57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</row>
    <row r="91" spans="1:48" s="69" customFormat="1" x14ac:dyDescent="0.3">
      <c r="A91" s="81" t="s">
        <v>51</v>
      </c>
      <c r="B91" s="80">
        <f>'GERAL 2022'!J24</f>
        <v>117.26</v>
      </c>
      <c r="C91" s="78">
        <v>6</v>
      </c>
      <c r="D91" s="80">
        <f t="shared" si="9"/>
        <v>19.543333333333333</v>
      </c>
      <c r="E91" s="574"/>
      <c r="F91" s="540"/>
      <c r="G91" s="540"/>
      <c r="H91" s="540"/>
      <c r="K91" s="142"/>
      <c r="L91" s="142"/>
      <c r="M91" s="142"/>
      <c r="N91" s="11"/>
      <c r="O91" s="11"/>
      <c r="P91" s="57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</row>
    <row r="92" spans="1:48" s="70" customFormat="1" x14ac:dyDescent="0.3">
      <c r="A92" s="90" t="s">
        <v>52</v>
      </c>
      <c r="B92" s="2">
        <f>'GERAL 2023'!H24</f>
        <v>15.019858156028368</v>
      </c>
      <c r="C92" s="88">
        <v>12</v>
      </c>
      <c r="D92" s="2">
        <f t="shared" si="9"/>
        <v>1.2516548463356973</v>
      </c>
      <c r="E92" s="574"/>
      <c r="F92" s="540"/>
      <c r="G92" s="540"/>
      <c r="H92" s="540"/>
      <c r="I92" s="63"/>
      <c r="J92" s="63"/>
      <c r="K92" s="69"/>
      <c r="L92" s="69"/>
      <c r="M92" s="69"/>
      <c r="N92" s="11"/>
      <c r="O92" s="11"/>
      <c r="P92" s="57"/>
    </row>
    <row r="93" spans="1:48" s="70" customFormat="1" ht="15" customHeight="1" x14ac:dyDescent="0.3">
      <c r="A93" s="81" t="s">
        <v>53</v>
      </c>
      <c r="B93" s="80">
        <f>'GERAL 2022'!J25</f>
        <v>117.85</v>
      </c>
      <c r="C93" s="78">
        <v>6</v>
      </c>
      <c r="D93" s="80">
        <f t="shared" si="9"/>
        <v>19.641666666666666</v>
      </c>
      <c r="E93" s="574"/>
      <c r="F93" s="540"/>
      <c r="G93" s="540"/>
      <c r="H93" s="540"/>
      <c r="I93" s="11"/>
      <c r="J93" s="63"/>
      <c r="K93" s="142"/>
      <c r="L93" s="142"/>
      <c r="M93" s="142"/>
      <c r="N93" s="69"/>
      <c r="O93" s="69"/>
      <c r="P93" s="69"/>
      <c r="AV93" s="69"/>
    </row>
    <row r="94" spans="1:48" s="70" customFormat="1" x14ac:dyDescent="0.3">
      <c r="A94" s="90" t="s">
        <v>54</v>
      </c>
      <c r="B94" s="2">
        <f>'GERAL 2023'!H25</f>
        <v>15.019858156028368</v>
      </c>
      <c r="C94" s="88">
        <v>12</v>
      </c>
      <c r="D94" s="2">
        <f t="shared" si="9"/>
        <v>1.2516548463356973</v>
      </c>
      <c r="E94" s="574"/>
      <c r="F94" s="540"/>
      <c r="G94" s="540"/>
      <c r="H94" s="540"/>
      <c r="I94" s="142"/>
      <c r="J94" s="142"/>
      <c r="K94" s="142"/>
      <c r="L94" s="142"/>
      <c r="M94" s="142"/>
      <c r="N94" s="69"/>
      <c r="O94" s="69"/>
      <c r="P94" s="69"/>
      <c r="AV94" s="69"/>
    </row>
    <row r="95" spans="1:48" s="70" customFormat="1" x14ac:dyDescent="0.3">
      <c r="A95" s="81" t="s">
        <v>78</v>
      </c>
      <c r="B95" s="80">
        <f>'GERAL 2022'!J26</f>
        <v>119.02</v>
      </c>
      <c r="C95" s="78">
        <v>6</v>
      </c>
      <c r="D95" s="80">
        <f t="shared" si="9"/>
        <v>19.836666666666666</v>
      </c>
      <c r="E95" s="574"/>
      <c r="F95" s="540"/>
      <c r="G95" s="540"/>
      <c r="H95" s="540"/>
      <c r="I95" s="11"/>
      <c r="J95" s="63"/>
      <c r="K95" s="142"/>
      <c r="L95" s="142"/>
      <c r="M95" s="142"/>
      <c r="N95" s="69"/>
      <c r="O95" s="69"/>
      <c r="P95" s="69"/>
      <c r="AV95" s="69"/>
    </row>
    <row r="96" spans="1:48" s="70" customFormat="1" x14ac:dyDescent="0.3">
      <c r="A96" s="90" t="s">
        <v>79</v>
      </c>
      <c r="B96" s="2">
        <f>'GERAL 2023'!H26</f>
        <v>21.027801418439715</v>
      </c>
      <c r="C96" s="88">
        <v>12</v>
      </c>
      <c r="D96" s="2">
        <f t="shared" si="9"/>
        <v>1.7523167848699763</v>
      </c>
      <c r="E96" s="574"/>
      <c r="F96" s="540"/>
      <c r="G96" s="540"/>
      <c r="H96" s="540"/>
      <c r="I96" s="142"/>
      <c r="J96" s="142"/>
      <c r="K96" s="142"/>
      <c r="L96" s="142"/>
      <c r="M96" s="142"/>
      <c r="N96" s="69"/>
      <c r="O96" s="69"/>
      <c r="P96" s="69"/>
      <c r="AV96" s="69"/>
    </row>
    <row r="97" spans="1:48" s="70" customFormat="1" x14ac:dyDescent="0.3">
      <c r="A97" s="81" t="s">
        <v>80</v>
      </c>
      <c r="B97" s="80">
        <f>'GERAL 2022'!J44</f>
        <v>118.53</v>
      </c>
      <c r="C97" s="78">
        <v>6</v>
      </c>
      <c r="D97" s="80">
        <f t="shared" si="9"/>
        <v>19.754999999999999</v>
      </c>
      <c r="E97" s="574"/>
      <c r="F97" s="540"/>
      <c r="G97" s="540"/>
      <c r="H97" s="540"/>
      <c r="I97" s="11"/>
      <c r="J97" s="63"/>
      <c r="K97" s="142"/>
      <c r="L97" s="142"/>
      <c r="M97" s="142"/>
      <c r="N97" s="69"/>
      <c r="O97" s="69"/>
      <c r="P97" s="69"/>
      <c r="AV97" s="69"/>
    </row>
    <row r="98" spans="1:48" s="70" customFormat="1" x14ac:dyDescent="0.3">
      <c r="A98" s="90" t="s">
        <v>81</v>
      </c>
      <c r="B98" s="2">
        <f>'GERAL 2023'!H27</f>
        <v>15.019858156028368</v>
      </c>
      <c r="C98" s="88">
        <v>12</v>
      </c>
      <c r="D98" s="2">
        <f t="shared" si="9"/>
        <v>1.2516548463356973</v>
      </c>
      <c r="E98" s="574"/>
      <c r="F98" s="540"/>
      <c r="G98" s="540"/>
      <c r="H98" s="540"/>
      <c r="I98" s="142"/>
      <c r="J98" s="142"/>
      <c r="K98" s="142"/>
      <c r="L98" s="142"/>
      <c r="M98" s="142"/>
      <c r="N98" s="69"/>
      <c r="O98" s="69"/>
      <c r="P98" s="69"/>
      <c r="AV98" s="69"/>
    </row>
    <row r="99" spans="1:48" s="70" customFormat="1" x14ac:dyDescent="0.3">
      <c r="A99" s="81" t="s">
        <v>82</v>
      </c>
      <c r="B99" s="80">
        <f>'GERAL 2022'!J28</f>
        <v>117.95</v>
      </c>
      <c r="C99" s="78">
        <v>6</v>
      </c>
      <c r="D99" s="80">
        <f t="shared" si="9"/>
        <v>19.658333333333335</v>
      </c>
      <c r="E99" s="574"/>
      <c r="F99" s="540"/>
      <c r="G99" s="540"/>
      <c r="H99" s="540"/>
      <c r="I99" s="11"/>
      <c r="J99" s="63"/>
      <c r="K99" s="142"/>
      <c r="L99" s="142"/>
      <c r="M99" s="142"/>
      <c r="N99" s="69"/>
      <c r="O99" s="69"/>
      <c r="P99" s="69"/>
      <c r="AV99" s="69"/>
    </row>
    <row r="100" spans="1:48" s="70" customFormat="1" x14ac:dyDescent="0.3">
      <c r="A100" s="90" t="s">
        <v>83</v>
      </c>
      <c r="B100" s="2">
        <f>'GERAL 2023'!H28</f>
        <v>15.019858156028368</v>
      </c>
      <c r="C100" s="88">
        <v>12</v>
      </c>
      <c r="D100" s="2">
        <f t="shared" si="9"/>
        <v>1.2516548463356973</v>
      </c>
      <c r="E100" s="574"/>
      <c r="F100" s="540"/>
      <c r="G100" s="540"/>
      <c r="H100" s="540"/>
      <c r="I100" s="142"/>
      <c r="J100" s="142"/>
      <c r="K100" s="142"/>
      <c r="L100" s="142"/>
      <c r="M100" s="142"/>
      <c r="N100" s="144"/>
      <c r="O100" s="69"/>
      <c r="P100" s="69"/>
      <c r="AV100" s="69"/>
    </row>
    <row r="101" spans="1:48" s="70" customFormat="1" x14ac:dyDescent="0.3">
      <c r="A101" s="81" t="s">
        <v>84</v>
      </c>
      <c r="B101" s="80">
        <f>'GERAL 2022'!J45</f>
        <v>118.18</v>
      </c>
      <c r="C101" s="78">
        <v>6</v>
      </c>
      <c r="D101" s="80">
        <f t="shared" si="9"/>
        <v>19.696666666666669</v>
      </c>
      <c r="E101" s="574"/>
      <c r="F101" s="540"/>
      <c r="G101" s="540"/>
      <c r="H101" s="540"/>
      <c r="I101" s="11"/>
      <c r="J101" s="63"/>
      <c r="K101" s="142"/>
      <c r="L101" s="142"/>
      <c r="M101" s="142"/>
      <c r="N101" s="144"/>
      <c r="O101" s="69"/>
      <c r="P101" s="69"/>
      <c r="AV101" s="69"/>
    </row>
    <row r="102" spans="1:48" s="70" customFormat="1" x14ac:dyDescent="0.3">
      <c r="A102" s="90" t="s">
        <v>85</v>
      </c>
      <c r="B102" s="2">
        <f>'GERAL 2023'!H29</f>
        <v>15.019858156028368</v>
      </c>
      <c r="C102" s="88">
        <v>12</v>
      </c>
      <c r="D102" s="2">
        <f t="shared" si="9"/>
        <v>1.2516548463356973</v>
      </c>
      <c r="E102" s="574"/>
      <c r="F102" s="540"/>
      <c r="G102" s="540"/>
      <c r="H102" s="540"/>
      <c r="I102" s="142"/>
      <c r="J102" s="142"/>
      <c r="K102" s="142"/>
      <c r="L102" s="142"/>
      <c r="M102" s="142"/>
      <c r="N102" s="144"/>
      <c r="O102" s="69"/>
      <c r="AV102" s="69"/>
    </row>
    <row r="103" spans="1:48" s="70" customFormat="1" x14ac:dyDescent="0.3">
      <c r="A103" s="69"/>
      <c r="B103" s="189">
        <f>B50+B52+B54+B56+B58+B60+B62+B64+B66+B68+B70+B72+B74+B76+B78+B80+B82+B84+B86+B88+B90+B92+B94+B96+B98+B100+B102</f>
        <v>423.55999999999989</v>
      </c>
      <c r="C103" s="189">
        <f>C50+C52+C54+C56+C58+C60+C62+C64+C66+C68+C70+C72+C74+C76+C78+C80+C82+C84+C86+C88+C90+C92+C94+C96+C98+C100+C102</f>
        <v>324</v>
      </c>
      <c r="D103" s="189">
        <f>D50+D52+D54+D56+D58+D60+D62+D64+D66+D68+D70+D72+D74+D76+D78+D80+D82+D84+D86+D88+D90+D92+D94+D96+D98+D100+D102</f>
        <v>35.29666666666666</v>
      </c>
      <c r="E103" s="69"/>
      <c r="F103" s="69"/>
      <c r="G103" s="69"/>
      <c r="H103" s="69"/>
      <c r="I103" s="142"/>
      <c r="J103" s="142"/>
      <c r="K103" s="142"/>
      <c r="L103" s="142"/>
      <c r="M103" s="142"/>
      <c r="N103" s="144"/>
      <c r="O103" s="69"/>
      <c r="AV103" s="69"/>
    </row>
    <row r="104" spans="1:48" s="70" customFormat="1" x14ac:dyDescent="0.3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142"/>
      <c r="L104" s="142"/>
      <c r="M104" s="142"/>
      <c r="N104" s="144"/>
      <c r="O104" s="69"/>
      <c r="AV104" s="69"/>
    </row>
    <row r="105" spans="1:48" s="70" customFormat="1" x14ac:dyDescent="0.3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142"/>
      <c r="L105" s="142"/>
      <c r="M105" s="142"/>
      <c r="N105" s="144"/>
      <c r="O105" s="144"/>
      <c r="AV105" s="69"/>
    </row>
    <row r="106" spans="1:48" s="70" customFormat="1" x14ac:dyDescent="0.3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142"/>
      <c r="L106" s="142"/>
      <c r="M106" s="142"/>
      <c r="N106" s="144"/>
      <c r="O106" s="144"/>
      <c r="AV106" s="69"/>
    </row>
    <row r="107" spans="1:48" s="70" customFormat="1" x14ac:dyDescent="0.3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142"/>
      <c r="L107" s="142"/>
      <c r="M107" s="142"/>
      <c r="N107" s="144"/>
      <c r="O107" s="144"/>
      <c r="AV107" s="69"/>
    </row>
    <row r="108" spans="1:48" s="70" customFormat="1" x14ac:dyDescent="0.3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142"/>
      <c r="L108" s="142"/>
      <c r="M108" s="142"/>
      <c r="N108" s="144"/>
      <c r="O108" s="144"/>
      <c r="AV108" s="69"/>
    </row>
    <row r="109" spans="1:48" s="70" customFormat="1" x14ac:dyDescent="0.3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142"/>
      <c r="L109" s="142"/>
      <c r="M109" s="142"/>
      <c r="N109" s="144"/>
      <c r="O109" s="144"/>
      <c r="AV109" s="69"/>
    </row>
    <row r="110" spans="1:48" s="70" customFormat="1" x14ac:dyDescent="0.3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142"/>
      <c r="L110" s="142"/>
      <c r="M110" s="142"/>
      <c r="N110" s="144"/>
      <c r="O110" s="144"/>
      <c r="AV110" s="69"/>
    </row>
    <row r="111" spans="1:48" s="70" customFormat="1" x14ac:dyDescent="0.3">
      <c r="I111" s="69"/>
      <c r="J111" s="69"/>
      <c r="K111" s="142"/>
      <c r="L111" s="142"/>
      <c r="M111" s="142"/>
      <c r="N111" s="144"/>
      <c r="O111" s="144"/>
      <c r="AV111" s="69"/>
    </row>
    <row r="112" spans="1:48" s="70" customFormat="1" x14ac:dyDescent="0.3">
      <c r="K112" s="142"/>
      <c r="L112" s="142"/>
      <c r="M112" s="142"/>
      <c r="N112" s="144"/>
      <c r="O112" s="144"/>
      <c r="AV112" s="69"/>
    </row>
    <row r="113" spans="11:48" s="70" customFormat="1" x14ac:dyDescent="0.3">
      <c r="K113" s="142"/>
      <c r="L113" s="142"/>
      <c r="M113" s="142"/>
      <c r="N113" s="144"/>
      <c r="O113" s="144"/>
      <c r="AV113" s="69"/>
    </row>
    <row r="114" spans="11:48" s="70" customFormat="1" x14ac:dyDescent="0.3">
      <c r="K114" s="142"/>
      <c r="L114" s="142"/>
      <c r="M114" s="142"/>
      <c r="N114" s="144"/>
      <c r="O114" s="144"/>
      <c r="AV114" s="69"/>
    </row>
    <row r="115" spans="11:48" s="70" customFormat="1" x14ac:dyDescent="0.3">
      <c r="K115" s="142"/>
      <c r="L115" s="142"/>
      <c r="M115" s="142"/>
      <c r="N115" s="144"/>
      <c r="O115" s="144"/>
      <c r="AV115" s="69"/>
    </row>
    <row r="116" spans="11:48" s="70" customFormat="1" x14ac:dyDescent="0.3">
      <c r="K116" s="142"/>
      <c r="L116" s="142"/>
      <c r="M116" s="142"/>
      <c r="N116" s="144"/>
      <c r="O116" s="144"/>
      <c r="AV116" s="69"/>
    </row>
    <row r="117" spans="11:48" s="70" customFormat="1" x14ac:dyDescent="0.3">
      <c r="K117" s="142"/>
      <c r="L117" s="142"/>
      <c r="M117" s="142"/>
      <c r="N117" s="144"/>
      <c r="O117" s="144"/>
      <c r="AV117" s="69"/>
    </row>
    <row r="118" spans="11:48" s="70" customFormat="1" x14ac:dyDescent="0.3">
      <c r="K118" s="142"/>
      <c r="L118" s="142"/>
      <c r="M118" s="142"/>
      <c r="N118" s="144"/>
      <c r="O118" s="144"/>
      <c r="AV118" s="69"/>
    </row>
    <row r="119" spans="11:48" s="70" customFormat="1" x14ac:dyDescent="0.3">
      <c r="K119" s="142"/>
      <c r="L119" s="142"/>
      <c r="M119" s="142"/>
      <c r="N119" s="144"/>
      <c r="O119" s="144"/>
      <c r="AV119" s="69"/>
    </row>
    <row r="120" spans="11:48" s="70" customFormat="1" x14ac:dyDescent="0.3">
      <c r="K120" s="142"/>
      <c r="L120" s="142"/>
      <c r="M120" s="142"/>
      <c r="N120" s="144"/>
      <c r="O120" s="144"/>
      <c r="AV120" s="69"/>
    </row>
    <row r="121" spans="11:48" s="70" customFormat="1" x14ac:dyDescent="0.3">
      <c r="K121" s="142"/>
      <c r="L121" s="142"/>
      <c r="M121" s="142"/>
      <c r="N121" s="144"/>
      <c r="O121" s="144"/>
      <c r="AV121" s="69"/>
    </row>
    <row r="122" spans="11:48" s="70" customFormat="1" x14ac:dyDescent="0.3">
      <c r="K122" s="142"/>
      <c r="L122" s="142"/>
      <c r="M122" s="142"/>
      <c r="N122" s="144"/>
      <c r="O122" s="144"/>
      <c r="AV122" s="69"/>
    </row>
    <row r="123" spans="11:48" s="70" customFormat="1" x14ac:dyDescent="0.3">
      <c r="K123" s="142"/>
      <c r="L123" s="142"/>
      <c r="M123" s="142"/>
      <c r="N123" s="144"/>
      <c r="O123" s="144"/>
      <c r="AV123" s="69"/>
    </row>
    <row r="124" spans="11:48" s="70" customFormat="1" x14ac:dyDescent="0.3">
      <c r="K124" s="142"/>
      <c r="L124" s="142"/>
      <c r="M124" s="142"/>
      <c r="N124" s="144"/>
      <c r="O124" s="144"/>
      <c r="AV124" s="69"/>
    </row>
    <row r="125" spans="11:48" s="70" customFormat="1" x14ac:dyDescent="0.3">
      <c r="K125" s="142"/>
      <c r="L125" s="142"/>
      <c r="M125" s="142"/>
      <c r="N125" s="144"/>
      <c r="O125" s="144"/>
      <c r="AV125" s="69"/>
    </row>
    <row r="126" spans="11:48" s="70" customFormat="1" x14ac:dyDescent="0.3">
      <c r="K126" s="142"/>
      <c r="L126" s="142"/>
      <c r="M126" s="142"/>
      <c r="N126" s="144"/>
      <c r="O126" s="144"/>
      <c r="AV126" s="69"/>
    </row>
    <row r="127" spans="11:48" s="70" customFormat="1" x14ac:dyDescent="0.3">
      <c r="K127" s="142"/>
      <c r="L127" s="142"/>
      <c r="M127" s="142"/>
      <c r="N127" s="144"/>
      <c r="O127" s="144"/>
      <c r="AV127" s="69"/>
    </row>
    <row r="128" spans="11:48" s="70" customFormat="1" x14ac:dyDescent="0.3">
      <c r="K128" s="142"/>
      <c r="L128" s="142"/>
      <c r="M128" s="142"/>
      <c r="N128" s="144"/>
      <c r="O128" s="144"/>
      <c r="AV128" s="69"/>
    </row>
    <row r="129" spans="11:48" s="70" customFormat="1" x14ac:dyDescent="0.3">
      <c r="K129" s="142"/>
      <c r="L129" s="142"/>
      <c r="M129" s="142"/>
      <c r="N129" s="144"/>
      <c r="O129" s="144"/>
      <c r="AV129" s="69"/>
    </row>
    <row r="130" spans="11:48" s="70" customFormat="1" x14ac:dyDescent="0.3">
      <c r="K130" s="142"/>
      <c r="L130" s="142"/>
      <c r="M130" s="142"/>
      <c r="N130" s="144"/>
      <c r="O130" s="144"/>
      <c r="AV130" s="69"/>
    </row>
    <row r="131" spans="11:48" s="70" customFormat="1" x14ac:dyDescent="0.3">
      <c r="K131" s="142"/>
      <c r="L131" s="142"/>
      <c r="M131" s="142"/>
      <c r="N131" s="144"/>
      <c r="O131" s="144"/>
      <c r="AV131" s="69"/>
    </row>
    <row r="132" spans="11:48" s="70" customFormat="1" x14ac:dyDescent="0.3">
      <c r="K132" s="142"/>
      <c r="L132" s="142"/>
      <c r="M132" s="142"/>
      <c r="N132" s="144"/>
      <c r="O132" s="144"/>
      <c r="AV132" s="69"/>
    </row>
    <row r="133" spans="11:48" s="70" customFormat="1" x14ac:dyDescent="0.3">
      <c r="K133" s="142"/>
      <c r="L133" s="142"/>
      <c r="M133" s="142"/>
      <c r="N133" s="144"/>
      <c r="O133" s="144"/>
      <c r="AV133" s="69"/>
    </row>
    <row r="134" spans="11:48" s="70" customFormat="1" x14ac:dyDescent="0.3">
      <c r="K134" s="142"/>
      <c r="L134" s="142"/>
      <c r="M134" s="142"/>
      <c r="N134" s="144"/>
      <c r="O134" s="144"/>
      <c r="AV134" s="69"/>
    </row>
    <row r="135" spans="11:48" s="70" customFormat="1" x14ac:dyDescent="0.3">
      <c r="K135" s="142"/>
      <c r="L135" s="142"/>
      <c r="M135" s="142"/>
      <c r="N135" s="144"/>
      <c r="O135" s="144"/>
      <c r="AV135" s="69"/>
    </row>
    <row r="136" spans="11:48" s="70" customFormat="1" x14ac:dyDescent="0.3">
      <c r="K136" s="142"/>
      <c r="L136" s="142"/>
      <c r="M136" s="142"/>
      <c r="N136" s="144"/>
      <c r="O136" s="144"/>
      <c r="AV136" s="69"/>
    </row>
    <row r="137" spans="11:48" s="70" customFormat="1" x14ac:dyDescent="0.3">
      <c r="K137" s="142"/>
      <c r="L137" s="142"/>
      <c r="M137" s="142"/>
      <c r="N137" s="144"/>
      <c r="O137" s="144"/>
      <c r="AV137" s="69"/>
    </row>
    <row r="138" spans="11:48" s="70" customFormat="1" x14ac:dyDescent="0.3">
      <c r="K138" s="142"/>
      <c r="L138" s="142"/>
      <c r="M138" s="142"/>
      <c r="N138" s="144"/>
      <c r="O138" s="144"/>
      <c r="AV138" s="69"/>
    </row>
    <row r="139" spans="11:48" s="70" customFormat="1" x14ac:dyDescent="0.3">
      <c r="K139" s="142"/>
      <c r="L139" s="142"/>
      <c r="M139" s="142"/>
      <c r="N139" s="144"/>
      <c r="O139" s="144"/>
      <c r="AV139" s="69"/>
    </row>
    <row r="140" spans="11:48" s="70" customFormat="1" x14ac:dyDescent="0.3">
      <c r="K140" s="142"/>
      <c r="L140" s="142"/>
      <c r="M140" s="142"/>
      <c r="N140" s="144"/>
      <c r="O140" s="144"/>
      <c r="AV140" s="69"/>
    </row>
    <row r="141" spans="11:48" s="70" customFormat="1" x14ac:dyDescent="0.3">
      <c r="K141" s="142"/>
      <c r="L141" s="142"/>
      <c r="M141" s="142"/>
      <c r="N141" s="144"/>
      <c r="O141" s="144"/>
      <c r="AV141" s="69"/>
    </row>
    <row r="142" spans="11:48" s="70" customFormat="1" x14ac:dyDescent="0.3">
      <c r="K142" s="142"/>
      <c r="L142" s="142"/>
      <c r="M142" s="142"/>
      <c r="N142" s="144"/>
      <c r="O142" s="144"/>
      <c r="AV142" s="69"/>
    </row>
    <row r="143" spans="11:48" s="70" customFormat="1" x14ac:dyDescent="0.3">
      <c r="K143" s="142"/>
      <c r="L143" s="142"/>
      <c r="M143" s="142"/>
      <c r="N143" s="144"/>
      <c r="O143" s="144"/>
      <c r="AV143" s="69"/>
    </row>
    <row r="144" spans="11:48" s="70" customFormat="1" x14ac:dyDescent="0.3">
      <c r="K144" s="142"/>
      <c r="L144" s="142"/>
      <c r="M144" s="142"/>
      <c r="N144" s="144"/>
      <c r="O144" s="144"/>
      <c r="AV144" s="69"/>
    </row>
    <row r="145" spans="11:48" s="70" customFormat="1" x14ac:dyDescent="0.3">
      <c r="K145" s="142"/>
      <c r="L145" s="142"/>
      <c r="M145" s="142"/>
      <c r="N145" s="144"/>
      <c r="O145" s="144"/>
      <c r="AV145" s="69"/>
    </row>
    <row r="146" spans="11:48" s="70" customFormat="1" x14ac:dyDescent="0.3">
      <c r="K146" s="142"/>
      <c r="L146" s="142"/>
      <c r="M146" s="142"/>
      <c r="N146" s="144"/>
      <c r="O146" s="144"/>
      <c r="AV146" s="69"/>
    </row>
    <row r="147" spans="11:48" s="70" customFormat="1" x14ac:dyDescent="0.3">
      <c r="K147" s="142"/>
      <c r="L147" s="142"/>
      <c r="M147" s="142"/>
      <c r="N147" s="144"/>
      <c r="O147" s="144"/>
      <c r="AV147" s="69"/>
    </row>
    <row r="148" spans="11:48" s="70" customFormat="1" x14ac:dyDescent="0.3">
      <c r="K148" s="142"/>
      <c r="L148" s="142"/>
      <c r="M148" s="142"/>
      <c r="N148" s="144"/>
      <c r="O148" s="144"/>
      <c r="AV148" s="69"/>
    </row>
    <row r="149" spans="11:48" s="70" customFormat="1" x14ac:dyDescent="0.3">
      <c r="K149" s="142"/>
      <c r="L149" s="142"/>
      <c r="M149" s="142"/>
      <c r="N149" s="144"/>
      <c r="O149" s="144"/>
      <c r="AV149" s="69"/>
    </row>
    <row r="150" spans="11:48" s="70" customFormat="1" x14ac:dyDescent="0.3">
      <c r="K150" s="142"/>
      <c r="L150" s="142"/>
      <c r="M150" s="142"/>
      <c r="N150" s="144"/>
      <c r="O150" s="144"/>
      <c r="AV150" s="69"/>
    </row>
    <row r="151" spans="11:48" s="70" customFormat="1" x14ac:dyDescent="0.3">
      <c r="K151" s="142"/>
      <c r="L151" s="142"/>
      <c r="M151" s="142"/>
      <c r="N151" s="144"/>
      <c r="O151" s="144"/>
      <c r="AV151" s="69"/>
    </row>
    <row r="152" spans="11:48" s="70" customFormat="1" x14ac:dyDescent="0.3">
      <c r="K152" s="142"/>
      <c r="L152" s="142"/>
      <c r="M152" s="142"/>
      <c r="N152" s="144"/>
      <c r="O152" s="144"/>
      <c r="AV152" s="69"/>
    </row>
    <row r="153" spans="11:48" s="70" customFormat="1" x14ac:dyDescent="0.3">
      <c r="K153" s="142"/>
      <c r="L153" s="142"/>
      <c r="M153" s="142"/>
      <c r="N153" s="144"/>
      <c r="O153" s="144"/>
      <c r="AV153" s="69"/>
    </row>
    <row r="154" spans="11:48" s="70" customFormat="1" x14ac:dyDescent="0.3">
      <c r="K154" s="142"/>
      <c r="L154" s="142"/>
      <c r="M154" s="142"/>
      <c r="N154" s="144"/>
      <c r="O154" s="144"/>
      <c r="AV154" s="69"/>
    </row>
    <row r="155" spans="11:48" s="70" customFormat="1" x14ac:dyDescent="0.3">
      <c r="K155" s="142"/>
      <c r="L155" s="142"/>
      <c r="M155" s="142"/>
      <c r="N155" s="144"/>
      <c r="O155" s="144"/>
      <c r="AV155" s="69"/>
    </row>
    <row r="156" spans="11:48" s="70" customFormat="1" x14ac:dyDescent="0.3">
      <c r="K156" s="142"/>
      <c r="L156" s="142"/>
      <c r="M156" s="142"/>
      <c r="N156" s="144"/>
      <c r="O156" s="144"/>
      <c r="AV156" s="69"/>
    </row>
    <row r="157" spans="11:48" s="70" customFormat="1" x14ac:dyDescent="0.3">
      <c r="K157" s="142"/>
      <c r="L157" s="142"/>
      <c r="M157" s="142"/>
      <c r="N157" s="144"/>
      <c r="O157" s="144"/>
      <c r="AV157" s="69"/>
    </row>
    <row r="158" spans="11:48" s="70" customFormat="1" x14ac:dyDescent="0.3">
      <c r="K158" s="142"/>
      <c r="L158" s="142"/>
      <c r="M158" s="142"/>
      <c r="N158" s="144"/>
      <c r="O158" s="144"/>
      <c r="AV158" s="69"/>
    </row>
    <row r="159" spans="11:48" s="70" customFormat="1" x14ac:dyDescent="0.3">
      <c r="K159" s="142"/>
      <c r="L159" s="142"/>
      <c r="M159" s="142"/>
      <c r="N159" s="144"/>
      <c r="O159" s="144"/>
      <c r="AV159" s="69"/>
    </row>
    <row r="160" spans="11:48" s="70" customFormat="1" x14ac:dyDescent="0.3">
      <c r="K160" s="142"/>
      <c r="L160" s="142"/>
      <c r="M160" s="142"/>
      <c r="N160" s="144"/>
      <c r="O160" s="144"/>
      <c r="AV160" s="69"/>
    </row>
    <row r="161" spans="1:49" s="70" customFormat="1" x14ac:dyDescent="0.3">
      <c r="K161" s="142"/>
      <c r="L161" s="142"/>
      <c r="M161" s="142"/>
      <c r="N161" s="144"/>
      <c r="O161" s="144"/>
      <c r="AV161" s="69"/>
    </row>
    <row r="162" spans="1:49" s="70" customFormat="1" x14ac:dyDescent="0.3">
      <c r="K162" s="142"/>
      <c r="L162" s="142"/>
      <c r="M162" s="142"/>
      <c r="N162" s="144"/>
      <c r="O162" s="144"/>
      <c r="AV162" s="69"/>
    </row>
    <row r="163" spans="1:49" s="70" customFormat="1" x14ac:dyDescent="0.3">
      <c r="K163" s="142"/>
      <c r="L163" s="142"/>
      <c r="M163" s="142"/>
      <c r="N163" s="144"/>
      <c r="O163" s="144"/>
      <c r="AV163" s="69"/>
    </row>
    <row r="164" spans="1:49" s="70" customFormat="1" x14ac:dyDescent="0.3">
      <c r="K164" s="142"/>
      <c r="L164" s="142"/>
      <c r="M164" s="142"/>
      <c r="N164" s="144"/>
      <c r="O164" s="144"/>
      <c r="AV164" s="69"/>
    </row>
    <row r="165" spans="1:49" s="70" customFormat="1" x14ac:dyDescent="0.3">
      <c r="K165" s="142"/>
      <c r="L165" s="142"/>
      <c r="M165" s="142"/>
      <c r="N165" s="144"/>
      <c r="O165" s="144"/>
      <c r="AV165" s="69"/>
    </row>
    <row r="166" spans="1:49" s="70" customFormat="1" x14ac:dyDescent="0.3">
      <c r="K166" s="142"/>
      <c r="L166" s="142"/>
      <c r="M166" s="142"/>
      <c r="N166" s="144"/>
      <c r="O166" s="144"/>
      <c r="AV166" s="69"/>
    </row>
    <row r="167" spans="1:49" s="145" customFormat="1" x14ac:dyDescent="0.3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142"/>
      <c r="L167" s="142"/>
      <c r="M167" s="142"/>
      <c r="N167" s="144"/>
      <c r="O167" s="144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69"/>
      <c r="AW167" s="70"/>
    </row>
    <row r="168" spans="1:49" s="145" customFormat="1" x14ac:dyDescent="0.3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142"/>
      <c r="L168" s="142"/>
      <c r="M168" s="142"/>
      <c r="N168" s="144"/>
      <c r="O168" s="144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69"/>
      <c r="AW168" s="70"/>
    </row>
    <row r="169" spans="1:49" s="145" customFormat="1" x14ac:dyDescent="0.3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142"/>
      <c r="L169" s="142"/>
      <c r="M169" s="142"/>
      <c r="N169" s="144"/>
      <c r="O169" s="144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69"/>
      <c r="AW169" s="70"/>
    </row>
    <row r="170" spans="1:49" s="145" customFormat="1" x14ac:dyDescent="0.3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142"/>
      <c r="L170" s="142"/>
      <c r="M170" s="142"/>
      <c r="N170" s="144"/>
      <c r="O170" s="144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69"/>
      <c r="AW170" s="70"/>
    </row>
    <row r="171" spans="1:49" s="145" customFormat="1" x14ac:dyDescent="0.3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142"/>
      <c r="L171" s="142"/>
      <c r="M171" s="142"/>
      <c r="N171" s="144"/>
      <c r="O171" s="144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69"/>
      <c r="AW171" s="70"/>
    </row>
    <row r="172" spans="1:49" s="145" customFormat="1" x14ac:dyDescent="0.3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142"/>
      <c r="L172" s="142"/>
      <c r="M172" s="142"/>
      <c r="N172" s="144"/>
      <c r="O172" s="144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69"/>
      <c r="AW172" s="70"/>
    </row>
    <row r="173" spans="1:49" s="145" customFormat="1" x14ac:dyDescent="0.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142"/>
      <c r="L173" s="142"/>
      <c r="M173" s="142"/>
      <c r="N173" s="144"/>
      <c r="O173" s="144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69"/>
      <c r="AW173" s="70"/>
    </row>
    <row r="174" spans="1:49" s="145" customFormat="1" x14ac:dyDescent="0.3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142"/>
      <c r="L174" s="142"/>
      <c r="M174" s="142"/>
      <c r="N174" s="144"/>
      <c r="O174" s="144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69"/>
      <c r="AW174" s="70"/>
    </row>
    <row r="175" spans="1:49" s="145" customFormat="1" x14ac:dyDescent="0.3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142"/>
      <c r="L175" s="142"/>
      <c r="M175" s="142"/>
      <c r="N175" s="144"/>
      <c r="O175" s="144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69"/>
      <c r="AW175" s="70"/>
    </row>
    <row r="176" spans="1:49" s="145" customFormat="1" x14ac:dyDescent="0.3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142"/>
      <c r="L176" s="142"/>
      <c r="M176" s="142"/>
      <c r="N176" s="144"/>
      <c r="O176" s="144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69"/>
      <c r="AW176" s="70"/>
    </row>
    <row r="177" spans="1:49" s="145" customFormat="1" x14ac:dyDescent="0.3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142"/>
      <c r="L177" s="142"/>
      <c r="M177" s="142"/>
      <c r="N177" s="147"/>
      <c r="O177" s="144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69"/>
      <c r="AW177" s="70"/>
    </row>
    <row r="178" spans="1:49" s="145" customFormat="1" x14ac:dyDescent="0.3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142"/>
      <c r="L178" s="142"/>
      <c r="M178" s="142"/>
      <c r="N178" s="147"/>
      <c r="O178" s="144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69"/>
      <c r="AW178" s="70"/>
    </row>
    <row r="179" spans="1:49" s="145" customFormat="1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146"/>
      <c r="L179" s="146"/>
      <c r="M179" s="146"/>
      <c r="N179" s="147"/>
      <c r="O179" s="144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69"/>
      <c r="AW179" s="70"/>
    </row>
    <row r="180" spans="1:49" s="145" customFormat="1" x14ac:dyDescent="0.3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146"/>
      <c r="L180" s="146"/>
      <c r="M180" s="146"/>
      <c r="N180" s="147"/>
      <c r="O180" s="144"/>
      <c r="P180" s="149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69"/>
      <c r="AW180" s="70"/>
    </row>
    <row r="181" spans="1:49" s="145" customFormat="1" x14ac:dyDescent="0.3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146"/>
      <c r="L181" s="146"/>
      <c r="M181" s="146"/>
      <c r="N181" s="147"/>
      <c r="O181" s="144"/>
      <c r="P181" s="149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69"/>
      <c r="AW181" s="70"/>
    </row>
    <row r="182" spans="1:49" s="145" customFormat="1" x14ac:dyDescent="0.3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146"/>
      <c r="L182" s="146"/>
      <c r="M182" s="146"/>
      <c r="N182" s="147"/>
      <c r="O182" s="147"/>
      <c r="P182" s="149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69"/>
      <c r="AW182" s="70"/>
    </row>
    <row r="183" spans="1:49" s="145" customFormat="1" x14ac:dyDescent="0.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146"/>
      <c r="L183" s="146"/>
      <c r="M183" s="146"/>
      <c r="N183" s="147"/>
      <c r="O183" s="147"/>
      <c r="P183" s="149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69"/>
      <c r="AW183" s="70"/>
    </row>
    <row r="184" spans="1:49" x14ac:dyDescent="0.3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146"/>
      <c r="L184" s="146"/>
      <c r="M184" s="146"/>
      <c r="N184" s="147"/>
      <c r="O184" s="147"/>
      <c r="P184" s="149"/>
      <c r="AV184" s="148"/>
      <c r="AW184" s="148"/>
    </row>
    <row r="185" spans="1:49" x14ac:dyDescent="0.3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146"/>
      <c r="L185" s="146"/>
      <c r="M185" s="146"/>
      <c r="N185" s="147"/>
      <c r="O185" s="147"/>
      <c r="P185" s="149"/>
      <c r="AV185" s="148"/>
      <c r="AW185" s="148"/>
    </row>
    <row r="186" spans="1:49" x14ac:dyDescent="0.3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146"/>
      <c r="L186" s="146"/>
      <c r="M186" s="146"/>
      <c r="N186" s="147"/>
      <c r="O186" s="147"/>
      <c r="P186" s="149"/>
      <c r="AV186" s="148"/>
      <c r="AW186" s="148"/>
    </row>
    <row r="187" spans="1:49" x14ac:dyDescent="0.3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146"/>
      <c r="L187" s="146"/>
      <c r="M187" s="146"/>
      <c r="N187" s="147"/>
      <c r="O187" s="147"/>
      <c r="P187" s="149"/>
      <c r="AV187" s="148"/>
      <c r="AW187" s="148"/>
    </row>
    <row r="188" spans="1:49" x14ac:dyDescent="0.3">
      <c r="A188" s="149"/>
      <c r="B188" s="149"/>
      <c r="C188" s="149"/>
      <c r="D188" s="149"/>
      <c r="E188" s="149"/>
      <c r="F188" s="149"/>
      <c r="G188" s="149"/>
      <c r="H188" s="149"/>
      <c r="I188" s="70"/>
      <c r="J188" s="70"/>
      <c r="K188" s="146"/>
      <c r="L188" s="146"/>
      <c r="M188" s="146"/>
      <c r="N188" s="147"/>
      <c r="O188" s="147"/>
      <c r="P188" s="149"/>
      <c r="AV188" s="148"/>
      <c r="AW188" s="148"/>
    </row>
    <row r="189" spans="1:49" x14ac:dyDescent="0.3">
      <c r="A189" s="149"/>
      <c r="B189" s="149"/>
      <c r="C189" s="149"/>
      <c r="D189" s="149"/>
      <c r="E189" s="149"/>
      <c r="F189" s="149"/>
      <c r="G189" s="149"/>
      <c r="H189" s="149"/>
      <c r="I189" s="149"/>
      <c r="J189" s="149"/>
      <c r="K189" s="146"/>
      <c r="L189" s="146"/>
      <c r="M189" s="146"/>
      <c r="N189" s="147"/>
      <c r="O189" s="147"/>
      <c r="P189" s="149"/>
      <c r="AV189" s="148"/>
      <c r="AW189" s="148"/>
    </row>
    <row r="190" spans="1:49" x14ac:dyDescent="0.3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6"/>
      <c r="L190" s="146"/>
      <c r="M190" s="146"/>
      <c r="N190" s="147"/>
      <c r="O190" s="147"/>
      <c r="P190" s="149"/>
      <c r="AV190" s="148"/>
      <c r="AW190" s="148"/>
    </row>
    <row r="191" spans="1:49" x14ac:dyDescent="0.3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6"/>
      <c r="L191" s="146"/>
      <c r="M191" s="146"/>
      <c r="N191" s="147"/>
      <c r="O191" s="147"/>
      <c r="P191" s="149"/>
      <c r="AV191" s="148"/>
      <c r="AW191" s="148"/>
    </row>
    <row r="192" spans="1:49" x14ac:dyDescent="0.3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6"/>
      <c r="L192" s="146"/>
      <c r="M192" s="146"/>
      <c r="N192" s="147"/>
      <c r="O192" s="147"/>
      <c r="AV192" s="148"/>
      <c r="AW192" s="148"/>
    </row>
    <row r="193" spans="1:49" x14ac:dyDescent="0.3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6"/>
      <c r="L193" s="146"/>
      <c r="M193" s="146"/>
      <c r="N193" s="147"/>
      <c r="O193" s="147"/>
      <c r="AV193" s="148"/>
      <c r="AW193" s="148"/>
    </row>
    <row r="194" spans="1:49" x14ac:dyDescent="0.3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6"/>
      <c r="L194" s="146"/>
      <c r="M194" s="146"/>
      <c r="O194" s="147"/>
      <c r="AV194" s="148"/>
      <c r="AW194" s="148"/>
    </row>
    <row r="195" spans="1:49" x14ac:dyDescent="0.3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6"/>
      <c r="L195" s="146"/>
      <c r="M195" s="146"/>
      <c r="O195" s="147"/>
      <c r="AV195" s="148"/>
      <c r="AW195" s="148"/>
    </row>
    <row r="196" spans="1:49" x14ac:dyDescent="0.3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O196" s="147"/>
    </row>
    <row r="197" spans="1:49" x14ac:dyDescent="0.3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O197" s="147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69"/>
      <c r="AJ197" s="69"/>
      <c r="AK197" s="69"/>
      <c r="AL197" s="69"/>
      <c r="AM197" s="69"/>
      <c r="AN197" s="69"/>
      <c r="AO197" s="69"/>
      <c r="AP197" s="69"/>
      <c r="AQ197" s="69"/>
      <c r="AR197" s="69"/>
      <c r="AS197" s="69"/>
      <c r="AT197" s="69"/>
      <c r="AU197" s="69"/>
      <c r="AV197" s="148"/>
      <c r="AW197" s="148"/>
    </row>
    <row r="198" spans="1:49" x14ac:dyDescent="0.3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N198" s="148"/>
      <c r="O198" s="147"/>
    </row>
    <row r="199" spans="1:49" x14ac:dyDescent="0.3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</row>
    <row r="200" spans="1:49" x14ac:dyDescent="0.3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</row>
    <row r="201" spans="1:49" x14ac:dyDescent="0.3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</row>
    <row r="202" spans="1:49" x14ac:dyDescent="0.3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</row>
    <row r="203" spans="1:49" x14ac:dyDescent="0.3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</row>
    <row r="204" spans="1:49" x14ac:dyDescent="0.3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</row>
    <row r="205" spans="1:49" x14ac:dyDescent="0.3">
      <c r="I205" s="149"/>
      <c r="J205" s="149"/>
    </row>
    <row r="209" spans="11:13" x14ac:dyDescent="0.3">
      <c r="K209" s="148"/>
      <c r="L209" s="148"/>
      <c r="M209" s="148"/>
    </row>
    <row r="1048536" spans="1:60" x14ac:dyDescent="0.3">
      <c r="P1048536" s="57"/>
    </row>
    <row r="1048541" spans="1:60" s="70" customFormat="1" x14ac:dyDescent="0.3">
      <c r="A1048541" s="148"/>
      <c r="B1048541" s="148"/>
      <c r="C1048541" s="148"/>
      <c r="D1048541" s="148"/>
      <c r="E1048541" s="148"/>
      <c r="F1048541" s="148"/>
      <c r="G1048541" s="148"/>
      <c r="H1048541" s="148"/>
      <c r="I1048541" s="148"/>
      <c r="J1048541" s="148"/>
      <c r="K1048541" s="150"/>
      <c r="L1048541" s="150"/>
      <c r="M1048541" s="150"/>
      <c r="N1048541" s="150"/>
      <c r="O1048541" s="150"/>
      <c r="P1048541" s="148"/>
      <c r="AV1048541" s="69"/>
      <c r="AW1048541" s="69"/>
      <c r="AX1048541" s="148"/>
      <c r="AY1048541" s="148"/>
      <c r="AZ1048541" s="148"/>
      <c r="BA1048541" s="148"/>
      <c r="BB1048541" s="148"/>
      <c r="BC1048541" s="148"/>
      <c r="BD1048541" s="148"/>
      <c r="BE1048541" s="148"/>
      <c r="BF1048541" s="148"/>
      <c r="BG1048541" s="148"/>
      <c r="BH1048541" s="148"/>
    </row>
  </sheetData>
  <mergeCells count="45">
    <mergeCell ref="N74:O74"/>
    <mergeCell ref="N63:O63"/>
    <mergeCell ref="N65:O65"/>
    <mergeCell ref="N64:O64"/>
    <mergeCell ref="N67:O67"/>
    <mergeCell ref="N68:O68"/>
    <mergeCell ref="N69:O69"/>
    <mergeCell ref="N70:O70"/>
    <mergeCell ref="N71:O71"/>
    <mergeCell ref="N72:O72"/>
    <mergeCell ref="N73:P73"/>
    <mergeCell ref="N66:O66"/>
    <mergeCell ref="A42:P42"/>
    <mergeCell ref="D43:J43"/>
    <mergeCell ref="D44:J44"/>
    <mergeCell ref="D45:J45"/>
    <mergeCell ref="A46:J46"/>
    <mergeCell ref="A48:D48"/>
    <mergeCell ref="E48:H102"/>
    <mergeCell ref="N48:P48"/>
    <mergeCell ref="N49:O49"/>
    <mergeCell ref="N50:O50"/>
    <mergeCell ref="N62:O62"/>
    <mergeCell ref="N51:P52"/>
    <mergeCell ref="N53:P53"/>
    <mergeCell ref="N54:O54"/>
    <mergeCell ref="N55:O55"/>
    <mergeCell ref="N56:O56"/>
    <mergeCell ref="N57:O57"/>
    <mergeCell ref="N58:O58"/>
    <mergeCell ref="N59:O59"/>
    <mergeCell ref="N60:O60"/>
    <mergeCell ref="N61:O61"/>
    <mergeCell ref="A41:N41"/>
    <mergeCell ref="A1:P1"/>
    <mergeCell ref="A2:P2"/>
    <mergeCell ref="A5:B5"/>
    <mergeCell ref="A6:P6"/>
    <mergeCell ref="A35:B35"/>
    <mergeCell ref="A36:P36"/>
    <mergeCell ref="D37:J37"/>
    <mergeCell ref="D38:J38"/>
    <mergeCell ref="D39:J39"/>
    <mergeCell ref="A40:J40"/>
    <mergeCell ref="N40:P40"/>
  </mergeCells>
  <pageMargins left="0" right="0" top="0" bottom="0" header="0.31496062992125984" footer="0.31496062992125984"/>
  <pageSetup paperSize="9" scale="1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C269B-D390-4CC3-8AB8-032374C79F91}">
  <sheetPr>
    <pageSetUpPr fitToPage="1"/>
  </sheetPr>
  <dimension ref="A1:BG1048540"/>
  <sheetViews>
    <sheetView topLeftCell="H37" zoomScale="60" zoomScaleNormal="60" workbookViewId="0">
      <selection activeCell="O71" sqref="M71:O71"/>
    </sheetView>
  </sheetViews>
  <sheetFormatPr defaultColWidth="9.109375" defaultRowHeight="13.8" x14ac:dyDescent="0.3"/>
  <cols>
    <col min="1" max="1" width="27.6640625" style="148" customWidth="1"/>
    <col min="2" max="2" width="13.109375" style="148" bestFit="1" customWidth="1"/>
    <col min="3" max="3" width="19.88671875" style="148" customWidth="1"/>
    <col min="4" max="4" width="19.44140625" style="148" customWidth="1"/>
    <col min="5" max="5" width="21.33203125" style="148" customWidth="1"/>
    <col min="6" max="7" width="19.109375" style="148" customWidth="1"/>
    <col min="8" max="8" width="17.5546875" style="148" customWidth="1"/>
    <col min="9" max="9" width="15.5546875" style="148" bestFit="1" customWidth="1"/>
    <col min="10" max="10" width="21.44140625" style="150" customWidth="1"/>
    <col min="11" max="11" width="17.109375" style="150" bestFit="1" customWidth="1"/>
    <col min="12" max="12" width="18" style="150" bestFit="1" customWidth="1"/>
    <col min="13" max="13" width="121.44140625" style="150" bestFit="1" customWidth="1"/>
    <col min="14" max="14" width="9.5546875" style="150" customWidth="1"/>
    <col min="15" max="15" width="18.5546875" style="148" customWidth="1"/>
    <col min="16" max="16" width="40.109375" style="70" bestFit="1" customWidth="1"/>
    <col min="17" max="17" width="13.109375" style="70" bestFit="1" customWidth="1"/>
    <col min="18" max="46" width="9.109375" style="70"/>
    <col min="47" max="48" width="9.109375" style="69"/>
    <col min="49" max="16384" width="9.109375" style="148"/>
  </cols>
  <sheetData>
    <row r="1" spans="1:46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</row>
    <row r="2" spans="1:46" s="10" customFormat="1" ht="28.5" customHeight="1" x14ac:dyDescent="0.3">
      <c r="A2" s="521" t="s">
        <v>694</v>
      </c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</row>
    <row r="3" spans="1:46" s="11" customFormat="1" ht="34.5" customHeight="1" x14ac:dyDescent="0.3">
      <c r="A3" s="83" t="s">
        <v>3</v>
      </c>
      <c r="B3" s="83" t="s">
        <v>0</v>
      </c>
      <c r="C3" s="84" t="s">
        <v>1</v>
      </c>
      <c r="D3" s="84" t="s">
        <v>68</v>
      </c>
      <c r="E3" s="84" t="s">
        <v>69</v>
      </c>
      <c r="F3" s="85" t="s">
        <v>2</v>
      </c>
      <c r="G3" s="85" t="s">
        <v>592</v>
      </c>
      <c r="H3" s="84" t="s">
        <v>6</v>
      </c>
      <c r="I3" s="84" t="s">
        <v>7</v>
      </c>
      <c r="J3" s="84" t="s">
        <v>4</v>
      </c>
      <c r="K3" s="84" t="s">
        <v>5</v>
      </c>
      <c r="L3" s="84" t="s">
        <v>70</v>
      </c>
      <c r="M3" s="83" t="s">
        <v>59</v>
      </c>
      <c r="N3" s="86" t="s">
        <v>8</v>
      </c>
      <c r="O3" s="86" t="s">
        <v>10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</row>
    <row r="4" spans="1:46" s="15" customFormat="1" x14ac:dyDescent="0.3">
      <c r="A4" s="88" t="s">
        <v>636</v>
      </c>
      <c r="B4" s="90">
        <v>1</v>
      </c>
      <c r="C4" s="2">
        <f>'GERAL 2023'!G33</f>
        <v>580</v>
      </c>
      <c r="D4" s="2">
        <v>0</v>
      </c>
      <c r="E4" s="2">
        <f t="shared" ref="E4:E20" si="0">C4-D4</f>
        <v>580</v>
      </c>
      <c r="F4" s="5">
        <v>0</v>
      </c>
      <c r="G4" s="2">
        <f>(1347.3/27)</f>
        <v>49.9</v>
      </c>
      <c r="H4" s="2">
        <f>D50</f>
        <v>1.2516548463356973</v>
      </c>
      <c r="I4" s="2">
        <v>19.7</v>
      </c>
      <c r="J4" s="109">
        <f t="shared" ref="J4:J30" si="1">SUM(E4:I4)</f>
        <v>650.85165484633569</v>
      </c>
      <c r="K4" s="2">
        <f>7%*J4</f>
        <v>45.559615839243506</v>
      </c>
      <c r="L4" s="2">
        <f>J4-K4</f>
        <v>605.29203900709217</v>
      </c>
      <c r="M4" s="5" t="s">
        <v>697</v>
      </c>
      <c r="N4" s="3">
        <v>10</v>
      </c>
      <c r="O4" s="3">
        <v>11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1:46" s="96" customFormat="1" x14ac:dyDescent="0.3">
      <c r="A5" s="90" t="s">
        <v>434</v>
      </c>
      <c r="B5" s="4">
        <v>2</v>
      </c>
      <c r="C5" s="5">
        <f>'GERAL 2022'!G4</f>
        <v>580</v>
      </c>
      <c r="D5" s="5">
        <v>0</v>
      </c>
      <c r="E5" s="5">
        <f t="shared" si="0"/>
        <v>580</v>
      </c>
      <c r="F5" s="5">
        <v>50</v>
      </c>
      <c r="G5" s="2">
        <f t="shared" ref="G5:G30" si="2">(1347.3/27)</f>
        <v>49.9</v>
      </c>
      <c r="H5" s="2">
        <f>D48</f>
        <v>1.2516548463356973</v>
      </c>
      <c r="I5" s="5">
        <v>0</v>
      </c>
      <c r="J5" s="109">
        <f t="shared" si="1"/>
        <v>681.15165484633565</v>
      </c>
      <c r="K5" s="2">
        <f>7%*J5</f>
        <v>47.680615839243501</v>
      </c>
      <c r="L5" s="2">
        <f t="shared" ref="L5:L29" si="3">J5-K5</f>
        <v>633.47103900709214</v>
      </c>
      <c r="M5" s="90" t="s">
        <v>698</v>
      </c>
      <c r="N5" s="3">
        <v>10</v>
      </c>
      <c r="O5" s="3">
        <v>11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16"/>
      <c r="AL5" s="17"/>
      <c r="AM5" s="17"/>
      <c r="AN5" s="17"/>
      <c r="AO5" s="17"/>
    </row>
    <row r="6" spans="1:46" s="6" customFormat="1" x14ac:dyDescent="0.3">
      <c r="A6" s="90" t="s">
        <v>438</v>
      </c>
      <c r="B6" s="4">
        <v>3</v>
      </c>
      <c r="C6" s="5">
        <f>'GERAL 2022'!G5</f>
        <v>550</v>
      </c>
      <c r="D6" s="5">
        <v>0</v>
      </c>
      <c r="E6" s="5">
        <f t="shared" si="0"/>
        <v>550</v>
      </c>
      <c r="F6" s="5">
        <v>0</v>
      </c>
      <c r="G6" s="2">
        <f t="shared" si="2"/>
        <v>49.9</v>
      </c>
      <c r="H6" s="2">
        <f>D50</f>
        <v>1.2516548463356973</v>
      </c>
      <c r="I6" s="5">
        <v>0</v>
      </c>
      <c r="J6" s="109">
        <f t="shared" si="1"/>
        <v>601.15165484633565</v>
      </c>
      <c r="K6" s="2">
        <f t="shared" ref="K6:K30" si="4">7%*J6</f>
        <v>42.080615839243499</v>
      </c>
      <c r="L6" s="2">
        <f t="shared" si="3"/>
        <v>559.07103900709217</v>
      </c>
      <c r="M6" s="90" t="s">
        <v>698</v>
      </c>
      <c r="N6" s="3">
        <v>10</v>
      </c>
      <c r="O6" s="3">
        <v>11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</row>
    <row r="7" spans="1:46" s="15" customFormat="1" x14ac:dyDescent="0.3">
      <c r="A7" s="90" t="s">
        <v>263</v>
      </c>
      <c r="B7" s="90">
        <v>4</v>
      </c>
      <c r="C7" s="2">
        <f>550+(3.78823%*550)</f>
        <v>570.83526500000005</v>
      </c>
      <c r="D7" s="2">
        <v>0</v>
      </c>
      <c r="E7" s="2">
        <f t="shared" si="0"/>
        <v>570.83526500000005</v>
      </c>
      <c r="F7" s="2">
        <v>50</v>
      </c>
      <c r="G7" s="2">
        <f>(1347.3/27)</f>
        <v>49.9</v>
      </c>
      <c r="H7" s="2">
        <f>D52</f>
        <v>1.2516548463356973</v>
      </c>
      <c r="I7" s="2">
        <v>19.64</v>
      </c>
      <c r="J7" s="109">
        <f t="shared" si="1"/>
        <v>691.62691984633568</v>
      </c>
      <c r="K7" s="2">
        <f t="shared" si="4"/>
        <v>48.413884389243499</v>
      </c>
      <c r="L7" s="2">
        <f t="shared" si="3"/>
        <v>643.21303545709213</v>
      </c>
      <c r="M7" s="90" t="s">
        <v>699</v>
      </c>
      <c r="N7" s="3">
        <v>10</v>
      </c>
      <c r="O7" s="4">
        <v>11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spans="1:46" s="15" customFormat="1" x14ac:dyDescent="0.3">
      <c r="A8" s="90" t="s">
        <v>625</v>
      </c>
      <c r="B8" s="90">
        <v>5</v>
      </c>
      <c r="C8" s="2">
        <f>'GERAL 2023'!G7</f>
        <v>580</v>
      </c>
      <c r="D8" s="2">
        <v>0</v>
      </c>
      <c r="E8" s="2">
        <f>C8-D8</f>
        <v>580</v>
      </c>
      <c r="F8" s="2">
        <f>50</f>
        <v>50</v>
      </c>
      <c r="G8" s="2">
        <f t="shared" si="2"/>
        <v>49.9</v>
      </c>
      <c r="H8" s="2">
        <f>D54</f>
        <v>1.2516548463356973</v>
      </c>
      <c r="I8" s="2">
        <f>D53</f>
        <v>19.696666666666669</v>
      </c>
      <c r="J8" s="109">
        <f t="shared" si="1"/>
        <v>700.84832151300236</v>
      </c>
      <c r="K8" s="2">
        <f t="shared" si="4"/>
        <v>49.059382505910172</v>
      </c>
      <c r="L8" s="2">
        <f t="shared" si="3"/>
        <v>651.78893900709215</v>
      </c>
      <c r="M8" s="90" t="s">
        <v>700</v>
      </c>
      <c r="N8" s="3">
        <v>10</v>
      </c>
      <c r="O8" s="3">
        <v>11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 spans="1:46" s="11" customFormat="1" x14ac:dyDescent="0.3">
      <c r="A9" s="90" t="s">
        <v>627</v>
      </c>
      <c r="B9" s="90">
        <v>6</v>
      </c>
      <c r="C9" s="5">
        <f>'GERAL 2023'!G8</f>
        <v>680</v>
      </c>
      <c r="D9" s="5">
        <v>0</v>
      </c>
      <c r="E9" s="2">
        <f>C9-D9</f>
        <v>680</v>
      </c>
      <c r="F9" s="2">
        <f>100</f>
        <v>100</v>
      </c>
      <c r="G9" s="2">
        <f t="shared" si="2"/>
        <v>49.9</v>
      </c>
      <c r="H9" s="2">
        <f>D57</f>
        <v>1.7523167848699763</v>
      </c>
      <c r="I9" s="2">
        <f>D55</f>
        <v>19.893333333333334</v>
      </c>
      <c r="J9" s="109">
        <f t="shared" si="1"/>
        <v>851.5456501182033</v>
      </c>
      <c r="K9" s="2">
        <f t="shared" si="4"/>
        <v>59.608195508274235</v>
      </c>
      <c r="L9" s="2">
        <f>J9-K9</f>
        <v>791.93745460992909</v>
      </c>
      <c r="M9" s="90" t="s">
        <v>700</v>
      </c>
      <c r="N9" s="3">
        <v>10</v>
      </c>
      <c r="O9" s="3">
        <v>11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</row>
    <row r="10" spans="1:46" s="15" customFormat="1" x14ac:dyDescent="0.3">
      <c r="A10" s="90" t="s">
        <v>442</v>
      </c>
      <c r="B10" s="90">
        <v>7</v>
      </c>
      <c r="C10" s="2">
        <f>'GERAL 2022'!G9/31*1</f>
        <v>18.70967741935484</v>
      </c>
      <c r="D10" s="2">
        <v>0</v>
      </c>
      <c r="E10" s="5">
        <f>C10-D10</f>
        <v>18.70967741935484</v>
      </c>
      <c r="F10" s="2">
        <f>50/31*1</f>
        <v>1.6129032258064515</v>
      </c>
      <c r="G10" s="2">
        <f>((1347.3/27))/31*1</f>
        <v>1.6096774193548387</v>
      </c>
      <c r="H10" s="2">
        <f>D59/31*1</f>
        <v>4.0375962785022493E-2</v>
      </c>
      <c r="I10" s="2">
        <v>0</v>
      </c>
      <c r="J10" s="109">
        <f t="shared" si="1"/>
        <v>21.972634027301154</v>
      </c>
      <c r="K10" s="2">
        <f t="shared" si="4"/>
        <v>1.538084381911081</v>
      </c>
      <c r="L10" s="2">
        <f t="shared" si="3"/>
        <v>20.434549645390074</v>
      </c>
      <c r="M10" s="90" t="s">
        <v>713</v>
      </c>
      <c r="N10" s="3">
        <v>10</v>
      </c>
      <c r="O10" s="3">
        <v>11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</row>
    <row r="11" spans="1:46" s="15" customFormat="1" x14ac:dyDescent="0.3">
      <c r="A11" s="90" t="s">
        <v>493</v>
      </c>
      <c r="B11" s="90">
        <v>8</v>
      </c>
      <c r="C11" s="2">
        <f>'GERAL 2022'!G37</f>
        <v>580</v>
      </c>
      <c r="D11" s="2">
        <v>0</v>
      </c>
      <c r="E11" s="5">
        <f t="shared" si="0"/>
        <v>580</v>
      </c>
      <c r="F11" s="2">
        <v>50</v>
      </c>
      <c r="G11" s="2">
        <f t="shared" si="2"/>
        <v>49.9</v>
      </c>
      <c r="H11" s="2">
        <f>D61</f>
        <v>1.2516548463356973</v>
      </c>
      <c r="I11" s="2">
        <v>0</v>
      </c>
      <c r="J11" s="109">
        <f t="shared" si="1"/>
        <v>681.15165484633565</v>
      </c>
      <c r="K11" s="2">
        <f t="shared" si="4"/>
        <v>47.680615839243501</v>
      </c>
      <c r="L11" s="2">
        <f t="shared" si="3"/>
        <v>633.47103900709214</v>
      </c>
      <c r="M11" s="90" t="s">
        <v>698</v>
      </c>
      <c r="N11" s="125">
        <v>10</v>
      </c>
      <c r="O11" s="3">
        <v>11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</row>
    <row r="12" spans="1:46" s="15" customFormat="1" ht="14.25" customHeight="1" x14ac:dyDescent="0.3">
      <c r="A12" s="90" t="s">
        <v>246</v>
      </c>
      <c r="B12" s="90">
        <v>9</v>
      </c>
      <c r="C12" s="2">
        <f>'GERAL 2022'!G11+(5.45129%*580)</f>
        <v>611.617482</v>
      </c>
      <c r="D12" s="2">
        <v>0</v>
      </c>
      <c r="E12" s="5">
        <f t="shared" si="0"/>
        <v>611.617482</v>
      </c>
      <c r="F12" s="2">
        <f>25</f>
        <v>25</v>
      </c>
      <c r="G12" s="2">
        <f t="shared" si="2"/>
        <v>49.9</v>
      </c>
      <c r="H12" s="2">
        <f>D63</f>
        <v>1.2516548463356973</v>
      </c>
      <c r="I12" s="2">
        <v>19.7</v>
      </c>
      <c r="J12" s="109">
        <f t="shared" si="1"/>
        <v>707.46913684633569</v>
      </c>
      <c r="K12" s="2">
        <f t="shared" si="4"/>
        <v>49.522839579243502</v>
      </c>
      <c r="L12" s="2">
        <f t="shared" si="3"/>
        <v>657.94629726709218</v>
      </c>
      <c r="M12" s="90" t="s">
        <v>701</v>
      </c>
      <c r="N12" s="125">
        <v>10</v>
      </c>
      <c r="O12" s="3">
        <v>11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</row>
    <row r="13" spans="1:46" s="69" customFormat="1" x14ac:dyDescent="0.3">
      <c r="A13" s="4" t="s">
        <v>402</v>
      </c>
      <c r="B13" s="4">
        <v>10</v>
      </c>
      <c r="C13" s="2">
        <f>'GERAL 2022'!G38</f>
        <v>550</v>
      </c>
      <c r="D13" s="2">
        <v>0</v>
      </c>
      <c r="E13" s="5">
        <f t="shared" si="0"/>
        <v>550</v>
      </c>
      <c r="F13" s="2">
        <v>50</v>
      </c>
      <c r="G13" s="2">
        <f t="shared" si="2"/>
        <v>49.9</v>
      </c>
      <c r="H13" s="2">
        <f>D65</f>
        <v>1.2516548463356973</v>
      </c>
      <c r="I13" s="2">
        <v>0</v>
      </c>
      <c r="J13" s="109">
        <f t="shared" si="1"/>
        <v>651.15165484633565</v>
      </c>
      <c r="K13" s="2">
        <f t="shared" si="4"/>
        <v>45.580615839243499</v>
      </c>
      <c r="L13" s="2">
        <f t="shared" si="3"/>
        <v>605.57103900709217</v>
      </c>
      <c r="M13" s="90" t="s">
        <v>698</v>
      </c>
      <c r="N13" s="3">
        <v>10</v>
      </c>
      <c r="O13" s="4">
        <v>11</v>
      </c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</row>
    <row r="14" spans="1:46" s="69" customFormat="1" x14ac:dyDescent="0.3">
      <c r="A14" s="4" t="s">
        <v>321</v>
      </c>
      <c r="B14" s="4">
        <v>11</v>
      </c>
      <c r="C14" s="2">
        <f>'GERAL 2022'!G13+(0.16712%*550)</f>
        <v>550.91916000000003</v>
      </c>
      <c r="D14" s="2">
        <v>0</v>
      </c>
      <c r="E14" s="5">
        <f t="shared" si="0"/>
        <v>550.91916000000003</v>
      </c>
      <c r="F14" s="2">
        <v>0</v>
      </c>
      <c r="G14" s="2">
        <f t="shared" si="2"/>
        <v>49.9</v>
      </c>
      <c r="H14" s="2">
        <f>D67</f>
        <v>1.2516548463356973</v>
      </c>
      <c r="I14" s="2">
        <v>19.64</v>
      </c>
      <c r="J14" s="109">
        <f t="shared" si="1"/>
        <v>621.71081484633567</v>
      </c>
      <c r="K14" s="2">
        <f t="shared" si="4"/>
        <v>43.519757039243501</v>
      </c>
      <c r="L14" s="2">
        <f t="shared" si="3"/>
        <v>578.19105780709219</v>
      </c>
      <c r="M14" s="5" t="s">
        <v>702</v>
      </c>
      <c r="N14" s="3">
        <v>10</v>
      </c>
      <c r="O14" s="4">
        <v>11</v>
      </c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</row>
    <row r="15" spans="1:46" s="15" customFormat="1" x14ac:dyDescent="0.3">
      <c r="A15" s="90" t="s">
        <v>566</v>
      </c>
      <c r="B15" s="90">
        <v>12</v>
      </c>
      <c r="C15" s="2">
        <f>'GERAL 2022'!G14</f>
        <v>550</v>
      </c>
      <c r="D15" s="2">
        <v>0</v>
      </c>
      <c r="E15" s="5">
        <f t="shared" si="0"/>
        <v>550</v>
      </c>
      <c r="F15" s="5">
        <v>25</v>
      </c>
      <c r="G15" s="2">
        <f t="shared" si="2"/>
        <v>49.9</v>
      </c>
      <c r="H15" s="2">
        <f>D69</f>
        <v>1.2516548463356973</v>
      </c>
      <c r="I15" s="5">
        <v>0</v>
      </c>
      <c r="J15" s="109">
        <f t="shared" si="1"/>
        <v>626.15165484633565</v>
      </c>
      <c r="K15" s="2">
        <f t="shared" si="4"/>
        <v>43.830615839243499</v>
      </c>
      <c r="L15" s="2">
        <f t="shared" si="3"/>
        <v>582.32103900709217</v>
      </c>
      <c r="M15" s="90" t="s">
        <v>698</v>
      </c>
      <c r="N15" s="3">
        <v>10</v>
      </c>
      <c r="O15" s="3">
        <v>11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</row>
    <row r="16" spans="1:46" s="11" customFormat="1" x14ac:dyDescent="0.3">
      <c r="A16" s="90" t="s">
        <v>362</v>
      </c>
      <c r="B16" s="90">
        <v>13</v>
      </c>
      <c r="C16" s="5">
        <f>'GERAL 2022'!G15</f>
        <v>550</v>
      </c>
      <c r="D16" s="5">
        <v>0</v>
      </c>
      <c r="E16" s="5">
        <f t="shared" si="0"/>
        <v>550</v>
      </c>
      <c r="F16" s="2">
        <v>0</v>
      </c>
      <c r="G16" s="2">
        <f t="shared" si="2"/>
        <v>49.9</v>
      </c>
      <c r="H16" s="2">
        <f>D71</f>
        <v>1.2516548463356973</v>
      </c>
      <c r="I16" s="2">
        <f>D70</f>
        <v>19.641666666666666</v>
      </c>
      <c r="J16" s="109">
        <f t="shared" si="1"/>
        <v>620.7933215130023</v>
      </c>
      <c r="K16" s="2">
        <f t="shared" si="4"/>
        <v>43.455532505910163</v>
      </c>
      <c r="L16" s="2">
        <f t="shared" si="3"/>
        <v>577.33778900709217</v>
      </c>
      <c r="M16" s="90" t="s">
        <v>696</v>
      </c>
      <c r="N16" s="3">
        <v>10</v>
      </c>
      <c r="O16" s="3">
        <v>11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</row>
    <row r="17" spans="1:46" s="69" customFormat="1" x14ac:dyDescent="0.3">
      <c r="A17" s="4" t="s">
        <v>559</v>
      </c>
      <c r="B17" s="4">
        <v>14</v>
      </c>
      <c r="C17" s="2">
        <f>'GERAL 2022'!G39</f>
        <v>580</v>
      </c>
      <c r="D17" s="2">
        <v>0</v>
      </c>
      <c r="E17" s="5">
        <f t="shared" si="0"/>
        <v>580</v>
      </c>
      <c r="F17" s="2">
        <f>50</f>
        <v>50</v>
      </c>
      <c r="G17" s="2">
        <f t="shared" si="2"/>
        <v>49.9</v>
      </c>
      <c r="H17" s="2">
        <f>D73</f>
        <v>1.2516548463356973</v>
      </c>
      <c r="I17" s="2">
        <v>0</v>
      </c>
      <c r="J17" s="109">
        <f t="shared" si="1"/>
        <v>681.15165484633565</v>
      </c>
      <c r="K17" s="2">
        <f t="shared" si="4"/>
        <v>47.680615839243501</v>
      </c>
      <c r="L17" s="2">
        <f t="shared" si="3"/>
        <v>633.47103900709214</v>
      </c>
      <c r="M17" s="90" t="s">
        <v>698</v>
      </c>
      <c r="N17" s="3">
        <v>10</v>
      </c>
      <c r="O17" s="4">
        <v>11</v>
      </c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</row>
    <row r="18" spans="1:46" s="6" customFormat="1" x14ac:dyDescent="0.3">
      <c r="A18" s="95" t="s">
        <v>705</v>
      </c>
      <c r="B18" s="90">
        <v>15</v>
      </c>
      <c r="C18" s="2">
        <f>'GERAL 2023'!G36/31*8</f>
        <v>175.48387096774192</v>
      </c>
      <c r="D18" s="2">
        <v>0</v>
      </c>
      <c r="E18" s="5">
        <f t="shared" si="0"/>
        <v>175.48387096774192</v>
      </c>
      <c r="F18" s="2">
        <f>25/31*8</f>
        <v>6.4516129032258061</v>
      </c>
      <c r="G18" s="2">
        <f>((1347.3/27))/31*8</f>
        <v>12.877419354838709</v>
      </c>
      <c r="H18" s="2">
        <f>D75/31*8</f>
        <v>0.45221078319225194</v>
      </c>
      <c r="I18" s="2">
        <v>19.84</v>
      </c>
      <c r="J18" s="109">
        <f t="shared" si="1"/>
        <v>215.10511400899867</v>
      </c>
      <c r="K18" s="2">
        <f t="shared" si="4"/>
        <v>15.057357980629908</v>
      </c>
      <c r="L18" s="2">
        <f t="shared" si="3"/>
        <v>200.04775602836875</v>
      </c>
      <c r="M18" s="90" t="s">
        <v>706</v>
      </c>
      <c r="N18" s="3">
        <v>10</v>
      </c>
      <c r="O18" s="4">
        <v>11</v>
      </c>
      <c r="P18" s="9"/>
      <c r="Q18" s="9"/>
      <c r="R18" s="9"/>
      <c r="S18" s="9"/>
      <c r="T18" s="9"/>
      <c r="U18" s="9"/>
      <c r="V18" s="9"/>
      <c r="W18" s="9"/>
      <c r="X18" s="9"/>
    </row>
    <row r="19" spans="1:46" s="11" customFormat="1" x14ac:dyDescent="0.3">
      <c r="A19" s="3" t="s">
        <v>665</v>
      </c>
      <c r="B19" s="3">
        <v>16</v>
      </c>
      <c r="C19" s="2">
        <f>'GERAL 2023'!G37</f>
        <v>610</v>
      </c>
      <c r="D19" s="2">
        <v>0</v>
      </c>
      <c r="E19" s="5">
        <f t="shared" si="0"/>
        <v>610</v>
      </c>
      <c r="F19" s="2">
        <v>0</v>
      </c>
      <c r="G19" s="2">
        <f t="shared" si="2"/>
        <v>49.9</v>
      </c>
      <c r="H19" s="2">
        <f>D77</f>
        <v>1.2516548463356973</v>
      </c>
      <c r="I19" s="2">
        <f>D76</f>
        <v>19.78</v>
      </c>
      <c r="J19" s="109">
        <f t="shared" si="1"/>
        <v>680.93165484633562</v>
      </c>
      <c r="K19" s="2">
        <f t="shared" si="4"/>
        <v>47.665215839243501</v>
      </c>
      <c r="L19" s="2">
        <f t="shared" si="3"/>
        <v>633.26643900709212</v>
      </c>
      <c r="M19" s="90" t="s">
        <v>703</v>
      </c>
      <c r="N19" s="3">
        <v>10</v>
      </c>
      <c r="O19" s="3">
        <v>11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</row>
    <row r="20" spans="1:46" s="11" customFormat="1" x14ac:dyDescent="0.3">
      <c r="A20" s="88" t="s">
        <v>392</v>
      </c>
      <c r="B20" s="88">
        <v>17</v>
      </c>
      <c r="C20" s="2">
        <f>'GERAL 2022'!G41</f>
        <v>580</v>
      </c>
      <c r="D20" s="2">
        <v>0</v>
      </c>
      <c r="E20" s="5">
        <f t="shared" si="0"/>
        <v>580</v>
      </c>
      <c r="F20" s="2">
        <v>0</v>
      </c>
      <c r="G20" s="2">
        <f t="shared" si="2"/>
        <v>49.9</v>
      </c>
      <c r="H20" s="2">
        <f>D79</f>
        <v>1.2516548463356973</v>
      </c>
      <c r="I20" s="2">
        <v>0</v>
      </c>
      <c r="J20" s="109">
        <f t="shared" si="1"/>
        <v>631.15165484633565</v>
      </c>
      <c r="K20" s="2">
        <f t="shared" si="4"/>
        <v>44.180615839243501</v>
      </c>
      <c r="L20" s="2">
        <f t="shared" si="3"/>
        <v>586.97103900709214</v>
      </c>
      <c r="M20" s="5" t="s">
        <v>698</v>
      </c>
      <c r="N20" s="3">
        <v>10</v>
      </c>
      <c r="O20" s="3">
        <v>11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</row>
    <row r="21" spans="1:46" s="11" customFormat="1" x14ac:dyDescent="0.3">
      <c r="A21" s="88" t="s">
        <v>602</v>
      </c>
      <c r="B21" s="90">
        <v>18</v>
      </c>
      <c r="C21" s="2">
        <f>'GERAL 2023'!G20</f>
        <v>640</v>
      </c>
      <c r="D21" s="2">
        <v>0</v>
      </c>
      <c r="E21" s="5">
        <f>C21-D21</f>
        <v>640</v>
      </c>
      <c r="F21" s="2">
        <v>50</v>
      </c>
      <c r="G21" s="2">
        <f t="shared" si="2"/>
        <v>49.9</v>
      </c>
      <c r="H21" s="2">
        <f>D81</f>
        <v>1.2516548463356973</v>
      </c>
      <c r="I21" s="2">
        <v>19.809999999999999</v>
      </c>
      <c r="J21" s="109">
        <f t="shared" si="1"/>
        <v>760.96165484633559</v>
      </c>
      <c r="K21" s="2">
        <f t="shared" si="4"/>
        <v>53.267315839243494</v>
      </c>
      <c r="L21" s="2">
        <f t="shared" si="3"/>
        <v>707.69433900709214</v>
      </c>
      <c r="M21" s="90" t="s">
        <v>704</v>
      </c>
      <c r="N21" s="3">
        <v>10</v>
      </c>
      <c r="O21" s="3">
        <v>11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</row>
    <row r="22" spans="1:46" s="11" customFormat="1" x14ac:dyDescent="0.3">
      <c r="A22" s="90"/>
      <c r="B22" s="90">
        <v>19</v>
      </c>
      <c r="C22" s="2">
        <v>0</v>
      </c>
      <c r="D22" s="2">
        <v>0</v>
      </c>
      <c r="E22" s="5">
        <f>(C22-D22)</f>
        <v>0</v>
      </c>
      <c r="F22" s="2">
        <v>0</v>
      </c>
      <c r="G22" s="2">
        <v>0</v>
      </c>
      <c r="H22" s="2">
        <v>0</v>
      </c>
      <c r="I22" s="2">
        <v>0</v>
      </c>
      <c r="J22" s="109">
        <f t="shared" si="1"/>
        <v>0</v>
      </c>
      <c r="K22" s="2">
        <f t="shared" si="4"/>
        <v>0</v>
      </c>
      <c r="L22" s="2">
        <f t="shared" si="3"/>
        <v>0</v>
      </c>
      <c r="M22" s="90" t="s">
        <v>525</v>
      </c>
      <c r="N22" s="3"/>
      <c r="O22" s="3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</row>
    <row r="23" spans="1:46" s="11" customFormat="1" x14ac:dyDescent="0.3">
      <c r="A23" s="88" t="s">
        <v>345</v>
      </c>
      <c r="B23" s="90">
        <v>20</v>
      </c>
      <c r="C23" s="2">
        <f>'GERAL 2022'!G22</f>
        <v>660</v>
      </c>
      <c r="D23" s="2">
        <v>0</v>
      </c>
      <c r="E23" s="5">
        <f t="shared" ref="E23:E30" si="5">C23-D23</f>
        <v>660</v>
      </c>
      <c r="F23" s="2">
        <v>50</v>
      </c>
      <c r="G23" s="2">
        <f t="shared" si="2"/>
        <v>49.9</v>
      </c>
      <c r="H23" s="2">
        <f>D85</f>
        <v>1.2516548463356973</v>
      </c>
      <c r="I23" s="2">
        <f>D84</f>
        <v>19.853333333333335</v>
      </c>
      <c r="J23" s="109">
        <f t="shared" si="1"/>
        <v>781.004988179669</v>
      </c>
      <c r="K23" s="2">
        <f t="shared" si="4"/>
        <v>54.670349172576834</v>
      </c>
      <c r="L23" s="2">
        <f t="shared" si="3"/>
        <v>726.33463900709216</v>
      </c>
      <c r="M23" s="90" t="s">
        <v>712</v>
      </c>
      <c r="N23" s="125">
        <v>10</v>
      </c>
      <c r="O23" s="3">
        <v>11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</row>
    <row r="24" spans="1:46" s="11" customFormat="1" x14ac:dyDescent="0.3">
      <c r="A24" s="88" t="s">
        <v>346</v>
      </c>
      <c r="B24" s="90">
        <v>21</v>
      </c>
      <c r="C24" s="2">
        <f>'GERAL 2022'!G23</f>
        <v>500</v>
      </c>
      <c r="D24" s="2">
        <v>0</v>
      </c>
      <c r="E24" s="5">
        <f t="shared" si="5"/>
        <v>500</v>
      </c>
      <c r="F24" s="2">
        <v>25</v>
      </c>
      <c r="G24" s="2">
        <f t="shared" si="2"/>
        <v>49.9</v>
      </c>
      <c r="H24" s="2">
        <f>D87</f>
        <v>1.2516548463356973</v>
      </c>
      <c r="I24" s="2">
        <f>D86</f>
        <v>19.543333333333333</v>
      </c>
      <c r="J24" s="109">
        <f t="shared" si="1"/>
        <v>595.69498817966894</v>
      </c>
      <c r="K24" s="2">
        <f t="shared" si="4"/>
        <v>41.698649172576829</v>
      </c>
      <c r="L24" s="2">
        <f t="shared" si="3"/>
        <v>553.99633900709216</v>
      </c>
      <c r="M24" s="90" t="s">
        <v>712</v>
      </c>
      <c r="N24" s="125">
        <v>10</v>
      </c>
      <c r="O24" s="3">
        <v>11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</row>
    <row r="25" spans="1:46" s="11" customFormat="1" ht="15.75" customHeight="1" x14ac:dyDescent="0.3">
      <c r="A25" s="88" t="s">
        <v>119</v>
      </c>
      <c r="B25" s="90">
        <v>22</v>
      </c>
      <c r="C25" s="2">
        <f>'GERAL 2022'!G24</f>
        <v>500</v>
      </c>
      <c r="D25" s="2">
        <v>0</v>
      </c>
      <c r="E25" s="5">
        <f t="shared" si="5"/>
        <v>500</v>
      </c>
      <c r="F25" s="2">
        <v>25</v>
      </c>
      <c r="G25" s="2">
        <f t="shared" si="2"/>
        <v>49.9</v>
      </c>
      <c r="H25" s="2">
        <f>D89</f>
        <v>1.2516548463356973</v>
      </c>
      <c r="I25" s="2">
        <f>D88</f>
        <v>19.543333333333333</v>
      </c>
      <c r="J25" s="109">
        <f t="shared" si="1"/>
        <v>595.69498817966894</v>
      </c>
      <c r="K25" s="2">
        <f t="shared" si="4"/>
        <v>41.698649172576829</v>
      </c>
      <c r="L25" s="2">
        <f t="shared" si="3"/>
        <v>553.99633900709216</v>
      </c>
      <c r="M25" s="90" t="s">
        <v>712</v>
      </c>
      <c r="N25" s="125">
        <v>10</v>
      </c>
      <c r="O25" s="3">
        <v>11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</row>
    <row r="26" spans="1:46" s="11" customFormat="1" x14ac:dyDescent="0.3">
      <c r="A26" s="88" t="s">
        <v>379</v>
      </c>
      <c r="B26" s="90">
        <v>23</v>
      </c>
      <c r="C26" s="2">
        <f>'GERAL 2022'!G25</f>
        <v>550</v>
      </c>
      <c r="D26" s="2">
        <v>0</v>
      </c>
      <c r="E26" s="5">
        <f t="shared" si="5"/>
        <v>550</v>
      </c>
      <c r="F26" s="2">
        <v>0</v>
      </c>
      <c r="G26" s="2">
        <f t="shared" si="2"/>
        <v>49.9</v>
      </c>
      <c r="H26" s="2">
        <f>D91</f>
        <v>1.2516548463356973</v>
      </c>
      <c r="I26" s="2">
        <f>D90</f>
        <v>19.641666666666666</v>
      </c>
      <c r="J26" s="109">
        <f t="shared" si="1"/>
        <v>620.7933215130023</v>
      </c>
      <c r="K26" s="2">
        <f t="shared" si="4"/>
        <v>43.455532505910163</v>
      </c>
      <c r="L26" s="2">
        <f t="shared" si="3"/>
        <v>577.33778900709217</v>
      </c>
      <c r="M26" s="90" t="s">
        <v>712</v>
      </c>
      <c r="N26" s="3">
        <v>10</v>
      </c>
      <c r="O26" s="3">
        <v>11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</row>
    <row r="27" spans="1:46" s="6" customFormat="1" x14ac:dyDescent="0.3">
      <c r="A27" s="90"/>
      <c r="B27" s="90">
        <v>24</v>
      </c>
      <c r="C27" s="2">
        <v>0</v>
      </c>
      <c r="D27" s="2">
        <v>0</v>
      </c>
      <c r="E27" s="5">
        <f t="shared" si="5"/>
        <v>0</v>
      </c>
      <c r="F27" s="2">
        <v>0</v>
      </c>
      <c r="G27" s="2">
        <v>0</v>
      </c>
      <c r="H27" s="2">
        <v>0</v>
      </c>
      <c r="I27" s="2">
        <v>0</v>
      </c>
      <c r="J27" s="109">
        <f t="shared" si="1"/>
        <v>0</v>
      </c>
      <c r="K27" s="2">
        <f t="shared" si="4"/>
        <v>0</v>
      </c>
      <c r="L27" s="2">
        <f t="shared" si="3"/>
        <v>0</v>
      </c>
      <c r="M27" s="90" t="s">
        <v>525</v>
      </c>
      <c r="N27" s="125"/>
      <c r="O27" s="3"/>
      <c r="P27" s="9"/>
      <c r="Q27" s="9"/>
      <c r="R27" s="9"/>
      <c r="S27" s="9"/>
      <c r="T27" s="9"/>
      <c r="U27" s="9"/>
      <c r="V27" s="9"/>
      <c r="W27" s="9"/>
      <c r="X27" s="9"/>
    </row>
    <row r="28" spans="1:46" s="6" customFormat="1" x14ac:dyDescent="0.3">
      <c r="A28" s="11" t="s">
        <v>563</v>
      </c>
      <c r="B28" s="90">
        <v>25</v>
      </c>
      <c r="C28" s="2">
        <f>'GERAL 2022'!G44</f>
        <v>610</v>
      </c>
      <c r="D28" s="2">
        <v>0</v>
      </c>
      <c r="E28" s="5">
        <f t="shared" si="5"/>
        <v>610</v>
      </c>
      <c r="F28" s="2">
        <v>0</v>
      </c>
      <c r="G28" s="2">
        <f t="shared" si="2"/>
        <v>49.9</v>
      </c>
      <c r="H28" s="2">
        <f>D95</f>
        <v>1.2516548463356973</v>
      </c>
      <c r="I28" s="2">
        <v>0</v>
      </c>
      <c r="J28" s="109">
        <f t="shared" si="1"/>
        <v>661.15165484633565</v>
      </c>
      <c r="K28" s="2">
        <f t="shared" si="4"/>
        <v>46.280615839243502</v>
      </c>
      <c r="L28" s="2">
        <f t="shared" si="3"/>
        <v>614.87103900709212</v>
      </c>
      <c r="M28" s="90" t="s">
        <v>698</v>
      </c>
      <c r="N28" s="125">
        <v>10</v>
      </c>
      <c r="O28" s="3">
        <v>11</v>
      </c>
      <c r="P28" s="9"/>
      <c r="Q28" s="9"/>
      <c r="R28" s="9"/>
      <c r="S28" s="9"/>
      <c r="T28" s="9"/>
      <c r="U28" s="9"/>
      <c r="V28" s="9"/>
      <c r="W28" s="9"/>
      <c r="X28" s="9"/>
    </row>
    <row r="29" spans="1:46" s="11" customFormat="1" x14ac:dyDescent="0.3">
      <c r="A29" s="88" t="s">
        <v>348</v>
      </c>
      <c r="B29" s="90">
        <v>26</v>
      </c>
      <c r="C29" s="2">
        <f>'GERAL 2022'!G28</f>
        <v>560</v>
      </c>
      <c r="D29" s="2">
        <v>0</v>
      </c>
      <c r="E29" s="5">
        <f t="shared" si="5"/>
        <v>560</v>
      </c>
      <c r="F29" s="2">
        <v>50</v>
      </c>
      <c r="G29" s="2">
        <f t="shared" si="2"/>
        <v>49.9</v>
      </c>
      <c r="H29" s="2">
        <f>D97</f>
        <v>1.2516548463356973</v>
      </c>
      <c r="I29" s="2">
        <f>D96</f>
        <v>19.658333333333335</v>
      </c>
      <c r="J29" s="109">
        <f t="shared" si="1"/>
        <v>680.80998817966895</v>
      </c>
      <c r="K29" s="2">
        <f t="shared" si="4"/>
        <v>47.656699172576829</v>
      </c>
      <c r="L29" s="2">
        <f t="shared" si="3"/>
        <v>633.1532890070921</v>
      </c>
      <c r="M29" s="90" t="s">
        <v>712</v>
      </c>
      <c r="N29" s="3">
        <v>10</v>
      </c>
      <c r="O29" s="3">
        <v>11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</row>
    <row r="30" spans="1:46" s="11" customFormat="1" x14ac:dyDescent="0.3">
      <c r="A30" s="88" t="s">
        <v>349</v>
      </c>
      <c r="B30" s="90">
        <v>27</v>
      </c>
      <c r="C30" s="72">
        <f>'GERAL 2022'!G45</f>
        <v>580</v>
      </c>
      <c r="D30" s="72">
        <v>0</v>
      </c>
      <c r="E30" s="5">
        <f t="shared" si="5"/>
        <v>580</v>
      </c>
      <c r="F30" s="72">
        <v>0</v>
      </c>
      <c r="G30" s="2">
        <f t="shared" si="2"/>
        <v>49.9</v>
      </c>
      <c r="H30" s="72">
        <f>D99</f>
        <v>1.2516548463356973</v>
      </c>
      <c r="I30" s="72">
        <f>D98</f>
        <v>19.696666666666669</v>
      </c>
      <c r="J30" s="109">
        <f t="shared" si="1"/>
        <v>650.84832151300236</v>
      </c>
      <c r="K30" s="2">
        <f t="shared" si="4"/>
        <v>45.559382505910172</v>
      </c>
      <c r="L30" s="2">
        <f>J30-K30</f>
        <v>605.28893900709215</v>
      </c>
      <c r="M30" s="90" t="s">
        <v>712</v>
      </c>
      <c r="N30" s="3">
        <v>10</v>
      </c>
      <c r="O30" s="3">
        <v>11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</row>
    <row r="31" spans="1:46" s="11" customFormat="1" x14ac:dyDescent="0.3">
      <c r="A31" s="518" t="s">
        <v>4</v>
      </c>
      <c r="B31" s="518"/>
      <c r="C31" s="109">
        <f>SUM(C4:C30)</f>
        <v>13497.565455387095</v>
      </c>
      <c r="D31" s="109">
        <f t="shared" ref="D31:L31" si="6">SUM(D4:D30)</f>
        <v>0</v>
      </c>
      <c r="E31" s="109">
        <f t="shared" si="6"/>
        <v>13497.565455387095</v>
      </c>
      <c r="F31" s="109">
        <f t="shared" si="6"/>
        <v>658.0645161290322</v>
      </c>
      <c r="G31" s="109">
        <f>SUM(G4:G30)</f>
        <v>1162.1870967741934</v>
      </c>
      <c r="H31" s="109">
        <f t="shared" si="6"/>
        <v>29.781310150232585</v>
      </c>
      <c r="I31" s="109">
        <f t="shared" si="6"/>
        <v>315.27833333333336</v>
      </c>
      <c r="J31" s="109">
        <f t="shared" si="6"/>
        <v>15662.876711773886</v>
      </c>
      <c r="K31" s="109">
        <f t="shared" si="6"/>
        <v>1096.401369824172</v>
      </c>
      <c r="L31" s="109">
        <f t="shared" si="6"/>
        <v>14566.475341949712</v>
      </c>
      <c r="M31" s="90"/>
      <c r="N31" s="3"/>
      <c r="O31" s="3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</row>
    <row r="32" spans="1:46" s="11" customFormat="1" ht="28.5" customHeight="1" x14ac:dyDescent="0.3">
      <c r="A32" s="521" t="s">
        <v>695</v>
      </c>
      <c r="B32" s="521"/>
      <c r="C32" s="521"/>
      <c r="D32" s="521"/>
      <c r="E32" s="521"/>
      <c r="F32" s="521"/>
      <c r="G32" s="521"/>
      <c r="H32" s="521"/>
      <c r="I32" s="521"/>
      <c r="J32" s="521"/>
      <c r="K32" s="521"/>
      <c r="L32" s="521"/>
      <c r="M32" s="521"/>
      <c r="N32" s="521"/>
      <c r="O32" s="521"/>
      <c r="P32" s="10"/>
      <c r="Q32" s="10"/>
      <c r="R32" s="10"/>
      <c r="S32" s="10"/>
      <c r="T32" s="10"/>
      <c r="U32" s="10"/>
      <c r="V32" s="10"/>
      <c r="W32" s="10"/>
      <c r="X32" s="10"/>
    </row>
    <row r="33" spans="1:59" s="11" customFormat="1" ht="27.75" customHeight="1" x14ac:dyDescent="0.3">
      <c r="A33" s="127" t="s">
        <v>3</v>
      </c>
      <c r="B33" s="127" t="s">
        <v>0</v>
      </c>
      <c r="C33" s="128" t="s">
        <v>174</v>
      </c>
      <c r="D33" s="555" t="s">
        <v>175</v>
      </c>
      <c r="E33" s="556"/>
      <c r="F33" s="556"/>
      <c r="G33" s="556"/>
      <c r="H33" s="556"/>
      <c r="I33" s="557"/>
      <c r="J33" s="128" t="s">
        <v>4</v>
      </c>
      <c r="K33" s="128" t="s">
        <v>5</v>
      </c>
      <c r="L33" s="128" t="s">
        <v>70</v>
      </c>
      <c r="M33" s="127" t="s">
        <v>59</v>
      </c>
      <c r="N33" s="130" t="s">
        <v>8</v>
      </c>
      <c r="O33" s="130" t="s">
        <v>10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59" s="15" customFormat="1" x14ac:dyDescent="0.3">
      <c r="A34" s="90" t="s">
        <v>552</v>
      </c>
      <c r="B34" s="90">
        <v>6</v>
      </c>
      <c r="C34" s="2">
        <v>1475.65</v>
      </c>
      <c r="D34" s="546" t="s">
        <v>605</v>
      </c>
      <c r="E34" s="547"/>
      <c r="F34" s="547"/>
      <c r="G34" s="547"/>
      <c r="H34" s="547"/>
      <c r="I34" s="548"/>
      <c r="J34" s="2">
        <v>184.46</v>
      </c>
      <c r="K34" s="2">
        <f>7%*J34</f>
        <v>12.912200000000002</v>
      </c>
      <c r="L34" s="2">
        <f>J34-K34</f>
        <v>171.5478</v>
      </c>
      <c r="M34" s="90" t="s">
        <v>707</v>
      </c>
      <c r="N34" s="3">
        <v>10</v>
      </c>
      <c r="O34" s="3">
        <v>11</v>
      </c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</row>
    <row r="35" spans="1:59" s="15" customFormat="1" x14ac:dyDescent="0.3">
      <c r="A35" s="90" t="s">
        <v>442</v>
      </c>
      <c r="B35" s="90">
        <v>7</v>
      </c>
      <c r="C35" s="2">
        <v>1102</v>
      </c>
      <c r="D35" s="546" t="s">
        <v>714</v>
      </c>
      <c r="E35" s="547"/>
      <c r="F35" s="547"/>
      <c r="G35" s="547"/>
      <c r="H35" s="547"/>
      <c r="I35" s="548"/>
      <c r="J35" s="2">
        <v>1102</v>
      </c>
      <c r="K35" s="2">
        <f>7%*J35</f>
        <v>77.14</v>
      </c>
      <c r="L35" s="2">
        <f>J35-K35</f>
        <v>1024.8599999999999</v>
      </c>
      <c r="M35" s="90" t="s">
        <v>715</v>
      </c>
      <c r="N35" s="3">
        <v>10</v>
      </c>
      <c r="O35" s="3">
        <v>11</v>
      </c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</row>
    <row r="36" spans="1:59" s="11" customFormat="1" x14ac:dyDescent="0.3">
      <c r="A36" s="518" t="s">
        <v>4</v>
      </c>
      <c r="B36" s="518"/>
      <c r="C36" s="518"/>
      <c r="D36" s="518"/>
      <c r="E36" s="518"/>
      <c r="F36" s="518"/>
      <c r="G36" s="518"/>
      <c r="H36" s="518"/>
      <c r="I36" s="518"/>
      <c r="J36" s="109">
        <f>SUM(J34:J35)</f>
        <v>1286.46</v>
      </c>
      <c r="K36" s="109">
        <f>SUM(K34:K35)</f>
        <v>90.052199999999999</v>
      </c>
      <c r="L36" s="109">
        <f>SUM(L34:L35)</f>
        <v>1196.4078</v>
      </c>
      <c r="M36" s="527"/>
      <c r="N36" s="527"/>
      <c r="O36" s="527"/>
      <c r="P36" s="10"/>
      <c r="Q36" s="10"/>
      <c r="R36" s="10"/>
      <c r="S36" s="10"/>
      <c r="T36" s="10"/>
      <c r="U36" s="10"/>
      <c r="V36" s="10"/>
      <c r="W36" s="10"/>
      <c r="X36" s="10"/>
    </row>
    <row r="37" spans="1:59" s="11" customFormat="1" x14ac:dyDescent="0.3">
      <c r="A37" s="518"/>
      <c r="B37" s="518"/>
      <c r="C37" s="518"/>
      <c r="D37" s="518"/>
      <c r="E37" s="518"/>
      <c r="F37" s="518"/>
      <c r="G37" s="518"/>
      <c r="H37" s="518"/>
      <c r="I37" s="518"/>
      <c r="J37" s="518"/>
      <c r="K37" s="518"/>
      <c r="L37" s="518"/>
      <c r="M37" s="518"/>
      <c r="N37" s="109"/>
      <c r="O37" s="109"/>
      <c r="P37" s="10"/>
      <c r="Q37" s="10"/>
      <c r="R37" s="10"/>
      <c r="S37" s="10"/>
      <c r="T37" s="10"/>
      <c r="U37" s="10"/>
      <c r="V37" s="10"/>
      <c r="W37" s="10"/>
      <c r="X37" s="10"/>
    </row>
    <row r="38" spans="1:59" s="11" customFormat="1" ht="28.5" customHeight="1" x14ac:dyDescent="0.3">
      <c r="A38" s="521" t="s">
        <v>177</v>
      </c>
      <c r="B38" s="521"/>
      <c r="C38" s="521"/>
      <c r="D38" s="521"/>
      <c r="E38" s="521"/>
      <c r="F38" s="521"/>
      <c r="G38" s="521"/>
      <c r="H38" s="521"/>
      <c r="I38" s="521"/>
      <c r="J38" s="521"/>
      <c r="K38" s="521"/>
      <c r="L38" s="521"/>
      <c r="M38" s="521"/>
      <c r="N38" s="521"/>
      <c r="O38" s="521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spans="1:59" s="11" customFormat="1" ht="25.5" customHeight="1" x14ac:dyDescent="0.3">
      <c r="A39" s="126" t="s">
        <v>173</v>
      </c>
      <c r="B39" s="126" t="s">
        <v>0</v>
      </c>
      <c r="C39" s="126" t="s">
        <v>174</v>
      </c>
      <c r="D39" s="521" t="s">
        <v>175</v>
      </c>
      <c r="E39" s="521"/>
      <c r="F39" s="521"/>
      <c r="G39" s="521"/>
      <c r="H39" s="521"/>
      <c r="I39" s="521"/>
      <c r="J39" s="129" t="s">
        <v>4</v>
      </c>
      <c r="K39" s="128"/>
      <c r="L39" s="128"/>
      <c r="M39" s="127" t="s">
        <v>59</v>
      </c>
      <c r="N39" s="130" t="s">
        <v>8</v>
      </c>
      <c r="O39" s="130" t="s">
        <v>10</v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spans="1:59" s="69" customFormat="1" ht="15" customHeight="1" x14ac:dyDescent="0.3">
      <c r="A40" s="4" t="s">
        <v>132</v>
      </c>
      <c r="B40" s="4">
        <v>1</v>
      </c>
      <c r="C40" s="5">
        <f>4977.59-1520</f>
        <v>3457.59</v>
      </c>
      <c r="D40" s="546" t="s">
        <v>284</v>
      </c>
      <c r="E40" s="547"/>
      <c r="F40" s="547"/>
      <c r="G40" s="547"/>
      <c r="H40" s="547"/>
      <c r="I40" s="548"/>
      <c r="J40" s="5">
        <f>4977.59-1520</f>
        <v>3457.59</v>
      </c>
      <c r="K40" s="5"/>
      <c r="L40" s="5"/>
      <c r="M40" s="5" t="s">
        <v>510</v>
      </c>
      <c r="N40" s="140">
        <v>10</v>
      </c>
      <c r="O40" s="4">
        <v>11</v>
      </c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</row>
    <row r="41" spans="1:59" s="11" customFormat="1" x14ac:dyDescent="0.3">
      <c r="A41" s="90" t="s">
        <v>87</v>
      </c>
      <c r="B41" s="90">
        <v>25</v>
      </c>
      <c r="C41" s="5">
        <v>3013.33</v>
      </c>
      <c r="D41" s="546" t="s">
        <v>543</v>
      </c>
      <c r="E41" s="547"/>
      <c r="F41" s="547"/>
      <c r="G41" s="547"/>
      <c r="H41" s="547"/>
      <c r="I41" s="548"/>
      <c r="J41" s="5">
        <v>3040.58</v>
      </c>
      <c r="K41" s="2"/>
      <c r="L41" s="2"/>
      <c r="M41" s="5" t="s">
        <v>545</v>
      </c>
      <c r="N41" s="98">
        <v>10</v>
      </c>
      <c r="O41" s="3">
        <v>11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</row>
    <row r="42" spans="1:59" s="40" customFormat="1" ht="15" customHeight="1" thickBot="1" x14ac:dyDescent="0.35">
      <c r="A42" s="534" t="s">
        <v>4</v>
      </c>
      <c r="B42" s="549"/>
      <c r="C42" s="549"/>
      <c r="D42" s="549"/>
      <c r="E42" s="549"/>
      <c r="F42" s="549"/>
      <c r="G42" s="549"/>
      <c r="H42" s="549"/>
      <c r="I42" s="535"/>
      <c r="J42" s="114">
        <f>SUM(J40:J41)</f>
        <v>6498.17</v>
      </c>
      <c r="K42" s="90"/>
      <c r="L42" s="90"/>
      <c r="M42" s="90"/>
      <c r="N42" s="90"/>
      <c r="O42" s="9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1"/>
      <c r="AT42" s="11"/>
      <c r="AU42" s="11"/>
      <c r="AV42" s="11"/>
    </row>
    <row r="43" spans="1:59" s="19" customFormat="1" x14ac:dyDescent="0.3">
      <c r="A43" s="179"/>
      <c r="B43" s="180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1"/>
      <c r="O43" s="182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</row>
    <row r="44" spans="1:59" s="40" customFormat="1" x14ac:dyDescent="0.3">
      <c r="A44" s="575" t="s">
        <v>9</v>
      </c>
      <c r="B44" s="576"/>
      <c r="C44" s="576"/>
      <c r="D44" s="577"/>
      <c r="E44" s="574"/>
      <c r="F44" s="540"/>
      <c r="G44" s="540"/>
      <c r="H44" s="46"/>
      <c r="I44" s="46"/>
      <c r="J44" s="46"/>
      <c r="K44" s="46"/>
      <c r="L44" s="46"/>
      <c r="M44" s="544" t="s">
        <v>315</v>
      </c>
      <c r="N44" s="544"/>
      <c r="O44" s="545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1"/>
      <c r="AT44" s="11"/>
      <c r="AU44" s="11"/>
      <c r="AV44" s="11"/>
    </row>
    <row r="45" spans="1:59" s="40" customFormat="1" x14ac:dyDescent="0.3">
      <c r="A45" s="76" t="s">
        <v>40</v>
      </c>
      <c r="B45" s="77">
        <f>'GERAL 2022'!J35</f>
        <v>118.18</v>
      </c>
      <c r="C45" s="78">
        <v>6</v>
      </c>
      <c r="D45" s="77">
        <f t="shared" ref="D45:D99" si="7">B45/C45</f>
        <v>19.696666666666669</v>
      </c>
      <c r="E45" s="574"/>
      <c r="F45" s="540"/>
      <c r="G45" s="540"/>
      <c r="H45" s="11"/>
      <c r="I45" s="11"/>
      <c r="J45" s="87"/>
      <c r="K45" s="87"/>
      <c r="L45" s="87"/>
      <c r="M45" s="527" t="s">
        <v>94</v>
      </c>
      <c r="N45" s="527"/>
      <c r="O45" s="114">
        <f>K31+K36</f>
        <v>1186.4535698241721</v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1"/>
      <c r="AT45" s="11"/>
      <c r="AU45" s="11"/>
      <c r="AV45" s="11"/>
    </row>
    <row r="46" spans="1:59" s="40" customFormat="1" x14ac:dyDescent="0.3">
      <c r="A46" s="12" t="s">
        <v>46</v>
      </c>
      <c r="B46" s="2">
        <f>'GERAL 2023'!H3</f>
        <v>15.019858156028368</v>
      </c>
      <c r="C46" s="88">
        <v>12</v>
      </c>
      <c r="D46" s="2">
        <f t="shared" si="7"/>
        <v>1.2516548463356973</v>
      </c>
      <c r="E46" s="574"/>
      <c r="F46" s="540"/>
      <c r="G46" s="540"/>
      <c r="H46" s="11"/>
      <c r="I46" s="11"/>
      <c r="J46" s="14"/>
      <c r="K46" s="14"/>
      <c r="L46" s="14"/>
      <c r="M46" s="518" t="s">
        <v>260</v>
      </c>
      <c r="N46" s="518"/>
      <c r="O46" s="114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1"/>
      <c r="AT46" s="11"/>
      <c r="AU46" s="11"/>
      <c r="AV46" s="11"/>
    </row>
    <row r="47" spans="1:59" s="40" customFormat="1" x14ac:dyDescent="0.3">
      <c r="A47" s="79" t="s">
        <v>29</v>
      </c>
      <c r="B47" s="80">
        <f>'GERAL 2022'!J4</f>
        <v>118.18</v>
      </c>
      <c r="C47" s="78">
        <v>6</v>
      </c>
      <c r="D47" s="80">
        <f t="shared" si="7"/>
        <v>19.696666666666669</v>
      </c>
      <c r="E47" s="574"/>
      <c r="F47" s="540"/>
      <c r="G47" s="540"/>
      <c r="H47" s="11"/>
      <c r="I47" s="11"/>
      <c r="J47" s="14"/>
      <c r="K47" s="14"/>
      <c r="L47" s="14"/>
      <c r="M47" s="520"/>
      <c r="N47" s="520"/>
      <c r="O47" s="52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1"/>
      <c r="AT47" s="11"/>
      <c r="AU47" s="11"/>
      <c r="AV47" s="11"/>
    </row>
    <row r="48" spans="1:59" s="40" customFormat="1" x14ac:dyDescent="0.3">
      <c r="A48" s="12" t="s">
        <v>30</v>
      </c>
      <c r="B48" s="2">
        <f>'GERAL 2023'!H4</f>
        <v>15.019858156028368</v>
      </c>
      <c r="C48" s="88">
        <v>12</v>
      </c>
      <c r="D48" s="2">
        <f t="shared" si="7"/>
        <v>1.2516548463356973</v>
      </c>
      <c r="E48" s="574"/>
      <c r="F48" s="540"/>
      <c r="G48" s="540"/>
      <c r="H48" s="11"/>
      <c r="I48" s="11"/>
      <c r="J48" s="62"/>
      <c r="K48" s="62"/>
      <c r="L48" s="62"/>
      <c r="M48" s="520"/>
      <c r="N48" s="520"/>
      <c r="O48" s="52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1"/>
      <c r="AT48" s="11"/>
      <c r="AU48" s="11"/>
      <c r="AV48" s="11"/>
    </row>
    <row r="49" spans="1:48" s="40" customFormat="1" ht="14.4" x14ac:dyDescent="0.3">
      <c r="A49" s="79" t="s">
        <v>65</v>
      </c>
      <c r="B49" s="80">
        <f>'GERAL 2022'!J5</f>
        <v>117.85</v>
      </c>
      <c r="C49" s="78">
        <v>6</v>
      </c>
      <c r="D49" s="80">
        <f t="shared" si="7"/>
        <v>19.641666666666666</v>
      </c>
      <c r="E49" s="574"/>
      <c r="F49" s="540"/>
      <c r="G49" s="540"/>
      <c r="H49" s="11"/>
      <c r="I49" s="11"/>
      <c r="J49" s="14"/>
      <c r="K49" s="14"/>
      <c r="L49" s="14"/>
      <c r="M49" s="529" t="s">
        <v>12</v>
      </c>
      <c r="N49" s="529"/>
      <c r="O49" s="529"/>
      <c r="P49" s="175"/>
      <c r="Q49" s="178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1"/>
      <c r="AT49" s="11"/>
      <c r="AU49" s="11"/>
      <c r="AV49" s="11"/>
    </row>
    <row r="50" spans="1:48" s="11" customFormat="1" ht="15" customHeight="1" x14ac:dyDescent="0.3">
      <c r="A50" s="12" t="s">
        <v>62</v>
      </c>
      <c r="B50" s="2">
        <f>'GERAL 2023'!H5</f>
        <v>15.019858156028368</v>
      </c>
      <c r="C50" s="88">
        <v>12</v>
      </c>
      <c r="D50" s="2">
        <f t="shared" si="7"/>
        <v>1.2516548463356973</v>
      </c>
      <c r="E50" s="574"/>
      <c r="F50" s="540"/>
      <c r="G50" s="540"/>
      <c r="J50" s="63"/>
      <c r="K50" s="63"/>
      <c r="L50" s="63"/>
      <c r="M50" s="514" t="s">
        <v>200</v>
      </c>
      <c r="N50" s="514"/>
      <c r="O50" s="2">
        <v>19.7</v>
      </c>
      <c r="P50" s="175"/>
      <c r="Q50" s="178"/>
    </row>
    <row r="51" spans="1:48" s="11" customFormat="1" ht="14.4" x14ac:dyDescent="0.3">
      <c r="A51" s="79" t="s">
        <v>60</v>
      </c>
      <c r="B51" s="80">
        <f>'GERAL 2022'!J6</f>
        <v>117.85</v>
      </c>
      <c r="C51" s="78">
        <v>6</v>
      </c>
      <c r="D51" s="80">
        <f t="shared" si="7"/>
        <v>19.641666666666666</v>
      </c>
      <c r="E51" s="574"/>
      <c r="F51" s="540"/>
      <c r="G51" s="540"/>
      <c r="J51" s="14"/>
      <c r="K51" s="14"/>
      <c r="L51" s="14"/>
      <c r="M51" s="514" t="s">
        <v>364</v>
      </c>
      <c r="N51" s="514"/>
      <c r="O51" s="2">
        <v>19.64</v>
      </c>
      <c r="P51" s="175"/>
      <c r="Q51" s="178"/>
    </row>
    <row r="52" spans="1:48" s="11" customFormat="1" ht="15" customHeight="1" x14ac:dyDescent="0.3">
      <c r="A52" s="12" t="s">
        <v>61</v>
      </c>
      <c r="B52" s="2">
        <f>'GERAL 2023'!H6</f>
        <v>15.019858156028368</v>
      </c>
      <c r="C52" s="88">
        <v>12</v>
      </c>
      <c r="D52" s="2">
        <f t="shared" si="7"/>
        <v>1.2516548463356973</v>
      </c>
      <c r="E52" s="574"/>
      <c r="F52" s="540"/>
      <c r="G52" s="540"/>
      <c r="J52" s="63"/>
      <c r="K52" s="63"/>
      <c r="L52" s="63"/>
      <c r="M52" s="514" t="s">
        <v>708</v>
      </c>
      <c r="N52" s="514"/>
      <c r="O52" s="2">
        <v>19.7</v>
      </c>
      <c r="P52" s="190"/>
      <c r="Q52" s="178"/>
    </row>
    <row r="53" spans="1:48" s="11" customFormat="1" ht="14.4" x14ac:dyDescent="0.3">
      <c r="A53" s="79" t="s">
        <v>31</v>
      </c>
      <c r="B53" s="80">
        <f>'GERAL 2023'!J7</f>
        <v>118.18</v>
      </c>
      <c r="C53" s="78">
        <v>6</v>
      </c>
      <c r="D53" s="80">
        <f>B53/C53</f>
        <v>19.696666666666669</v>
      </c>
      <c r="E53" s="574"/>
      <c r="F53" s="540"/>
      <c r="G53" s="540"/>
      <c r="J53" s="14"/>
      <c r="K53" s="14"/>
      <c r="L53" s="14"/>
      <c r="M53" s="514" t="s">
        <v>450</v>
      </c>
      <c r="N53" s="514"/>
      <c r="O53" s="2">
        <v>19.89</v>
      </c>
      <c r="P53" s="175"/>
      <c r="Q53" s="178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</row>
    <row r="54" spans="1:48" s="11" customFormat="1" ht="14.4" x14ac:dyDescent="0.3">
      <c r="A54" s="12" t="s">
        <v>32</v>
      </c>
      <c r="B54" s="2">
        <f>'GERAL 2023'!H7</f>
        <v>15.019858156028368</v>
      </c>
      <c r="C54" s="88">
        <v>12</v>
      </c>
      <c r="D54" s="2">
        <f t="shared" si="7"/>
        <v>1.2516548463356973</v>
      </c>
      <c r="E54" s="574"/>
      <c r="F54" s="540"/>
      <c r="G54" s="540"/>
      <c r="J54" s="63"/>
      <c r="K54" s="63"/>
      <c r="L54" s="63"/>
      <c r="M54" s="514" t="s">
        <v>367</v>
      </c>
      <c r="N54" s="514"/>
      <c r="O54" s="2">
        <v>19.7</v>
      </c>
      <c r="P54" s="175"/>
      <c r="Q54" s="178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</row>
    <row r="55" spans="1:48" s="11" customFormat="1" ht="14.4" x14ac:dyDescent="0.3">
      <c r="A55" s="79" t="s">
        <v>57</v>
      </c>
      <c r="B55" s="80">
        <f>'GERAL 2022'!J36</f>
        <v>119.36</v>
      </c>
      <c r="C55" s="78">
        <v>6</v>
      </c>
      <c r="D55" s="80">
        <f t="shared" si="7"/>
        <v>19.893333333333334</v>
      </c>
      <c r="E55" s="574"/>
      <c r="F55" s="540"/>
      <c r="G55" s="540"/>
      <c r="J55" s="14"/>
      <c r="K55" s="14"/>
      <c r="L55" s="14"/>
      <c r="M55" s="514" t="s">
        <v>383</v>
      </c>
      <c r="N55" s="514"/>
      <c r="O55" s="2">
        <v>19.64</v>
      </c>
      <c r="P55" s="175"/>
      <c r="Q55" s="185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</row>
    <row r="56" spans="1:48" s="11" customFormat="1" ht="14.4" x14ac:dyDescent="0.3">
      <c r="A56" s="79"/>
      <c r="B56" s="80"/>
      <c r="C56" s="78"/>
      <c r="D56" s="80"/>
      <c r="E56" s="574"/>
      <c r="F56" s="540"/>
      <c r="G56" s="540"/>
      <c r="J56" s="14"/>
      <c r="K56" s="14"/>
      <c r="L56" s="14"/>
      <c r="M56" s="514" t="s">
        <v>375</v>
      </c>
      <c r="N56" s="514"/>
      <c r="O56" s="2">
        <v>19.649999999999999</v>
      </c>
      <c r="P56" s="175"/>
      <c r="Q56" s="185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</row>
    <row r="57" spans="1:48" s="11" customFormat="1" ht="12.75" customHeight="1" x14ac:dyDescent="0.3">
      <c r="A57" s="12" t="s">
        <v>58</v>
      </c>
      <c r="B57" s="2">
        <f>'GERAL 2023'!H8</f>
        <v>21.027801418439715</v>
      </c>
      <c r="C57" s="88">
        <v>12</v>
      </c>
      <c r="D57" s="2">
        <f t="shared" si="7"/>
        <v>1.7523167848699763</v>
      </c>
      <c r="E57" s="574"/>
      <c r="F57" s="540"/>
      <c r="G57" s="540"/>
      <c r="J57" s="63"/>
      <c r="K57" s="63"/>
      <c r="L57" s="63"/>
      <c r="M57" s="514" t="s">
        <v>147</v>
      </c>
      <c r="N57" s="514"/>
      <c r="O57" s="2">
        <v>19.82</v>
      </c>
      <c r="P57" s="175"/>
      <c r="Q57" s="178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</row>
    <row r="58" spans="1:48" s="11" customFormat="1" ht="14.4" x14ac:dyDescent="0.3">
      <c r="A58" s="79" t="s">
        <v>63</v>
      </c>
      <c r="B58" s="80">
        <f>'GERAL 2022'!J9</f>
        <v>118.18</v>
      </c>
      <c r="C58" s="78">
        <v>6</v>
      </c>
      <c r="D58" s="80">
        <f t="shared" si="7"/>
        <v>19.696666666666669</v>
      </c>
      <c r="E58" s="574"/>
      <c r="F58" s="540"/>
      <c r="G58" s="540"/>
      <c r="J58" s="14"/>
      <c r="K58" s="14"/>
      <c r="L58" s="14"/>
      <c r="M58" s="514" t="s">
        <v>148</v>
      </c>
      <c r="N58" s="514"/>
      <c r="O58" s="2">
        <v>19.760000000000002</v>
      </c>
      <c r="P58" s="175"/>
      <c r="Q58" s="178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</row>
    <row r="59" spans="1:48" s="11" customFormat="1" ht="15" customHeight="1" x14ac:dyDescent="0.3">
      <c r="A59" s="12" t="s">
        <v>64</v>
      </c>
      <c r="B59" s="2">
        <f>'GERAL 2023'!H9</f>
        <v>15.019858156028368</v>
      </c>
      <c r="C59" s="88">
        <v>12</v>
      </c>
      <c r="D59" s="2">
        <f t="shared" si="7"/>
        <v>1.2516548463356973</v>
      </c>
      <c r="E59" s="574"/>
      <c r="F59" s="540"/>
      <c r="G59" s="540"/>
      <c r="J59" s="63"/>
      <c r="K59" s="63"/>
      <c r="L59" s="63"/>
      <c r="M59" s="514" t="s">
        <v>205</v>
      </c>
      <c r="N59" s="514"/>
      <c r="O59" s="2">
        <v>19.809999999999999</v>
      </c>
      <c r="Q59" s="14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</row>
    <row r="60" spans="1:48" s="11" customFormat="1" ht="14.4" x14ac:dyDescent="0.3">
      <c r="A60" s="79" t="s">
        <v>33</v>
      </c>
      <c r="B60" s="80">
        <f>'GERAL 2022'!J37</f>
        <v>118.18</v>
      </c>
      <c r="C60" s="78">
        <v>6</v>
      </c>
      <c r="D60" s="80">
        <f t="shared" si="7"/>
        <v>19.696666666666669</v>
      </c>
      <c r="E60" s="574"/>
      <c r="F60" s="540"/>
      <c r="G60" s="540"/>
      <c r="J60" s="14"/>
      <c r="K60" s="14"/>
      <c r="L60" s="14"/>
      <c r="M60" s="514" t="s">
        <v>369</v>
      </c>
      <c r="N60" s="514"/>
      <c r="O60" s="2">
        <v>19.87</v>
      </c>
      <c r="P60" s="175"/>
      <c r="Q60" s="178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</row>
    <row r="61" spans="1:48" s="11" customFormat="1" ht="13.5" customHeight="1" x14ac:dyDescent="0.3">
      <c r="A61" s="12" t="s">
        <v>34</v>
      </c>
      <c r="B61" s="2">
        <f>'GERAL 2023'!H10</f>
        <v>15.019858156028368</v>
      </c>
      <c r="C61" s="88">
        <v>12</v>
      </c>
      <c r="D61" s="2">
        <f t="shared" si="7"/>
        <v>1.2516548463356973</v>
      </c>
      <c r="E61" s="574"/>
      <c r="F61" s="540"/>
      <c r="G61" s="540"/>
      <c r="J61" s="63"/>
      <c r="K61" s="63"/>
      <c r="L61" s="63"/>
      <c r="M61" s="514" t="s">
        <v>370</v>
      </c>
      <c r="N61" s="514"/>
      <c r="O61" s="2">
        <v>19.559999999999999</v>
      </c>
      <c r="P61" s="175"/>
      <c r="Q61" s="178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</row>
    <row r="62" spans="1:48" s="11" customFormat="1" ht="14.4" x14ac:dyDescent="0.3">
      <c r="A62" s="79" t="s">
        <v>41</v>
      </c>
      <c r="B62" s="80">
        <f>'GERAL 2022'!J11</f>
        <v>118.18</v>
      </c>
      <c r="C62" s="78">
        <v>6</v>
      </c>
      <c r="D62" s="80">
        <f t="shared" si="7"/>
        <v>19.696666666666669</v>
      </c>
      <c r="E62" s="574"/>
      <c r="F62" s="540"/>
      <c r="G62" s="540"/>
      <c r="M62" s="514" t="s">
        <v>371</v>
      </c>
      <c r="N62" s="514"/>
      <c r="O62" s="2">
        <v>19.559999999999999</v>
      </c>
      <c r="P62" s="175"/>
      <c r="Q62" s="178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</row>
    <row r="63" spans="1:48" s="11" customFormat="1" ht="14.4" x14ac:dyDescent="0.3">
      <c r="A63" s="12" t="s">
        <v>42</v>
      </c>
      <c r="B63" s="2">
        <f>'GERAL 2023'!H11</f>
        <v>15.019858156028368</v>
      </c>
      <c r="C63" s="88">
        <v>12</v>
      </c>
      <c r="D63" s="2">
        <f t="shared" si="7"/>
        <v>1.2516548463356973</v>
      </c>
      <c r="E63" s="574"/>
      <c r="F63" s="540"/>
      <c r="G63" s="540"/>
      <c r="J63" s="63"/>
      <c r="K63" s="63"/>
      <c r="L63" s="63"/>
      <c r="M63" s="514" t="s">
        <v>372</v>
      </c>
      <c r="N63" s="514"/>
      <c r="O63" s="2">
        <v>19.649999999999999</v>
      </c>
      <c r="P63" s="175"/>
      <c r="Q63" s="178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</row>
    <row r="64" spans="1:48" s="11" customFormat="1" ht="14.4" x14ac:dyDescent="0.3">
      <c r="A64" s="79" t="s">
        <v>66</v>
      </c>
      <c r="B64" s="80">
        <f>'GERAL 2022'!J38</f>
        <v>117.85</v>
      </c>
      <c r="C64" s="78">
        <v>6</v>
      </c>
      <c r="D64" s="80">
        <f t="shared" si="7"/>
        <v>19.641666666666666</v>
      </c>
      <c r="E64" s="574"/>
      <c r="F64" s="540"/>
      <c r="G64" s="540"/>
      <c r="J64" s="14"/>
      <c r="K64" s="14"/>
      <c r="L64" s="14"/>
      <c r="M64" s="514" t="s">
        <v>374</v>
      </c>
      <c r="N64" s="514"/>
      <c r="O64" s="2">
        <v>19.649999999999999</v>
      </c>
      <c r="P64" s="175"/>
      <c r="Q64" s="185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</row>
    <row r="65" spans="1:47" s="11" customFormat="1" ht="14.4" x14ac:dyDescent="0.3">
      <c r="A65" s="12" t="s">
        <v>67</v>
      </c>
      <c r="B65" s="2">
        <f>'GERAL 2023'!H12</f>
        <v>15.019858156028368</v>
      </c>
      <c r="C65" s="88">
        <v>12</v>
      </c>
      <c r="D65" s="2">
        <f t="shared" si="7"/>
        <v>1.2516548463356973</v>
      </c>
      <c r="E65" s="574"/>
      <c r="F65" s="540"/>
      <c r="G65" s="540"/>
      <c r="J65" s="63"/>
      <c r="K65" s="63"/>
      <c r="L65" s="63"/>
      <c r="M65" s="514" t="s">
        <v>89</v>
      </c>
      <c r="N65" s="514"/>
      <c r="O65" s="2">
        <v>19.68</v>
      </c>
      <c r="P65" s="175"/>
      <c r="Q65" s="176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</row>
    <row r="66" spans="1:47" s="11" customFormat="1" ht="14.4" x14ac:dyDescent="0.3">
      <c r="A66" s="79" t="s">
        <v>14</v>
      </c>
      <c r="B66" s="80">
        <f>'GERAL 2022'!J13</f>
        <v>117.85</v>
      </c>
      <c r="C66" s="78">
        <v>6</v>
      </c>
      <c r="D66" s="80">
        <f t="shared" si="7"/>
        <v>19.641666666666666</v>
      </c>
      <c r="E66" s="574"/>
      <c r="F66" s="540"/>
      <c r="G66" s="540"/>
      <c r="J66" s="14"/>
      <c r="K66" s="14"/>
      <c r="L66" s="14"/>
      <c r="M66" s="542" t="s">
        <v>709</v>
      </c>
      <c r="N66" s="542"/>
      <c r="O66" s="2">
        <f>120*4</f>
        <v>480</v>
      </c>
      <c r="P66" s="175"/>
      <c r="Q66" s="176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</row>
    <row r="67" spans="1:47" s="11" customFormat="1" ht="14.4" x14ac:dyDescent="0.3">
      <c r="A67" s="12" t="s">
        <v>15</v>
      </c>
      <c r="B67" s="2">
        <f>'GERAL 2023'!H13</f>
        <v>15.019858156028368</v>
      </c>
      <c r="C67" s="88">
        <v>12</v>
      </c>
      <c r="D67" s="2">
        <f t="shared" si="7"/>
        <v>1.2516548463356973</v>
      </c>
      <c r="E67" s="574"/>
      <c r="F67" s="540"/>
      <c r="G67" s="540"/>
      <c r="J67" s="87"/>
      <c r="K67" s="87"/>
      <c r="L67" s="87"/>
      <c r="M67" s="520" t="s">
        <v>126</v>
      </c>
      <c r="N67" s="520"/>
      <c r="O67" s="2">
        <v>110.33</v>
      </c>
      <c r="P67" s="175"/>
      <c r="Q67" s="176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</row>
    <row r="68" spans="1:47" s="11" customFormat="1" ht="14.4" x14ac:dyDescent="0.3">
      <c r="A68" s="79" t="s">
        <v>55</v>
      </c>
      <c r="B68" s="80">
        <f>'GERAL 2022'!J14</f>
        <v>117.85</v>
      </c>
      <c r="C68" s="78">
        <v>6</v>
      </c>
      <c r="D68" s="80">
        <f t="shared" si="7"/>
        <v>19.641666666666666</v>
      </c>
      <c r="E68" s="574"/>
      <c r="F68" s="540"/>
      <c r="G68" s="540"/>
      <c r="M68" s="563" t="s">
        <v>127</v>
      </c>
      <c r="N68" s="563"/>
      <c r="O68" s="2">
        <v>1347.3</v>
      </c>
      <c r="P68" s="175"/>
      <c r="Q68" s="176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</row>
    <row r="69" spans="1:47" s="11" customFormat="1" ht="14.4" x14ac:dyDescent="0.3">
      <c r="A69" s="12" t="s">
        <v>56</v>
      </c>
      <c r="B69" s="2">
        <f>'GERAL 2023'!H14</f>
        <v>15.019858156028368</v>
      </c>
      <c r="C69" s="88">
        <v>12</v>
      </c>
      <c r="D69" s="2">
        <f t="shared" si="7"/>
        <v>1.2516548463356973</v>
      </c>
      <c r="E69" s="574"/>
      <c r="F69" s="540"/>
      <c r="G69" s="540"/>
      <c r="M69" s="520" t="s">
        <v>711</v>
      </c>
      <c r="N69" s="520"/>
      <c r="O69" s="5">
        <v>21.5</v>
      </c>
      <c r="P69" s="175"/>
      <c r="Q69" s="176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</row>
    <row r="70" spans="1:47" s="11" customFormat="1" ht="14.4" x14ac:dyDescent="0.3">
      <c r="A70" s="79" t="s">
        <v>35</v>
      </c>
      <c r="B70" s="80">
        <f>'GERAL 2022'!J15</f>
        <v>117.85</v>
      </c>
      <c r="C70" s="78">
        <v>6</v>
      </c>
      <c r="D70" s="80">
        <f t="shared" si="7"/>
        <v>19.641666666666666</v>
      </c>
      <c r="E70" s="574"/>
      <c r="F70" s="540"/>
      <c r="G70" s="540"/>
      <c r="M70" s="516" t="s">
        <v>710</v>
      </c>
      <c r="N70" s="517"/>
      <c r="O70" s="141">
        <v>525.46</v>
      </c>
      <c r="P70" s="175"/>
      <c r="Q70" s="178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</row>
    <row r="71" spans="1:47" s="11" customFormat="1" ht="14.4" x14ac:dyDescent="0.3">
      <c r="A71" s="12" t="s">
        <v>36</v>
      </c>
      <c r="B71" s="2">
        <f>'GERAL 2023'!H15</f>
        <v>15.019858156028368</v>
      </c>
      <c r="C71" s="88">
        <v>12</v>
      </c>
      <c r="D71" s="2">
        <f t="shared" si="7"/>
        <v>1.2516548463356973</v>
      </c>
      <c r="E71" s="574"/>
      <c r="F71" s="540"/>
      <c r="G71" s="540"/>
      <c r="J71" s="14"/>
      <c r="K71" s="14"/>
      <c r="L71" s="14"/>
      <c r="M71" s="520" t="s">
        <v>716</v>
      </c>
      <c r="N71" s="520"/>
      <c r="O71" s="5">
        <v>40</v>
      </c>
      <c r="P71" s="175"/>
      <c r="Q71" s="178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</row>
    <row r="72" spans="1:47" s="11" customFormat="1" ht="14.4" x14ac:dyDescent="0.3">
      <c r="A72" s="79" t="s">
        <v>47</v>
      </c>
      <c r="B72" s="80">
        <f>'GERAL 2022'!J39</f>
        <v>118.18</v>
      </c>
      <c r="C72" s="78">
        <v>6</v>
      </c>
      <c r="D72" s="80">
        <f t="shared" si="7"/>
        <v>19.696666666666669</v>
      </c>
      <c r="E72" s="574"/>
      <c r="F72" s="540"/>
      <c r="G72" s="540"/>
      <c r="J72" s="15"/>
      <c r="K72" s="15"/>
      <c r="L72" s="15"/>
      <c r="M72" s="563"/>
      <c r="N72" s="563"/>
      <c r="O72" s="141"/>
      <c r="P72" s="175"/>
      <c r="Q72" s="178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</row>
    <row r="73" spans="1:47" s="11" customFormat="1" ht="14.4" x14ac:dyDescent="0.3">
      <c r="A73" s="12" t="s">
        <v>48</v>
      </c>
      <c r="B73" s="2">
        <f>'GERAL 2023'!H16</f>
        <v>15.019858156028368</v>
      </c>
      <c r="C73" s="88">
        <v>12</v>
      </c>
      <c r="D73" s="2">
        <f t="shared" si="7"/>
        <v>1.2516548463356973</v>
      </c>
      <c r="E73" s="574"/>
      <c r="F73" s="540"/>
      <c r="G73" s="540"/>
      <c r="J73" s="14"/>
      <c r="K73" s="14"/>
      <c r="L73" s="14"/>
      <c r="M73" s="520"/>
      <c r="N73" s="520"/>
      <c r="O73" s="165"/>
      <c r="P73" s="175"/>
      <c r="Q73" s="178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</row>
    <row r="74" spans="1:47" s="11" customFormat="1" ht="14.4" x14ac:dyDescent="0.3">
      <c r="A74" s="79" t="s">
        <v>16</v>
      </c>
      <c r="B74" s="80">
        <f>'GERAL 2023'!J36</f>
        <v>119.02</v>
      </c>
      <c r="C74" s="78">
        <v>6</v>
      </c>
      <c r="D74" s="80">
        <f t="shared" si="7"/>
        <v>19.836666666666666</v>
      </c>
      <c r="E74" s="574"/>
      <c r="F74" s="540"/>
      <c r="G74" s="540"/>
      <c r="J74" s="14"/>
      <c r="K74" s="14"/>
      <c r="L74" s="14"/>
      <c r="M74" s="518" t="s">
        <v>26</v>
      </c>
      <c r="N74" s="518"/>
      <c r="O74" s="109">
        <f>SUM(O45:O73)</f>
        <v>4026.3235698241724</v>
      </c>
      <c r="P74" s="175"/>
      <c r="Q74" s="178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</row>
    <row r="75" spans="1:47" s="11" customFormat="1" ht="14.4" x14ac:dyDescent="0.3">
      <c r="A75" s="12" t="s">
        <v>17</v>
      </c>
      <c r="B75" s="2">
        <f>'GERAL 2023'!H36</f>
        <v>21.027801418439715</v>
      </c>
      <c r="C75" s="88">
        <v>12</v>
      </c>
      <c r="D75" s="2">
        <f t="shared" si="7"/>
        <v>1.7523167848699763</v>
      </c>
      <c r="E75" s="574"/>
      <c r="F75" s="540"/>
      <c r="G75" s="540"/>
      <c r="J75" s="14"/>
      <c r="K75" s="14"/>
      <c r="L75" s="14"/>
      <c r="M75" s="543"/>
      <c r="N75" s="543"/>
      <c r="O75" s="135"/>
      <c r="P75" s="175"/>
      <c r="Q75" s="178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</row>
    <row r="76" spans="1:47" s="11" customFormat="1" x14ac:dyDescent="0.3">
      <c r="A76" s="79" t="s">
        <v>27</v>
      </c>
      <c r="B76" s="80">
        <f>'GERAL 2023'!J37</f>
        <v>118.68</v>
      </c>
      <c r="C76" s="78">
        <v>6</v>
      </c>
      <c r="D76" s="80">
        <f t="shared" si="7"/>
        <v>19.78</v>
      </c>
      <c r="E76" s="574"/>
      <c r="F76" s="540"/>
      <c r="G76" s="540"/>
      <c r="J76" s="14"/>
      <c r="K76" s="14"/>
      <c r="L76" s="14"/>
      <c r="M76" s="564" t="s">
        <v>11</v>
      </c>
      <c r="N76" s="565"/>
      <c r="O76" s="153">
        <f>J31+J36</f>
        <v>16949.336711773885</v>
      </c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</row>
    <row r="77" spans="1:47" s="69" customFormat="1" x14ac:dyDescent="0.3">
      <c r="A77" s="12" t="s">
        <v>28</v>
      </c>
      <c r="B77" s="2">
        <f>'GERAL 2023'!H37</f>
        <v>15.019858156028368</v>
      </c>
      <c r="C77" s="88">
        <v>12</v>
      </c>
      <c r="D77" s="2">
        <f t="shared" si="7"/>
        <v>1.2516548463356973</v>
      </c>
      <c r="E77" s="574"/>
      <c r="F77" s="540"/>
      <c r="G77" s="540"/>
      <c r="H77" s="11"/>
      <c r="I77" s="11"/>
      <c r="J77" s="14"/>
      <c r="K77" s="14"/>
      <c r="L77" s="14"/>
      <c r="M77" s="518"/>
      <c r="N77" s="518"/>
      <c r="O77" s="519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</row>
    <row r="78" spans="1:47" s="69" customFormat="1" x14ac:dyDescent="0.3">
      <c r="A78" s="79" t="s">
        <v>18</v>
      </c>
      <c r="B78" s="80">
        <f>'GERAL 2022'!J41</f>
        <v>118.18</v>
      </c>
      <c r="C78" s="78">
        <v>6</v>
      </c>
      <c r="D78" s="80">
        <f t="shared" si="7"/>
        <v>19.696666666666669</v>
      </c>
      <c r="E78" s="574"/>
      <c r="F78" s="540"/>
      <c r="G78" s="540"/>
      <c r="H78" s="11"/>
      <c r="I78" s="11"/>
      <c r="J78" s="14"/>
      <c r="K78" s="14"/>
      <c r="L78" s="14"/>
      <c r="M78" s="513" t="s">
        <v>13</v>
      </c>
      <c r="N78" s="513"/>
      <c r="O78" s="151">
        <f>O76-O74</f>
        <v>12923.013141949712</v>
      </c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</row>
    <row r="79" spans="1:47" s="69" customFormat="1" x14ac:dyDescent="0.3">
      <c r="A79" s="12" t="s">
        <v>19</v>
      </c>
      <c r="B79" s="2">
        <f>'GERAL 2023'!H19</f>
        <v>15.019858156028368</v>
      </c>
      <c r="C79" s="88">
        <v>12</v>
      </c>
      <c r="D79" s="2">
        <f>B79/C79</f>
        <v>1.2516548463356973</v>
      </c>
      <c r="E79" s="574"/>
      <c r="F79" s="540"/>
      <c r="G79" s="540"/>
      <c r="H79" s="11"/>
      <c r="I79" s="11"/>
      <c r="J79" s="14"/>
      <c r="K79" s="14"/>
      <c r="L79" s="14"/>
      <c r="M79" s="124"/>
      <c r="N79" s="124"/>
      <c r="O79" s="57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</row>
    <row r="80" spans="1:47" s="69" customFormat="1" x14ac:dyDescent="0.3">
      <c r="A80" s="79" t="s">
        <v>37</v>
      </c>
      <c r="B80" s="80">
        <f>'GERAL 2022'!J42</f>
        <v>118.92</v>
      </c>
      <c r="C80" s="78">
        <v>6</v>
      </c>
      <c r="D80" s="80">
        <f t="shared" si="7"/>
        <v>19.82</v>
      </c>
      <c r="E80" s="574"/>
      <c r="F80" s="540"/>
      <c r="G80" s="540"/>
      <c r="H80" s="11"/>
      <c r="I80" s="11"/>
      <c r="J80" s="14"/>
      <c r="K80" s="14"/>
      <c r="L80" s="14"/>
      <c r="M80" s="124"/>
      <c r="N80" s="124"/>
      <c r="O80" s="57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</row>
    <row r="81" spans="1:47" s="69" customFormat="1" x14ac:dyDescent="0.3">
      <c r="A81" s="12" t="s">
        <v>38</v>
      </c>
      <c r="B81" s="2">
        <f>'GERAL 2023'!H20</f>
        <v>15.019858156028368</v>
      </c>
      <c r="C81" s="88">
        <v>12</v>
      </c>
      <c r="D81" s="2">
        <f t="shared" si="7"/>
        <v>1.2516548463356973</v>
      </c>
      <c r="E81" s="574"/>
      <c r="F81" s="540"/>
      <c r="G81" s="540"/>
      <c r="H81" s="11"/>
      <c r="I81" s="11"/>
      <c r="J81" s="14"/>
      <c r="K81" s="14"/>
      <c r="L81" s="14"/>
      <c r="M81" s="124"/>
      <c r="N81" s="124"/>
      <c r="O81" s="57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</row>
    <row r="82" spans="1:47" s="69" customFormat="1" x14ac:dyDescent="0.3">
      <c r="A82" s="79" t="s">
        <v>45</v>
      </c>
      <c r="B82" s="80">
        <f>'GERAL 2022'!J43</f>
        <v>117.85</v>
      </c>
      <c r="C82" s="78">
        <v>6</v>
      </c>
      <c r="D82" s="80">
        <f t="shared" si="7"/>
        <v>19.641666666666666</v>
      </c>
      <c r="E82" s="574"/>
      <c r="F82" s="540"/>
      <c r="G82" s="540"/>
      <c r="H82" s="11"/>
      <c r="I82" s="11"/>
      <c r="J82" s="14"/>
      <c r="K82" s="14"/>
      <c r="L82" s="14"/>
      <c r="M82" s="124"/>
      <c r="N82" s="124"/>
      <c r="O82" s="57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</row>
    <row r="83" spans="1:47" s="69" customFormat="1" x14ac:dyDescent="0.3">
      <c r="A83" s="12" t="s">
        <v>39</v>
      </c>
      <c r="B83" s="2">
        <f>'GERAL 2023'!H21</f>
        <v>15.019858156028368</v>
      </c>
      <c r="C83" s="88">
        <v>12</v>
      </c>
      <c r="D83" s="2">
        <f t="shared" si="7"/>
        <v>1.2516548463356973</v>
      </c>
      <c r="E83" s="574"/>
      <c r="F83" s="540"/>
      <c r="G83" s="540"/>
      <c r="H83" s="11"/>
      <c r="I83" s="11"/>
      <c r="J83" s="14"/>
      <c r="K83" s="14"/>
      <c r="L83" s="14"/>
      <c r="M83" s="15"/>
      <c r="N83" s="14"/>
      <c r="O83" s="57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</row>
    <row r="84" spans="1:47" s="69" customFormat="1" x14ac:dyDescent="0.3">
      <c r="A84" s="81" t="s">
        <v>49</v>
      </c>
      <c r="B84" s="80">
        <f>'GERAL 2022'!J22</f>
        <v>119.12</v>
      </c>
      <c r="C84" s="78">
        <v>6</v>
      </c>
      <c r="D84" s="80">
        <f t="shared" si="7"/>
        <v>19.853333333333335</v>
      </c>
      <c r="E84" s="574"/>
      <c r="F84" s="540"/>
      <c r="G84" s="540"/>
      <c r="H84" s="11"/>
      <c r="I84" s="11"/>
      <c r="J84" s="14"/>
      <c r="K84" s="14"/>
      <c r="L84" s="14"/>
      <c r="M84" s="11"/>
      <c r="N84" s="15"/>
      <c r="O84" s="57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</row>
    <row r="85" spans="1:47" s="69" customFormat="1" x14ac:dyDescent="0.3">
      <c r="A85" s="90" t="s">
        <v>50</v>
      </c>
      <c r="B85" s="2">
        <f>'GERAL 2023'!H22</f>
        <v>15.019858156028368</v>
      </c>
      <c r="C85" s="88">
        <v>12</v>
      </c>
      <c r="D85" s="2">
        <f t="shared" si="7"/>
        <v>1.2516548463356973</v>
      </c>
      <c r="E85" s="574"/>
      <c r="F85" s="540"/>
      <c r="G85" s="540"/>
      <c r="H85" s="11"/>
      <c r="I85" s="11"/>
      <c r="J85" s="14"/>
      <c r="K85" s="14"/>
      <c r="L85" s="14"/>
      <c r="M85" s="11"/>
      <c r="N85" s="11"/>
      <c r="O85" s="57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</row>
    <row r="86" spans="1:47" s="69" customFormat="1" x14ac:dyDescent="0.3">
      <c r="A86" s="81" t="s">
        <v>43</v>
      </c>
      <c r="B86" s="80">
        <f>'GERAL 2022'!J23</f>
        <v>117.26</v>
      </c>
      <c r="C86" s="78">
        <v>6</v>
      </c>
      <c r="D86" s="80">
        <f t="shared" si="7"/>
        <v>19.543333333333333</v>
      </c>
      <c r="E86" s="574"/>
      <c r="F86" s="540"/>
      <c r="G86" s="540"/>
      <c r="H86" s="11"/>
      <c r="I86" s="11"/>
      <c r="J86" s="14"/>
      <c r="K86" s="14"/>
      <c r="L86" s="14"/>
      <c r="M86" s="14"/>
      <c r="N86" s="14"/>
      <c r="O86" s="57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</row>
    <row r="87" spans="1:47" s="69" customFormat="1" x14ac:dyDescent="0.3">
      <c r="A87" s="90" t="s">
        <v>44</v>
      </c>
      <c r="B87" s="2">
        <f>'GERAL 2023'!H23</f>
        <v>15.019858156028368</v>
      </c>
      <c r="C87" s="88">
        <v>12</v>
      </c>
      <c r="D87" s="2">
        <f t="shared" si="7"/>
        <v>1.2516548463356973</v>
      </c>
      <c r="E87" s="574"/>
      <c r="F87" s="540"/>
      <c r="G87" s="540"/>
      <c r="H87" s="11"/>
      <c r="I87" s="11"/>
      <c r="J87" s="14"/>
      <c r="K87" s="14"/>
      <c r="L87" s="14"/>
      <c r="M87" s="14"/>
      <c r="N87" s="15"/>
      <c r="O87" s="57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</row>
    <row r="88" spans="1:47" s="69" customFormat="1" x14ac:dyDescent="0.3">
      <c r="A88" s="81" t="s">
        <v>51</v>
      </c>
      <c r="B88" s="80">
        <f>'GERAL 2022'!J24</f>
        <v>117.26</v>
      </c>
      <c r="C88" s="78">
        <v>6</v>
      </c>
      <c r="D88" s="80">
        <f t="shared" si="7"/>
        <v>19.543333333333333</v>
      </c>
      <c r="E88" s="574"/>
      <c r="F88" s="540"/>
      <c r="G88" s="540"/>
      <c r="J88" s="142"/>
      <c r="K88" s="142"/>
      <c r="L88" s="142"/>
      <c r="M88" s="14"/>
      <c r="N88" s="11"/>
      <c r="O88" s="57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</row>
    <row r="89" spans="1:47" s="70" customFormat="1" x14ac:dyDescent="0.3">
      <c r="A89" s="90" t="s">
        <v>52</v>
      </c>
      <c r="B89" s="2">
        <f>'GERAL 2023'!H24</f>
        <v>15.019858156028368</v>
      </c>
      <c r="C89" s="88">
        <v>12</v>
      </c>
      <c r="D89" s="2">
        <f t="shared" si="7"/>
        <v>1.2516548463356973</v>
      </c>
      <c r="E89" s="574"/>
      <c r="F89" s="540"/>
      <c r="G89" s="540"/>
      <c r="H89" s="63"/>
      <c r="I89" s="63"/>
      <c r="J89" s="69"/>
      <c r="K89" s="69"/>
      <c r="L89" s="69"/>
      <c r="M89" s="14"/>
      <c r="N89" s="11"/>
      <c r="O89" s="57"/>
    </row>
    <row r="90" spans="1:47" s="70" customFormat="1" ht="15" customHeight="1" x14ac:dyDescent="0.3">
      <c r="A90" s="81" t="s">
        <v>53</v>
      </c>
      <c r="B90" s="80">
        <f>'GERAL 2022'!J25</f>
        <v>117.85</v>
      </c>
      <c r="C90" s="78">
        <v>6</v>
      </c>
      <c r="D90" s="80">
        <f t="shared" si="7"/>
        <v>19.641666666666666</v>
      </c>
      <c r="E90" s="574"/>
      <c r="F90" s="540"/>
      <c r="G90" s="540"/>
      <c r="H90" s="11"/>
      <c r="I90" s="63"/>
      <c r="J90" s="142"/>
      <c r="K90" s="142"/>
      <c r="L90" s="142"/>
      <c r="M90" s="11"/>
      <c r="N90" s="11"/>
      <c r="O90" s="57"/>
      <c r="AU90" s="69"/>
    </row>
    <row r="91" spans="1:47" s="70" customFormat="1" x14ac:dyDescent="0.3">
      <c r="A91" s="90" t="s">
        <v>54</v>
      </c>
      <c r="B91" s="2">
        <f>'GERAL 2023'!H25</f>
        <v>15.019858156028368</v>
      </c>
      <c r="C91" s="88">
        <v>12</v>
      </c>
      <c r="D91" s="2">
        <f t="shared" si="7"/>
        <v>1.2516548463356973</v>
      </c>
      <c r="E91" s="574"/>
      <c r="F91" s="540"/>
      <c r="G91" s="540"/>
      <c r="H91" s="142"/>
      <c r="I91" s="142"/>
      <c r="J91" s="142"/>
      <c r="K91" s="142"/>
      <c r="L91" s="142"/>
      <c r="M91" s="11"/>
      <c r="N91" s="14"/>
      <c r="O91" s="57"/>
      <c r="AU91" s="69"/>
    </row>
    <row r="92" spans="1:47" s="70" customFormat="1" x14ac:dyDescent="0.3">
      <c r="A92" s="81" t="s">
        <v>78</v>
      </c>
      <c r="B92" s="80">
        <f>'GERAL 2022'!J26</f>
        <v>119.02</v>
      </c>
      <c r="C92" s="78">
        <v>6</v>
      </c>
      <c r="D92" s="80">
        <f t="shared" si="7"/>
        <v>19.836666666666666</v>
      </c>
      <c r="E92" s="574"/>
      <c r="F92" s="540"/>
      <c r="G92" s="540"/>
      <c r="H92" s="11"/>
      <c r="I92" s="63"/>
      <c r="J92" s="142"/>
      <c r="K92" s="142"/>
      <c r="L92" s="142"/>
      <c r="M92" s="11"/>
      <c r="N92" s="14"/>
      <c r="O92" s="57"/>
      <c r="AU92" s="69"/>
    </row>
    <row r="93" spans="1:47" s="70" customFormat="1" x14ac:dyDescent="0.3">
      <c r="A93" s="90" t="s">
        <v>79</v>
      </c>
      <c r="B93" s="2">
        <f>'GERAL 2023'!H26</f>
        <v>21.027801418439715</v>
      </c>
      <c r="C93" s="88">
        <v>12</v>
      </c>
      <c r="D93" s="2">
        <f t="shared" si="7"/>
        <v>1.7523167848699763</v>
      </c>
      <c r="E93" s="574"/>
      <c r="F93" s="540"/>
      <c r="G93" s="540"/>
      <c r="H93" s="142"/>
      <c r="I93" s="142"/>
      <c r="J93" s="142"/>
      <c r="K93" s="142"/>
      <c r="L93" s="142"/>
      <c r="M93" s="11"/>
      <c r="N93" s="14"/>
      <c r="O93" s="57"/>
      <c r="AU93" s="69"/>
    </row>
    <row r="94" spans="1:47" s="70" customFormat="1" x14ac:dyDescent="0.3">
      <c r="A94" s="81" t="s">
        <v>80</v>
      </c>
      <c r="B94" s="80">
        <f>'GERAL 2022'!J44</f>
        <v>118.53</v>
      </c>
      <c r="C94" s="78">
        <v>6</v>
      </c>
      <c r="D94" s="80">
        <f t="shared" si="7"/>
        <v>19.754999999999999</v>
      </c>
      <c r="E94" s="574"/>
      <c r="F94" s="540"/>
      <c r="G94" s="540"/>
      <c r="H94" s="11"/>
      <c r="I94" s="63"/>
      <c r="J94" s="142"/>
      <c r="K94" s="142"/>
      <c r="L94" s="142"/>
      <c r="M94" s="11"/>
      <c r="N94" s="14"/>
      <c r="O94" s="57"/>
      <c r="AU94" s="69"/>
    </row>
    <row r="95" spans="1:47" s="70" customFormat="1" x14ac:dyDescent="0.3">
      <c r="A95" s="90" t="s">
        <v>81</v>
      </c>
      <c r="B95" s="2">
        <f>'GERAL 2023'!H27</f>
        <v>15.019858156028368</v>
      </c>
      <c r="C95" s="88">
        <v>12</v>
      </c>
      <c r="D95" s="2">
        <f t="shared" si="7"/>
        <v>1.2516548463356973</v>
      </c>
      <c r="E95" s="574"/>
      <c r="F95" s="540"/>
      <c r="G95" s="540"/>
      <c r="H95" s="142"/>
      <c r="I95" s="142"/>
      <c r="J95" s="142"/>
      <c r="K95" s="142"/>
      <c r="L95" s="142"/>
      <c r="M95" s="11"/>
      <c r="N95" s="11"/>
      <c r="O95" s="57"/>
      <c r="AU95" s="69"/>
    </row>
    <row r="96" spans="1:47" s="70" customFormat="1" x14ac:dyDescent="0.3">
      <c r="A96" s="81" t="s">
        <v>82</v>
      </c>
      <c r="B96" s="80">
        <f>'GERAL 2022'!J28</f>
        <v>117.95</v>
      </c>
      <c r="C96" s="78">
        <v>6</v>
      </c>
      <c r="D96" s="80">
        <f t="shared" si="7"/>
        <v>19.658333333333335</v>
      </c>
      <c r="E96" s="574"/>
      <c r="F96" s="540"/>
      <c r="G96" s="540"/>
      <c r="H96" s="11"/>
      <c r="I96" s="63"/>
      <c r="J96" s="142"/>
      <c r="K96" s="142"/>
      <c r="L96" s="142"/>
      <c r="M96" s="11"/>
      <c r="N96" s="11"/>
      <c r="O96" s="57"/>
      <c r="AU96" s="69"/>
    </row>
    <row r="97" spans="1:47" s="70" customFormat="1" x14ac:dyDescent="0.3">
      <c r="A97" s="90" t="s">
        <v>83</v>
      </c>
      <c r="B97" s="2">
        <f>'GERAL 2023'!H28</f>
        <v>15.019858156028368</v>
      </c>
      <c r="C97" s="88">
        <v>12</v>
      </c>
      <c r="D97" s="2">
        <f t="shared" si="7"/>
        <v>1.2516548463356973</v>
      </c>
      <c r="E97" s="574"/>
      <c r="F97" s="540"/>
      <c r="G97" s="540"/>
      <c r="H97" s="142"/>
      <c r="I97" s="142"/>
      <c r="J97" s="142"/>
      <c r="K97" s="142"/>
      <c r="L97" s="142"/>
      <c r="M97" s="69"/>
      <c r="N97" s="69"/>
      <c r="O97" s="69"/>
      <c r="AU97" s="69"/>
    </row>
    <row r="98" spans="1:47" s="70" customFormat="1" x14ac:dyDescent="0.3">
      <c r="A98" s="81" t="s">
        <v>84</v>
      </c>
      <c r="B98" s="80">
        <f>'GERAL 2022'!J45</f>
        <v>118.18</v>
      </c>
      <c r="C98" s="78">
        <v>6</v>
      </c>
      <c r="D98" s="80">
        <f t="shared" si="7"/>
        <v>19.696666666666669</v>
      </c>
      <c r="E98" s="574"/>
      <c r="F98" s="540"/>
      <c r="G98" s="540"/>
      <c r="H98" s="11"/>
      <c r="I98" s="63"/>
      <c r="J98" s="142"/>
      <c r="K98" s="142"/>
      <c r="L98" s="142"/>
      <c r="M98" s="69"/>
      <c r="N98" s="69"/>
      <c r="O98" s="69"/>
      <c r="AU98" s="69"/>
    </row>
    <row r="99" spans="1:47" s="70" customFormat="1" x14ac:dyDescent="0.3">
      <c r="A99" s="90" t="s">
        <v>85</v>
      </c>
      <c r="B99" s="2">
        <f>'GERAL 2023'!H29</f>
        <v>15.019858156028368</v>
      </c>
      <c r="C99" s="88">
        <v>12</v>
      </c>
      <c r="D99" s="2">
        <f t="shared" si="7"/>
        <v>1.2516548463356973</v>
      </c>
      <c r="E99" s="574"/>
      <c r="F99" s="540"/>
      <c r="G99" s="540"/>
      <c r="H99" s="142"/>
      <c r="I99" s="142"/>
      <c r="J99" s="142"/>
      <c r="K99" s="142"/>
      <c r="L99" s="142"/>
      <c r="M99" s="69"/>
      <c r="N99" s="69"/>
      <c r="O99" s="69"/>
      <c r="AU99" s="69"/>
    </row>
    <row r="100" spans="1:47" s="70" customFormat="1" x14ac:dyDescent="0.3">
      <c r="A100" s="69"/>
      <c r="B100" s="189">
        <f>B46+B48+B50+B52+B54+B57+B59+B61+B63+B65+B67+B69+B71+B73+B75+B77+B79+B81+B83+B85+B87+B89+B91+B93+B95+B97+B99</f>
        <v>423.55999999999989</v>
      </c>
      <c r="C100" s="189">
        <f>C46+C48+C50+C52+C54+C57+C59+C61+C63+C65+C67+C69+C71+C73+C75+C77+C79+C81+C83+C85+C87+C89+C91+C93+C95+C97+C99</f>
        <v>324</v>
      </c>
      <c r="D100" s="189">
        <f>D46+D48+D50+D52+D54+D57+D59+D61+D63+D65+D67+D69+D71+D73+D75+D77+D79+D81+D83+D85+D87+D89+D91+D93+D95+D97+D99</f>
        <v>35.29666666666666</v>
      </c>
      <c r="E100" s="69"/>
      <c r="F100" s="69"/>
      <c r="G100" s="69"/>
      <c r="H100" s="142"/>
      <c r="I100" s="142"/>
      <c r="J100" s="142"/>
      <c r="K100" s="142"/>
      <c r="L100" s="142"/>
      <c r="M100" s="69"/>
      <c r="N100" s="69"/>
      <c r="O100" s="69"/>
      <c r="AU100" s="69"/>
    </row>
    <row r="101" spans="1:47" s="70" customFormat="1" x14ac:dyDescent="0.3">
      <c r="A101" s="69"/>
      <c r="B101" s="69"/>
      <c r="C101" s="69"/>
      <c r="D101" s="69"/>
      <c r="E101" s="69"/>
      <c r="F101" s="69"/>
      <c r="G101" s="69"/>
      <c r="H101" s="69"/>
      <c r="I101" s="69"/>
      <c r="J101" s="142"/>
      <c r="K101" s="142"/>
      <c r="L101" s="142"/>
      <c r="M101" s="69"/>
      <c r="N101" s="69"/>
      <c r="O101" s="69"/>
      <c r="AU101" s="69"/>
    </row>
    <row r="102" spans="1:47" s="70" customFormat="1" x14ac:dyDescent="0.3">
      <c r="A102" s="69"/>
      <c r="B102" s="69"/>
      <c r="C102" s="69"/>
      <c r="D102" s="69"/>
      <c r="E102" s="69"/>
      <c r="F102" s="69"/>
      <c r="G102" s="69"/>
      <c r="H102" s="69"/>
      <c r="I102" s="69"/>
      <c r="J102" s="142"/>
      <c r="K102" s="142"/>
      <c r="L102" s="142"/>
      <c r="M102" s="69"/>
      <c r="N102" s="69"/>
      <c r="O102" s="69"/>
      <c r="AU102" s="69"/>
    </row>
    <row r="103" spans="1:47" s="70" customFormat="1" x14ac:dyDescent="0.3">
      <c r="A103" s="69"/>
      <c r="B103" s="69"/>
      <c r="C103" s="69"/>
      <c r="D103" s="69"/>
      <c r="E103" s="69"/>
      <c r="F103" s="69"/>
      <c r="G103" s="69"/>
      <c r="H103" s="69"/>
      <c r="I103" s="69"/>
      <c r="J103" s="142"/>
      <c r="K103" s="142"/>
      <c r="L103" s="142"/>
      <c r="M103" s="69"/>
      <c r="N103" s="69"/>
      <c r="O103" s="69"/>
      <c r="AU103" s="69"/>
    </row>
    <row r="104" spans="1:47" s="70" customFormat="1" x14ac:dyDescent="0.3">
      <c r="A104" s="69"/>
      <c r="B104" s="69"/>
      <c r="C104" s="69"/>
      <c r="D104" s="69"/>
      <c r="E104" s="69"/>
      <c r="F104" s="69"/>
      <c r="G104" s="69"/>
      <c r="H104" s="69"/>
      <c r="I104" s="69"/>
      <c r="J104" s="142"/>
      <c r="K104" s="142"/>
      <c r="L104" s="142"/>
      <c r="M104" s="144"/>
      <c r="N104" s="69"/>
      <c r="O104" s="69"/>
      <c r="AU104" s="69"/>
    </row>
    <row r="105" spans="1:47" s="70" customFormat="1" x14ac:dyDescent="0.3">
      <c r="A105" s="69"/>
      <c r="B105" s="69"/>
      <c r="C105" s="69"/>
      <c r="D105" s="69"/>
      <c r="E105" s="69"/>
      <c r="F105" s="69"/>
      <c r="G105" s="69"/>
      <c r="H105" s="69"/>
      <c r="I105" s="69"/>
      <c r="J105" s="142"/>
      <c r="K105" s="142"/>
      <c r="L105" s="142"/>
      <c r="M105" s="144"/>
      <c r="N105" s="69"/>
      <c r="O105" s="69"/>
      <c r="AU105" s="69"/>
    </row>
    <row r="106" spans="1:47" s="70" customFormat="1" x14ac:dyDescent="0.3">
      <c r="A106" s="69"/>
      <c r="B106" s="69"/>
      <c r="C106" s="69"/>
      <c r="D106" s="69"/>
      <c r="E106" s="69"/>
      <c r="F106" s="69"/>
      <c r="G106" s="69"/>
      <c r="H106" s="69"/>
      <c r="I106" s="69"/>
      <c r="J106" s="142"/>
      <c r="K106" s="142"/>
      <c r="L106" s="142"/>
      <c r="M106" s="144"/>
      <c r="N106" s="69"/>
      <c r="AU106" s="69"/>
    </row>
    <row r="107" spans="1:47" s="70" customFormat="1" x14ac:dyDescent="0.3">
      <c r="A107" s="69"/>
      <c r="B107" s="69"/>
      <c r="C107" s="69"/>
      <c r="D107" s="69"/>
      <c r="E107" s="69"/>
      <c r="F107" s="69"/>
      <c r="G107" s="69"/>
      <c r="H107" s="69"/>
      <c r="I107" s="69"/>
      <c r="J107" s="142"/>
      <c r="K107" s="142"/>
      <c r="L107" s="142"/>
      <c r="M107" s="144"/>
      <c r="N107" s="69"/>
      <c r="AU107" s="69"/>
    </row>
    <row r="108" spans="1:47" s="70" customFormat="1" x14ac:dyDescent="0.3">
      <c r="H108" s="69"/>
      <c r="I108" s="69"/>
      <c r="J108" s="142"/>
      <c r="K108" s="142"/>
      <c r="L108" s="142"/>
      <c r="M108" s="144"/>
      <c r="N108" s="69"/>
      <c r="AU108" s="69"/>
    </row>
    <row r="109" spans="1:47" s="70" customFormat="1" x14ac:dyDescent="0.3">
      <c r="J109" s="142"/>
      <c r="K109" s="142"/>
      <c r="L109" s="142"/>
      <c r="M109" s="144"/>
      <c r="N109" s="144"/>
      <c r="AU109" s="69"/>
    </row>
    <row r="110" spans="1:47" s="70" customFormat="1" x14ac:dyDescent="0.3">
      <c r="J110" s="142"/>
      <c r="K110" s="142"/>
      <c r="L110" s="142"/>
      <c r="M110" s="144"/>
      <c r="N110" s="144"/>
      <c r="AU110" s="69"/>
    </row>
    <row r="111" spans="1:47" s="70" customFormat="1" x14ac:dyDescent="0.3">
      <c r="J111" s="142"/>
      <c r="K111" s="142"/>
      <c r="L111" s="142"/>
      <c r="M111" s="144"/>
      <c r="N111" s="144"/>
      <c r="AU111" s="69"/>
    </row>
    <row r="112" spans="1:47" s="70" customFormat="1" x14ac:dyDescent="0.3">
      <c r="J112" s="142"/>
      <c r="K112" s="142"/>
      <c r="L112" s="142"/>
      <c r="M112" s="144"/>
      <c r="N112" s="144"/>
      <c r="AU112" s="69"/>
    </row>
    <row r="113" spans="10:47" s="70" customFormat="1" x14ac:dyDescent="0.3">
      <c r="J113" s="142"/>
      <c r="K113" s="142"/>
      <c r="L113" s="142"/>
      <c r="M113" s="144"/>
      <c r="N113" s="144"/>
      <c r="AU113" s="69"/>
    </row>
    <row r="114" spans="10:47" s="70" customFormat="1" x14ac:dyDescent="0.3">
      <c r="J114" s="142"/>
      <c r="K114" s="142"/>
      <c r="L114" s="142"/>
      <c r="M114" s="144"/>
      <c r="N114" s="144"/>
      <c r="AU114" s="69"/>
    </row>
    <row r="115" spans="10:47" s="70" customFormat="1" x14ac:dyDescent="0.3">
      <c r="J115" s="142"/>
      <c r="K115" s="142"/>
      <c r="L115" s="142"/>
      <c r="M115" s="144"/>
      <c r="N115" s="144"/>
      <c r="AU115" s="69"/>
    </row>
    <row r="116" spans="10:47" s="70" customFormat="1" x14ac:dyDescent="0.3">
      <c r="J116" s="142"/>
      <c r="K116" s="142"/>
      <c r="L116" s="142"/>
      <c r="M116" s="144"/>
      <c r="N116" s="144"/>
      <c r="AU116" s="69"/>
    </row>
    <row r="117" spans="10:47" s="70" customFormat="1" x14ac:dyDescent="0.3">
      <c r="J117" s="142"/>
      <c r="K117" s="142"/>
      <c r="L117" s="142"/>
      <c r="M117" s="144"/>
      <c r="N117" s="144"/>
      <c r="AU117" s="69"/>
    </row>
    <row r="118" spans="10:47" s="70" customFormat="1" x14ac:dyDescent="0.3">
      <c r="J118" s="142"/>
      <c r="K118" s="142"/>
      <c r="L118" s="142"/>
      <c r="M118" s="144"/>
      <c r="N118" s="144"/>
      <c r="AU118" s="69"/>
    </row>
    <row r="119" spans="10:47" s="70" customFormat="1" x14ac:dyDescent="0.3">
      <c r="J119" s="142"/>
      <c r="K119" s="142"/>
      <c r="L119" s="142"/>
      <c r="M119" s="144"/>
      <c r="N119" s="144"/>
      <c r="AU119" s="69"/>
    </row>
    <row r="120" spans="10:47" s="70" customFormat="1" x14ac:dyDescent="0.3">
      <c r="J120" s="142"/>
      <c r="K120" s="142"/>
      <c r="L120" s="142"/>
      <c r="M120" s="144"/>
      <c r="N120" s="144"/>
      <c r="AU120" s="69"/>
    </row>
    <row r="121" spans="10:47" s="70" customFormat="1" x14ac:dyDescent="0.3">
      <c r="J121" s="142"/>
      <c r="K121" s="142"/>
      <c r="L121" s="142"/>
      <c r="M121" s="144"/>
      <c r="N121" s="144"/>
      <c r="AU121" s="69"/>
    </row>
    <row r="122" spans="10:47" s="70" customFormat="1" x14ac:dyDescent="0.3">
      <c r="J122" s="142"/>
      <c r="K122" s="142"/>
      <c r="L122" s="142"/>
      <c r="M122" s="144"/>
      <c r="N122" s="144"/>
      <c r="AU122" s="69"/>
    </row>
    <row r="123" spans="10:47" s="70" customFormat="1" x14ac:dyDescent="0.3">
      <c r="J123" s="142"/>
      <c r="K123" s="142"/>
      <c r="L123" s="142"/>
      <c r="M123" s="144"/>
      <c r="N123" s="144"/>
      <c r="AU123" s="69"/>
    </row>
    <row r="124" spans="10:47" s="70" customFormat="1" x14ac:dyDescent="0.3">
      <c r="J124" s="142"/>
      <c r="K124" s="142"/>
      <c r="L124" s="142"/>
      <c r="M124" s="144"/>
      <c r="N124" s="144"/>
      <c r="AU124" s="69"/>
    </row>
    <row r="125" spans="10:47" s="70" customFormat="1" x14ac:dyDescent="0.3">
      <c r="J125" s="142"/>
      <c r="K125" s="142"/>
      <c r="L125" s="142"/>
      <c r="M125" s="144"/>
      <c r="N125" s="144"/>
      <c r="AU125" s="69"/>
    </row>
    <row r="126" spans="10:47" s="70" customFormat="1" x14ac:dyDescent="0.3">
      <c r="J126" s="142"/>
      <c r="K126" s="142"/>
      <c r="L126" s="142"/>
      <c r="M126" s="144"/>
      <c r="N126" s="144"/>
      <c r="AU126" s="69"/>
    </row>
    <row r="127" spans="10:47" s="70" customFormat="1" x14ac:dyDescent="0.3">
      <c r="J127" s="142"/>
      <c r="K127" s="142"/>
      <c r="L127" s="142"/>
      <c r="M127" s="144"/>
      <c r="N127" s="144"/>
      <c r="AU127" s="69"/>
    </row>
    <row r="128" spans="10:47" s="70" customFormat="1" x14ac:dyDescent="0.3">
      <c r="J128" s="142"/>
      <c r="K128" s="142"/>
      <c r="L128" s="142"/>
      <c r="M128" s="144"/>
      <c r="N128" s="144"/>
      <c r="AU128" s="69"/>
    </row>
    <row r="129" spans="10:47" s="70" customFormat="1" x14ac:dyDescent="0.3">
      <c r="J129" s="142"/>
      <c r="K129" s="142"/>
      <c r="L129" s="142"/>
      <c r="M129" s="144"/>
      <c r="N129" s="144"/>
      <c r="AU129" s="69"/>
    </row>
    <row r="130" spans="10:47" s="70" customFormat="1" x14ac:dyDescent="0.3">
      <c r="J130" s="142"/>
      <c r="K130" s="142"/>
      <c r="L130" s="142"/>
      <c r="M130" s="144"/>
      <c r="N130" s="144"/>
      <c r="AU130" s="69"/>
    </row>
    <row r="131" spans="10:47" s="70" customFormat="1" x14ac:dyDescent="0.3">
      <c r="J131" s="142"/>
      <c r="K131" s="142"/>
      <c r="L131" s="142"/>
      <c r="M131" s="144"/>
      <c r="N131" s="144"/>
      <c r="AU131" s="69"/>
    </row>
    <row r="132" spans="10:47" s="70" customFormat="1" x14ac:dyDescent="0.3">
      <c r="J132" s="142"/>
      <c r="K132" s="142"/>
      <c r="L132" s="142"/>
      <c r="M132" s="144"/>
      <c r="N132" s="144"/>
      <c r="AU132" s="69"/>
    </row>
    <row r="133" spans="10:47" s="70" customFormat="1" x14ac:dyDescent="0.3">
      <c r="J133" s="142"/>
      <c r="K133" s="142"/>
      <c r="L133" s="142"/>
      <c r="M133" s="144"/>
      <c r="N133" s="144"/>
      <c r="AU133" s="69"/>
    </row>
    <row r="134" spans="10:47" s="70" customFormat="1" x14ac:dyDescent="0.3">
      <c r="J134" s="142"/>
      <c r="K134" s="142"/>
      <c r="L134" s="142"/>
      <c r="M134" s="144"/>
      <c r="N134" s="144"/>
      <c r="AU134" s="69"/>
    </row>
    <row r="135" spans="10:47" s="70" customFormat="1" x14ac:dyDescent="0.3">
      <c r="J135" s="142"/>
      <c r="K135" s="142"/>
      <c r="L135" s="142"/>
      <c r="M135" s="144"/>
      <c r="N135" s="144"/>
      <c r="AU135" s="69"/>
    </row>
    <row r="136" spans="10:47" s="70" customFormat="1" x14ac:dyDescent="0.3">
      <c r="J136" s="142"/>
      <c r="K136" s="142"/>
      <c r="L136" s="142"/>
      <c r="M136" s="144"/>
      <c r="N136" s="144"/>
      <c r="AU136" s="69"/>
    </row>
    <row r="137" spans="10:47" s="70" customFormat="1" x14ac:dyDescent="0.3">
      <c r="J137" s="142"/>
      <c r="K137" s="142"/>
      <c r="L137" s="142"/>
      <c r="M137" s="144"/>
      <c r="N137" s="144"/>
      <c r="AU137" s="69"/>
    </row>
    <row r="138" spans="10:47" s="70" customFormat="1" x14ac:dyDescent="0.3">
      <c r="J138" s="142"/>
      <c r="K138" s="142"/>
      <c r="L138" s="142"/>
      <c r="M138" s="144"/>
      <c r="N138" s="144"/>
      <c r="AU138" s="69"/>
    </row>
    <row r="139" spans="10:47" s="70" customFormat="1" x14ac:dyDescent="0.3">
      <c r="J139" s="142"/>
      <c r="K139" s="142"/>
      <c r="L139" s="142"/>
      <c r="M139" s="144"/>
      <c r="N139" s="144"/>
      <c r="AU139" s="69"/>
    </row>
    <row r="140" spans="10:47" s="70" customFormat="1" x14ac:dyDescent="0.3">
      <c r="J140" s="142"/>
      <c r="K140" s="142"/>
      <c r="L140" s="142"/>
      <c r="M140" s="144"/>
      <c r="N140" s="144"/>
      <c r="AU140" s="69"/>
    </row>
    <row r="141" spans="10:47" s="70" customFormat="1" x14ac:dyDescent="0.3">
      <c r="J141" s="142"/>
      <c r="K141" s="142"/>
      <c r="L141" s="142"/>
      <c r="M141" s="144"/>
      <c r="N141" s="144"/>
      <c r="AU141" s="69"/>
    </row>
    <row r="142" spans="10:47" s="70" customFormat="1" x14ac:dyDescent="0.3">
      <c r="J142" s="142"/>
      <c r="K142" s="142"/>
      <c r="L142" s="142"/>
      <c r="M142" s="144"/>
      <c r="N142" s="144"/>
      <c r="AU142" s="69"/>
    </row>
    <row r="143" spans="10:47" s="70" customFormat="1" x14ac:dyDescent="0.3">
      <c r="J143" s="142"/>
      <c r="K143" s="142"/>
      <c r="L143" s="142"/>
      <c r="M143" s="144"/>
      <c r="N143" s="144"/>
      <c r="AU143" s="69"/>
    </row>
    <row r="144" spans="10:47" s="70" customFormat="1" x14ac:dyDescent="0.3">
      <c r="J144" s="142"/>
      <c r="K144" s="142"/>
      <c r="L144" s="142"/>
      <c r="M144" s="144"/>
      <c r="N144" s="144"/>
      <c r="AU144" s="69"/>
    </row>
    <row r="145" spans="10:47" s="70" customFormat="1" x14ac:dyDescent="0.3">
      <c r="J145" s="142"/>
      <c r="K145" s="142"/>
      <c r="L145" s="142"/>
      <c r="M145" s="144"/>
      <c r="N145" s="144"/>
      <c r="AU145" s="69"/>
    </row>
    <row r="146" spans="10:47" s="70" customFormat="1" x14ac:dyDescent="0.3">
      <c r="J146" s="142"/>
      <c r="K146" s="142"/>
      <c r="L146" s="142"/>
      <c r="M146" s="144"/>
      <c r="N146" s="144"/>
      <c r="AU146" s="69"/>
    </row>
    <row r="147" spans="10:47" s="70" customFormat="1" x14ac:dyDescent="0.3">
      <c r="J147" s="142"/>
      <c r="K147" s="142"/>
      <c r="L147" s="142"/>
      <c r="M147" s="144"/>
      <c r="N147" s="144"/>
      <c r="AU147" s="69"/>
    </row>
    <row r="148" spans="10:47" s="70" customFormat="1" x14ac:dyDescent="0.3">
      <c r="J148" s="142"/>
      <c r="K148" s="142"/>
      <c r="L148" s="142"/>
      <c r="M148" s="144"/>
      <c r="N148" s="144"/>
      <c r="AU148" s="69"/>
    </row>
    <row r="149" spans="10:47" s="70" customFormat="1" x14ac:dyDescent="0.3">
      <c r="J149" s="142"/>
      <c r="K149" s="142"/>
      <c r="L149" s="142"/>
      <c r="M149" s="144"/>
      <c r="N149" s="144"/>
      <c r="AU149" s="69"/>
    </row>
    <row r="150" spans="10:47" s="70" customFormat="1" x14ac:dyDescent="0.3">
      <c r="J150" s="142"/>
      <c r="K150" s="142"/>
      <c r="L150" s="142"/>
      <c r="M150" s="144"/>
      <c r="N150" s="144"/>
      <c r="AU150" s="69"/>
    </row>
    <row r="151" spans="10:47" s="70" customFormat="1" x14ac:dyDescent="0.3">
      <c r="J151" s="142"/>
      <c r="K151" s="142"/>
      <c r="L151" s="142"/>
      <c r="M151" s="144"/>
      <c r="N151" s="144"/>
      <c r="AU151" s="69"/>
    </row>
    <row r="152" spans="10:47" s="70" customFormat="1" x14ac:dyDescent="0.3">
      <c r="J152" s="142"/>
      <c r="K152" s="142"/>
      <c r="L152" s="142"/>
      <c r="M152" s="144"/>
      <c r="N152" s="144"/>
      <c r="AU152" s="69"/>
    </row>
    <row r="153" spans="10:47" s="70" customFormat="1" x14ac:dyDescent="0.3">
      <c r="J153" s="142"/>
      <c r="K153" s="142"/>
      <c r="L153" s="142"/>
      <c r="M153" s="144"/>
      <c r="N153" s="144"/>
      <c r="AU153" s="69"/>
    </row>
    <row r="154" spans="10:47" s="70" customFormat="1" x14ac:dyDescent="0.3">
      <c r="J154" s="142"/>
      <c r="K154" s="142"/>
      <c r="L154" s="142"/>
      <c r="M154" s="144"/>
      <c r="N154" s="144"/>
      <c r="AU154" s="69"/>
    </row>
    <row r="155" spans="10:47" s="70" customFormat="1" x14ac:dyDescent="0.3">
      <c r="J155" s="142"/>
      <c r="K155" s="142"/>
      <c r="L155" s="142"/>
      <c r="M155" s="144"/>
      <c r="N155" s="144"/>
      <c r="AU155" s="69"/>
    </row>
    <row r="156" spans="10:47" s="70" customFormat="1" x14ac:dyDescent="0.3">
      <c r="J156" s="142"/>
      <c r="K156" s="142"/>
      <c r="L156" s="142"/>
      <c r="M156" s="144"/>
      <c r="N156" s="144"/>
      <c r="AU156" s="69"/>
    </row>
    <row r="157" spans="10:47" s="70" customFormat="1" x14ac:dyDescent="0.3">
      <c r="J157" s="142"/>
      <c r="K157" s="142"/>
      <c r="L157" s="142"/>
      <c r="M157" s="144"/>
      <c r="N157" s="144"/>
      <c r="AU157" s="69"/>
    </row>
    <row r="158" spans="10:47" s="70" customFormat="1" x14ac:dyDescent="0.3">
      <c r="J158" s="142"/>
      <c r="K158" s="142"/>
      <c r="L158" s="142"/>
      <c r="M158" s="144"/>
      <c r="N158" s="144"/>
      <c r="AU158" s="69"/>
    </row>
    <row r="159" spans="10:47" s="70" customFormat="1" x14ac:dyDescent="0.3">
      <c r="J159" s="142"/>
      <c r="K159" s="142"/>
      <c r="L159" s="142"/>
      <c r="M159" s="144"/>
      <c r="N159" s="144"/>
      <c r="AU159" s="69"/>
    </row>
    <row r="160" spans="10:47" s="70" customFormat="1" x14ac:dyDescent="0.3">
      <c r="J160" s="142"/>
      <c r="K160" s="142"/>
      <c r="L160" s="142"/>
      <c r="M160" s="144"/>
      <c r="N160" s="144"/>
      <c r="AU160" s="69"/>
    </row>
    <row r="161" spans="1:48" s="70" customFormat="1" x14ac:dyDescent="0.3">
      <c r="J161" s="142"/>
      <c r="K161" s="142"/>
      <c r="L161" s="142"/>
      <c r="M161" s="144"/>
      <c r="N161" s="144"/>
      <c r="AU161" s="69"/>
    </row>
    <row r="162" spans="1:48" s="70" customFormat="1" x14ac:dyDescent="0.3">
      <c r="J162" s="142"/>
      <c r="K162" s="142"/>
      <c r="L162" s="142"/>
      <c r="M162" s="144"/>
      <c r="N162" s="144"/>
      <c r="AU162" s="69"/>
    </row>
    <row r="163" spans="1:48" s="70" customFormat="1" x14ac:dyDescent="0.3">
      <c r="J163" s="142"/>
      <c r="K163" s="142"/>
      <c r="L163" s="142"/>
      <c r="M163" s="144"/>
      <c r="N163" s="144"/>
      <c r="AU163" s="69"/>
    </row>
    <row r="164" spans="1:48" s="145" customFormat="1" x14ac:dyDescent="0.3">
      <c r="A164" s="70"/>
      <c r="B164" s="70"/>
      <c r="C164" s="70"/>
      <c r="D164" s="70"/>
      <c r="E164" s="70"/>
      <c r="F164" s="70"/>
      <c r="G164" s="70"/>
      <c r="H164" s="70"/>
      <c r="I164" s="70"/>
      <c r="J164" s="142"/>
      <c r="K164" s="142"/>
      <c r="L164" s="142"/>
      <c r="M164" s="144"/>
      <c r="N164" s="144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69"/>
      <c r="AV164" s="70"/>
    </row>
    <row r="165" spans="1:48" s="145" customFormat="1" x14ac:dyDescent="0.3">
      <c r="A165" s="70"/>
      <c r="B165" s="70"/>
      <c r="C165" s="70"/>
      <c r="D165" s="70"/>
      <c r="E165" s="70"/>
      <c r="F165" s="70"/>
      <c r="G165" s="70"/>
      <c r="H165" s="70"/>
      <c r="I165" s="70"/>
      <c r="J165" s="142"/>
      <c r="K165" s="142"/>
      <c r="L165" s="142"/>
      <c r="M165" s="144"/>
      <c r="N165" s="144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69"/>
      <c r="AV165" s="70"/>
    </row>
    <row r="166" spans="1:48" s="145" customFormat="1" x14ac:dyDescent="0.3">
      <c r="A166" s="70"/>
      <c r="B166" s="70"/>
      <c r="C166" s="70"/>
      <c r="D166" s="70"/>
      <c r="E166" s="70"/>
      <c r="F166" s="70"/>
      <c r="G166" s="70"/>
      <c r="H166" s="70"/>
      <c r="I166" s="70"/>
      <c r="J166" s="142"/>
      <c r="K166" s="142"/>
      <c r="L166" s="142"/>
      <c r="M166" s="144"/>
      <c r="N166" s="144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69"/>
      <c r="AV166" s="70"/>
    </row>
    <row r="167" spans="1:48" s="145" customFormat="1" x14ac:dyDescent="0.3">
      <c r="A167" s="70"/>
      <c r="B167" s="70"/>
      <c r="C167" s="70"/>
      <c r="D167" s="70"/>
      <c r="E167" s="70"/>
      <c r="F167" s="70"/>
      <c r="G167" s="70"/>
      <c r="H167" s="70"/>
      <c r="I167" s="70"/>
      <c r="J167" s="142"/>
      <c r="K167" s="142"/>
      <c r="L167" s="142"/>
      <c r="M167" s="144"/>
      <c r="N167" s="144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69"/>
      <c r="AV167" s="70"/>
    </row>
    <row r="168" spans="1:48" s="145" customFormat="1" x14ac:dyDescent="0.3">
      <c r="A168" s="70"/>
      <c r="B168" s="70"/>
      <c r="C168" s="70"/>
      <c r="D168" s="70"/>
      <c r="E168" s="70"/>
      <c r="F168" s="70"/>
      <c r="G168" s="70"/>
      <c r="H168" s="70"/>
      <c r="I168" s="70"/>
      <c r="J168" s="142"/>
      <c r="K168" s="142"/>
      <c r="L168" s="142"/>
      <c r="M168" s="144"/>
      <c r="N168" s="144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69"/>
      <c r="AV168" s="70"/>
    </row>
    <row r="169" spans="1:48" s="145" customFormat="1" x14ac:dyDescent="0.3">
      <c r="A169" s="70"/>
      <c r="B169" s="70"/>
      <c r="C169" s="70"/>
      <c r="D169" s="70"/>
      <c r="E169" s="70"/>
      <c r="F169" s="70"/>
      <c r="G169" s="70"/>
      <c r="H169" s="70"/>
      <c r="I169" s="70"/>
      <c r="J169" s="142"/>
      <c r="K169" s="142"/>
      <c r="L169" s="142"/>
      <c r="M169" s="144"/>
      <c r="N169" s="144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69"/>
      <c r="AV169" s="70"/>
    </row>
    <row r="170" spans="1:48" s="145" customFormat="1" x14ac:dyDescent="0.3">
      <c r="A170" s="70"/>
      <c r="B170" s="70"/>
      <c r="C170" s="70"/>
      <c r="D170" s="70"/>
      <c r="E170" s="70"/>
      <c r="F170" s="70"/>
      <c r="G170" s="70"/>
      <c r="H170" s="70"/>
      <c r="I170" s="70"/>
      <c r="J170" s="142"/>
      <c r="K170" s="142"/>
      <c r="L170" s="142"/>
      <c r="M170" s="144"/>
      <c r="N170" s="144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69"/>
      <c r="AV170" s="70"/>
    </row>
    <row r="171" spans="1:48" s="145" customFormat="1" x14ac:dyDescent="0.3">
      <c r="A171" s="70"/>
      <c r="B171" s="70"/>
      <c r="C171" s="70"/>
      <c r="D171" s="70"/>
      <c r="E171" s="70"/>
      <c r="F171" s="70"/>
      <c r="G171" s="70"/>
      <c r="H171" s="70"/>
      <c r="I171" s="70"/>
      <c r="J171" s="142"/>
      <c r="K171" s="142"/>
      <c r="L171" s="142"/>
      <c r="M171" s="144"/>
      <c r="N171" s="144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69"/>
      <c r="AV171" s="70"/>
    </row>
    <row r="172" spans="1:48" s="145" customFormat="1" x14ac:dyDescent="0.3">
      <c r="A172" s="70"/>
      <c r="B172" s="70"/>
      <c r="C172" s="70"/>
      <c r="D172" s="70"/>
      <c r="E172" s="70"/>
      <c r="F172" s="70"/>
      <c r="G172" s="70"/>
      <c r="H172" s="70"/>
      <c r="I172" s="70"/>
      <c r="J172" s="142"/>
      <c r="K172" s="142"/>
      <c r="L172" s="142"/>
      <c r="M172" s="144"/>
      <c r="N172" s="144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69"/>
      <c r="AV172" s="70"/>
    </row>
    <row r="173" spans="1:48" s="145" customFormat="1" x14ac:dyDescent="0.3">
      <c r="A173" s="70"/>
      <c r="B173" s="70"/>
      <c r="C173" s="70"/>
      <c r="D173" s="70"/>
      <c r="E173" s="70"/>
      <c r="F173" s="70"/>
      <c r="G173" s="70"/>
      <c r="H173" s="70"/>
      <c r="I173" s="70"/>
      <c r="J173" s="142"/>
      <c r="K173" s="142"/>
      <c r="L173" s="142"/>
      <c r="M173" s="144"/>
      <c r="N173" s="144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69"/>
      <c r="AV173" s="70"/>
    </row>
    <row r="174" spans="1:48" s="145" customFormat="1" x14ac:dyDescent="0.3">
      <c r="A174" s="70"/>
      <c r="B174" s="70"/>
      <c r="C174" s="70"/>
      <c r="D174" s="70"/>
      <c r="E174" s="70"/>
      <c r="F174" s="70"/>
      <c r="G174" s="70"/>
      <c r="H174" s="70"/>
      <c r="I174" s="70"/>
      <c r="J174" s="142"/>
      <c r="K174" s="142"/>
      <c r="L174" s="142"/>
      <c r="M174" s="144"/>
      <c r="N174" s="144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69"/>
      <c r="AV174" s="70"/>
    </row>
    <row r="175" spans="1:48" s="145" customFormat="1" x14ac:dyDescent="0.3">
      <c r="A175" s="70"/>
      <c r="B175" s="70"/>
      <c r="C175" s="70"/>
      <c r="D175" s="70"/>
      <c r="E175" s="70"/>
      <c r="F175" s="70"/>
      <c r="G175" s="70"/>
      <c r="H175" s="70"/>
      <c r="I175" s="70"/>
      <c r="J175" s="142"/>
      <c r="K175" s="142"/>
      <c r="L175" s="142"/>
      <c r="M175" s="144"/>
      <c r="N175" s="144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69"/>
      <c r="AV175" s="70"/>
    </row>
    <row r="176" spans="1:48" s="145" customFormat="1" x14ac:dyDescent="0.3">
      <c r="A176" s="70"/>
      <c r="B176" s="70"/>
      <c r="C176" s="70"/>
      <c r="D176" s="70"/>
      <c r="E176" s="70"/>
      <c r="F176" s="70"/>
      <c r="G176" s="70"/>
      <c r="H176" s="70"/>
      <c r="I176" s="70"/>
      <c r="J176" s="146"/>
      <c r="K176" s="146"/>
      <c r="L176" s="146"/>
      <c r="M176" s="144"/>
      <c r="N176" s="144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69"/>
      <c r="AV176" s="70"/>
    </row>
    <row r="177" spans="1:48" s="145" customFormat="1" x14ac:dyDescent="0.3">
      <c r="A177" s="70"/>
      <c r="B177" s="70"/>
      <c r="C177" s="70"/>
      <c r="D177" s="70"/>
      <c r="E177" s="70"/>
      <c r="F177" s="70"/>
      <c r="G177" s="70"/>
      <c r="H177" s="70"/>
      <c r="I177" s="70"/>
      <c r="J177" s="146"/>
      <c r="K177" s="146"/>
      <c r="L177" s="146"/>
      <c r="M177" s="144"/>
      <c r="N177" s="144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69"/>
      <c r="AV177" s="70"/>
    </row>
    <row r="178" spans="1:48" s="145" customFormat="1" x14ac:dyDescent="0.3">
      <c r="A178" s="70"/>
      <c r="B178" s="70"/>
      <c r="C178" s="70"/>
      <c r="D178" s="70"/>
      <c r="E178" s="70"/>
      <c r="F178" s="70"/>
      <c r="G178" s="70"/>
      <c r="H178" s="70"/>
      <c r="I178" s="70"/>
      <c r="J178" s="146"/>
      <c r="K178" s="146"/>
      <c r="L178" s="146"/>
      <c r="M178" s="144"/>
      <c r="N178" s="144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69"/>
      <c r="AV178" s="70"/>
    </row>
    <row r="179" spans="1:48" s="145" customFormat="1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146"/>
      <c r="K179" s="146"/>
      <c r="L179" s="146"/>
      <c r="M179" s="144"/>
      <c r="N179" s="144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69"/>
      <c r="AV179" s="70"/>
    </row>
    <row r="180" spans="1:48" s="145" customFormat="1" x14ac:dyDescent="0.3">
      <c r="A180" s="70"/>
      <c r="B180" s="70"/>
      <c r="C180" s="70"/>
      <c r="D180" s="70"/>
      <c r="E180" s="70"/>
      <c r="F180" s="70"/>
      <c r="G180" s="70"/>
      <c r="H180" s="70"/>
      <c r="I180" s="70"/>
      <c r="J180" s="146"/>
      <c r="K180" s="146"/>
      <c r="L180" s="146"/>
      <c r="M180" s="144"/>
      <c r="N180" s="144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69"/>
      <c r="AV180" s="70"/>
    </row>
    <row r="181" spans="1:48" x14ac:dyDescent="0.3">
      <c r="A181" s="70"/>
      <c r="B181" s="70"/>
      <c r="C181" s="70"/>
      <c r="D181" s="70"/>
      <c r="E181" s="70"/>
      <c r="F181" s="70"/>
      <c r="G181" s="70"/>
      <c r="H181" s="70"/>
      <c r="I181" s="70"/>
      <c r="J181" s="146"/>
      <c r="K181" s="146"/>
      <c r="L181" s="146"/>
      <c r="M181" s="147"/>
      <c r="N181" s="144"/>
      <c r="O181" s="70"/>
      <c r="AU181" s="148"/>
      <c r="AV181" s="148"/>
    </row>
    <row r="182" spans="1:48" x14ac:dyDescent="0.3">
      <c r="A182" s="70"/>
      <c r="B182" s="70"/>
      <c r="C182" s="70"/>
      <c r="D182" s="70"/>
      <c r="E182" s="70"/>
      <c r="F182" s="70"/>
      <c r="G182" s="70"/>
      <c r="H182" s="70"/>
      <c r="I182" s="70"/>
      <c r="J182" s="146"/>
      <c r="K182" s="146"/>
      <c r="L182" s="146"/>
      <c r="M182" s="147"/>
      <c r="N182" s="144"/>
      <c r="O182" s="70"/>
      <c r="AU182" s="148"/>
      <c r="AV182" s="148"/>
    </row>
    <row r="183" spans="1:48" x14ac:dyDescent="0.3">
      <c r="A183" s="70"/>
      <c r="B183" s="70"/>
      <c r="C183" s="70"/>
      <c r="D183" s="70"/>
      <c r="E183" s="70"/>
      <c r="F183" s="70"/>
      <c r="G183" s="70"/>
      <c r="H183" s="70"/>
      <c r="I183" s="70"/>
      <c r="J183" s="146"/>
      <c r="K183" s="146"/>
      <c r="L183" s="146"/>
      <c r="M183" s="147"/>
      <c r="N183" s="144"/>
      <c r="O183" s="70"/>
      <c r="AU183" s="148"/>
      <c r="AV183" s="148"/>
    </row>
    <row r="184" spans="1:48" x14ac:dyDescent="0.3">
      <c r="A184" s="70"/>
      <c r="B184" s="70"/>
      <c r="C184" s="70"/>
      <c r="D184" s="70"/>
      <c r="E184" s="70"/>
      <c r="F184" s="70"/>
      <c r="G184" s="70"/>
      <c r="H184" s="70"/>
      <c r="I184" s="70"/>
      <c r="J184" s="146"/>
      <c r="K184" s="146"/>
      <c r="L184" s="146"/>
      <c r="M184" s="147"/>
      <c r="N184" s="144"/>
      <c r="O184" s="149"/>
      <c r="AU184" s="148"/>
      <c r="AV184" s="148"/>
    </row>
    <row r="185" spans="1:48" x14ac:dyDescent="0.3">
      <c r="A185" s="149"/>
      <c r="B185" s="149"/>
      <c r="C185" s="149"/>
      <c r="D185" s="149"/>
      <c r="E185" s="149"/>
      <c r="F185" s="149"/>
      <c r="G185" s="149"/>
      <c r="H185" s="70"/>
      <c r="I185" s="70"/>
      <c r="J185" s="146"/>
      <c r="K185" s="146"/>
      <c r="L185" s="146"/>
      <c r="M185" s="147"/>
      <c r="N185" s="144"/>
      <c r="O185" s="149"/>
      <c r="AU185" s="148"/>
      <c r="AV185" s="148"/>
    </row>
    <row r="186" spans="1:48" x14ac:dyDescent="0.3">
      <c r="A186" s="149"/>
      <c r="B186" s="149"/>
      <c r="C186" s="149"/>
      <c r="D186" s="149"/>
      <c r="E186" s="149"/>
      <c r="F186" s="149"/>
      <c r="G186" s="149"/>
      <c r="H186" s="149"/>
      <c r="I186" s="149"/>
      <c r="J186" s="146"/>
      <c r="K186" s="146"/>
      <c r="L186" s="146"/>
      <c r="M186" s="147"/>
      <c r="N186" s="147"/>
      <c r="O186" s="149"/>
      <c r="AU186" s="148"/>
      <c r="AV186" s="148"/>
    </row>
    <row r="187" spans="1:48" x14ac:dyDescent="0.3">
      <c r="A187" s="149"/>
      <c r="B187" s="149"/>
      <c r="C187" s="149"/>
      <c r="D187" s="149"/>
      <c r="E187" s="149"/>
      <c r="F187" s="149"/>
      <c r="G187" s="149"/>
      <c r="H187" s="149"/>
      <c r="I187" s="149"/>
      <c r="J187" s="146"/>
      <c r="K187" s="146"/>
      <c r="L187" s="146"/>
      <c r="M187" s="147"/>
      <c r="N187" s="147"/>
      <c r="O187" s="149"/>
      <c r="AU187" s="148"/>
      <c r="AV187" s="148"/>
    </row>
    <row r="188" spans="1:48" x14ac:dyDescent="0.3">
      <c r="A188" s="149"/>
      <c r="B188" s="149"/>
      <c r="C188" s="149"/>
      <c r="D188" s="149"/>
      <c r="E188" s="149"/>
      <c r="F188" s="149"/>
      <c r="G188" s="149"/>
      <c r="H188" s="149"/>
      <c r="I188" s="149"/>
      <c r="J188" s="146"/>
      <c r="K188" s="146"/>
      <c r="L188" s="146"/>
      <c r="M188" s="147"/>
      <c r="N188" s="147"/>
      <c r="O188" s="149"/>
      <c r="AU188" s="148"/>
      <c r="AV188" s="148"/>
    </row>
    <row r="189" spans="1:48" x14ac:dyDescent="0.3">
      <c r="A189" s="149"/>
      <c r="B189" s="149"/>
      <c r="C189" s="149"/>
      <c r="D189" s="149"/>
      <c r="E189" s="149"/>
      <c r="F189" s="149"/>
      <c r="G189" s="149"/>
      <c r="H189" s="149"/>
      <c r="I189" s="149"/>
      <c r="J189" s="146"/>
      <c r="K189" s="146"/>
      <c r="L189" s="146"/>
      <c r="M189" s="147"/>
      <c r="N189" s="147"/>
      <c r="O189" s="149"/>
      <c r="AU189" s="148"/>
      <c r="AV189" s="148"/>
    </row>
    <row r="190" spans="1:48" x14ac:dyDescent="0.3">
      <c r="A190" s="149"/>
      <c r="B190" s="149"/>
      <c r="C190" s="149"/>
      <c r="D190" s="149"/>
      <c r="E190" s="149"/>
      <c r="F190" s="149"/>
      <c r="G190" s="149"/>
      <c r="H190" s="149"/>
      <c r="I190" s="149"/>
      <c r="J190" s="146"/>
      <c r="K190" s="146"/>
      <c r="L190" s="146"/>
      <c r="M190" s="147"/>
      <c r="N190" s="147"/>
      <c r="O190" s="149"/>
      <c r="AU190" s="148"/>
      <c r="AV190" s="148"/>
    </row>
    <row r="191" spans="1:48" x14ac:dyDescent="0.3">
      <c r="A191" s="149"/>
      <c r="B191" s="149"/>
      <c r="C191" s="149"/>
      <c r="D191" s="149"/>
      <c r="E191" s="149"/>
      <c r="F191" s="149"/>
      <c r="G191" s="149"/>
      <c r="H191" s="149"/>
      <c r="I191" s="149"/>
      <c r="J191" s="146"/>
      <c r="K191" s="146"/>
      <c r="L191" s="146"/>
      <c r="M191" s="147"/>
      <c r="N191" s="147"/>
      <c r="O191" s="149"/>
      <c r="AU191" s="148"/>
      <c r="AV191" s="148"/>
    </row>
    <row r="192" spans="1:48" x14ac:dyDescent="0.3">
      <c r="A192" s="149"/>
      <c r="B192" s="149"/>
      <c r="C192" s="149"/>
      <c r="D192" s="149"/>
      <c r="E192" s="149"/>
      <c r="F192" s="149"/>
      <c r="G192" s="149"/>
      <c r="H192" s="149"/>
      <c r="I192" s="149"/>
      <c r="J192" s="146"/>
      <c r="K192" s="146"/>
      <c r="L192" s="146"/>
      <c r="M192" s="147"/>
      <c r="N192" s="147"/>
      <c r="O192" s="149"/>
      <c r="AU192" s="148"/>
      <c r="AV192" s="148"/>
    </row>
    <row r="193" spans="1:48" x14ac:dyDescent="0.3">
      <c r="A193" s="149"/>
      <c r="B193" s="149"/>
      <c r="C193" s="149"/>
      <c r="D193" s="149"/>
      <c r="E193" s="149"/>
      <c r="F193" s="149"/>
      <c r="G193" s="149"/>
      <c r="H193" s="149"/>
      <c r="I193" s="149"/>
      <c r="M193" s="147"/>
      <c r="N193" s="147"/>
      <c r="O193" s="149"/>
    </row>
    <row r="194" spans="1:48" x14ac:dyDescent="0.3">
      <c r="A194" s="149"/>
      <c r="B194" s="149"/>
      <c r="C194" s="149"/>
      <c r="D194" s="149"/>
      <c r="E194" s="149"/>
      <c r="F194" s="149"/>
      <c r="G194" s="149"/>
      <c r="H194" s="149"/>
      <c r="I194" s="149"/>
      <c r="M194" s="147"/>
      <c r="N194" s="147"/>
      <c r="O194" s="14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69"/>
      <c r="AJ194" s="69"/>
      <c r="AK194" s="69"/>
      <c r="AL194" s="69"/>
      <c r="AM194" s="69"/>
      <c r="AN194" s="69"/>
      <c r="AO194" s="69"/>
      <c r="AP194" s="69"/>
      <c r="AQ194" s="69"/>
      <c r="AR194" s="69"/>
      <c r="AS194" s="69"/>
      <c r="AT194" s="69"/>
      <c r="AU194" s="148"/>
      <c r="AV194" s="148"/>
    </row>
    <row r="195" spans="1:48" x14ac:dyDescent="0.3">
      <c r="A195" s="149"/>
      <c r="B195" s="149"/>
      <c r="C195" s="149"/>
      <c r="D195" s="149"/>
      <c r="E195" s="149"/>
      <c r="F195" s="149"/>
      <c r="G195" s="149"/>
      <c r="H195" s="149"/>
      <c r="I195" s="149"/>
      <c r="M195" s="147"/>
      <c r="N195" s="147"/>
      <c r="O195" s="149"/>
    </row>
    <row r="196" spans="1:48" x14ac:dyDescent="0.3">
      <c r="A196" s="149"/>
      <c r="B196" s="149"/>
      <c r="C196" s="149"/>
      <c r="D196" s="149"/>
      <c r="E196" s="149"/>
      <c r="F196" s="149"/>
      <c r="G196" s="149"/>
      <c r="H196" s="149"/>
      <c r="I196" s="149"/>
      <c r="M196" s="147"/>
      <c r="N196" s="147"/>
    </row>
    <row r="197" spans="1:48" x14ac:dyDescent="0.3">
      <c r="A197" s="149"/>
      <c r="B197" s="149"/>
      <c r="C197" s="149"/>
      <c r="D197" s="149"/>
      <c r="E197" s="149"/>
      <c r="F197" s="149"/>
      <c r="G197" s="149"/>
      <c r="H197" s="149"/>
      <c r="I197" s="149"/>
      <c r="M197" s="147"/>
      <c r="N197" s="147"/>
    </row>
    <row r="198" spans="1:48" x14ac:dyDescent="0.3">
      <c r="A198" s="149"/>
      <c r="B198" s="149"/>
      <c r="C198" s="149"/>
      <c r="D198" s="149"/>
      <c r="E198" s="149"/>
      <c r="F198" s="149"/>
      <c r="G198" s="149"/>
      <c r="H198" s="149"/>
      <c r="I198" s="149"/>
      <c r="N198" s="147"/>
    </row>
    <row r="199" spans="1:48" x14ac:dyDescent="0.3">
      <c r="A199" s="149"/>
      <c r="B199" s="149"/>
      <c r="C199" s="149"/>
      <c r="D199" s="149"/>
      <c r="E199" s="149"/>
      <c r="F199" s="149"/>
      <c r="G199" s="149"/>
      <c r="H199" s="149"/>
      <c r="I199" s="149"/>
      <c r="N199" s="147"/>
    </row>
    <row r="200" spans="1:48" x14ac:dyDescent="0.3">
      <c r="A200" s="149"/>
      <c r="B200" s="149"/>
      <c r="C200" s="149"/>
      <c r="D200" s="149"/>
      <c r="E200" s="149"/>
      <c r="F200" s="149"/>
      <c r="G200" s="149"/>
      <c r="H200" s="149"/>
      <c r="I200" s="149"/>
      <c r="N200" s="147"/>
    </row>
    <row r="201" spans="1:48" x14ac:dyDescent="0.3">
      <c r="A201" s="149"/>
      <c r="B201" s="149"/>
      <c r="C201" s="149"/>
      <c r="D201" s="149"/>
      <c r="E201" s="149"/>
      <c r="F201" s="149"/>
      <c r="G201" s="149"/>
      <c r="H201" s="149"/>
      <c r="I201" s="149"/>
      <c r="N201" s="147"/>
    </row>
    <row r="202" spans="1:48" x14ac:dyDescent="0.3">
      <c r="H202" s="149"/>
      <c r="I202" s="149"/>
      <c r="M202" s="148"/>
      <c r="N202" s="147"/>
    </row>
    <row r="206" spans="1:48" x14ac:dyDescent="0.3">
      <c r="J206" s="148"/>
      <c r="K206" s="148"/>
      <c r="L206" s="148"/>
    </row>
    <row r="1048538" spans="1:59" s="70" customFormat="1" x14ac:dyDescent="0.3">
      <c r="A1048538" s="148"/>
      <c r="B1048538" s="148"/>
      <c r="C1048538" s="148"/>
      <c r="D1048538" s="148"/>
      <c r="E1048538" s="148"/>
      <c r="F1048538" s="148"/>
      <c r="G1048538" s="148"/>
      <c r="H1048538" s="148"/>
      <c r="I1048538" s="148"/>
      <c r="J1048538" s="150"/>
      <c r="K1048538" s="150"/>
      <c r="L1048538" s="150"/>
      <c r="M1048538" s="150"/>
      <c r="N1048538" s="150"/>
      <c r="O1048538" s="148"/>
      <c r="AU1048538" s="69"/>
      <c r="AV1048538" s="69"/>
      <c r="AW1048538" s="148"/>
      <c r="AX1048538" s="148"/>
      <c r="AY1048538" s="148"/>
      <c r="AZ1048538" s="148"/>
      <c r="BA1048538" s="148"/>
      <c r="BB1048538" s="148"/>
      <c r="BC1048538" s="148"/>
      <c r="BD1048538" s="148"/>
      <c r="BE1048538" s="148"/>
      <c r="BF1048538" s="148"/>
      <c r="BG1048538" s="148"/>
    </row>
    <row r="1048540" spans="1:59" x14ac:dyDescent="0.3">
      <c r="O1048540" s="57"/>
    </row>
  </sheetData>
  <mergeCells count="51">
    <mergeCell ref="A1:O1"/>
    <mergeCell ref="A2:O2"/>
    <mergeCell ref="A31:B31"/>
    <mergeCell ref="A32:O32"/>
    <mergeCell ref="D33:I33"/>
    <mergeCell ref="D34:I34"/>
    <mergeCell ref="A36:I36"/>
    <mergeCell ref="M36:O36"/>
    <mergeCell ref="A37:M37"/>
    <mergeCell ref="M53:N53"/>
    <mergeCell ref="A38:O38"/>
    <mergeCell ref="D39:I39"/>
    <mergeCell ref="D40:I40"/>
    <mergeCell ref="D41:I41"/>
    <mergeCell ref="A42:I42"/>
    <mergeCell ref="A44:D44"/>
    <mergeCell ref="E44:G99"/>
    <mergeCell ref="M44:O44"/>
    <mergeCell ref="M45:N45"/>
    <mergeCell ref="M46:N46"/>
    <mergeCell ref="M47:O48"/>
    <mergeCell ref="M78:N78"/>
    <mergeCell ref="M70:N70"/>
    <mergeCell ref="M71:N71"/>
    <mergeCell ref="M72:N72"/>
    <mergeCell ref="M57:N57"/>
    <mergeCell ref="M60:N60"/>
    <mergeCell ref="M61:N61"/>
    <mergeCell ref="M62:N62"/>
    <mergeCell ref="M63:N63"/>
    <mergeCell ref="M73:N73"/>
    <mergeCell ref="M58:N58"/>
    <mergeCell ref="M59:N59"/>
    <mergeCell ref="M66:N66"/>
    <mergeCell ref="M67:N67"/>
    <mergeCell ref="M64:N64"/>
    <mergeCell ref="M65:N65"/>
    <mergeCell ref="D35:I35"/>
    <mergeCell ref="M74:N74"/>
    <mergeCell ref="M75:N75"/>
    <mergeCell ref="M76:N76"/>
    <mergeCell ref="M77:O77"/>
    <mergeCell ref="M49:O49"/>
    <mergeCell ref="M50:N50"/>
    <mergeCell ref="M51:N51"/>
    <mergeCell ref="M52:N52"/>
    <mergeCell ref="M54:N54"/>
    <mergeCell ref="M55:N55"/>
    <mergeCell ref="M56:N56"/>
    <mergeCell ref="M68:N68"/>
    <mergeCell ref="M69:N69"/>
  </mergeCells>
  <pageMargins left="0" right="0" top="0" bottom="0" header="0.31496062992125984" footer="0.31496062992125984"/>
  <pageSetup paperSize="9" scale="1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E478E-3BE2-44D1-BE76-356DD296854D}">
  <sheetPr>
    <pageSetUpPr fitToPage="1"/>
  </sheetPr>
  <dimension ref="A1:BG1048547"/>
  <sheetViews>
    <sheetView topLeftCell="G40" zoomScale="60" zoomScaleNormal="60" workbookViewId="0">
      <selection activeCell="M91" sqref="M91"/>
    </sheetView>
  </sheetViews>
  <sheetFormatPr defaultColWidth="9.109375" defaultRowHeight="13.8" x14ac:dyDescent="0.3"/>
  <cols>
    <col min="1" max="1" width="50.109375" style="148" bestFit="1" customWidth="1"/>
    <col min="2" max="2" width="11.5546875" style="148" customWidth="1"/>
    <col min="3" max="3" width="19.88671875" style="148" customWidth="1"/>
    <col min="4" max="4" width="19.44140625" style="148" customWidth="1"/>
    <col min="5" max="5" width="21.33203125" style="148" customWidth="1"/>
    <col min="6" max="7" width="19.109375" style="148" customWidth="1"/>
    <col min="8" max="8" width="17.5546875" style="148" customWidth="1"/>
    <col min="9" max="9" width="15.5546875" style="148" bestFit="1" customWidth="1"/>
    <col min="10" max="10" width="21.44140625" style="150" customWidth="1"/>
    <col min="11" max="11" width="17.109375" style="150" bestFit="1" customWidth="1"/>
    <col min="12" max="12" width="18" style="150" bestFit="1" customWidth="1"/>
    <col min="13" max="13" width="121.44140625" style="150" bestFit="1" customWidth="1"/>
    <col min="14" max="14" width="9.5546875" style="150" customWidth="1"/>
    <col min="15" max="15" width="18.5546875" style="148" customWidth="1"/>
    <col min="16" max="16" width="40.109375" style="70" bestFit="1" customWidth="1"/>
    <col min="17" max="17" width="13.109375" style="70" bestFit="1" customWidth="1"/>
    <col min="18" max="46" width="9.109375" style="70"/>
    <col min="47" max="48" width="9.109375" style="69"/>
    <col min="49" max="16384" width="9.109375" style="148"/>
  </cols>
  <sheetData>
    <row r="1" spans="1:41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</row>
    <row r="2" spans="1:41" s="10" customFormat="1" ht="28.5" customHeight="1" x14ac:dyDescent="0.3">
      <c r="A2" s="521" t="s">
        <v>717</v>
      </c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</row>
    <row r="3" spans="1:41" s="10" customFormat="1" ht="28.5" customHeight="1" x14ac:dyDescent="0.3">
      <c r="A3" s="571" t="s">
        <v>718</v>
      </c>
      <c r="B3" s="572"/>
      <c r="C3" s="572"/>
      <c r="D3" s="572"/>
      <c r="E3" s="572"/>
      <c r="F3" s="572"/>
      <c r="G3" s="572"/>
      <c r="H3" s="572"/>
      <c r="I3" s="572"/>
      <c r="J3" s="572"/>
      <c r="K3" s="572"/>
      <c r="L3" s="572"/>
      <c r="M3" s="572"/>
      <c r="N3" s="572"/>
      <c r="O3" s="573"/>
      <c r="P3" s="211"/>
    </row>
    <row r="4" spans="1:41" s="10" customFormat="1" ht="30.75" customHeight="1" x14ac:dyDescent="0.3">
      <c r="A4" s="83" t="s">
        <v>3</v>
      </c>
      <c r="B4" s="83" t="s">
        <v>0</v>
      </c>
      <c r="C4" s="84" t="s">
        <v>1</v>
      </c>
      <c r="D4" s="84" t="s">
        <v>68</v>
      </c>
      <c r="E4" s="84" t="s">
        <v>69</v>
      </c>
      <c r="F4" s="85" t="s">
        <v>2</v>
      </c>
      <c r="G4" s="85" t="s">
        <v>592</v>
      </c>
      <c r="H4" s="84" t="s">
        <v>6</v>
      </c>
      <c r="I4" s="84" t="s">
        <v>7</v>
      </c>
      <c r="J4" s="84" t="s">
        <v>4</v>
      </c>
      <c r="K4" s="84" t="s">
        <v>5</v>
      </c>
      <c r="L4" s="84" t="s">
        <v>70</v>
      </c>
      <c r="M4" s="83" t="s">
        <v>59</v>
      </c>
      <c r="N4" s="86" t="s">
        <v>8</v>
      </c>
      <c r="O4" s="86" t="s">
        <v>10</v>
      </c>
    </row>
    <row r="5" spans="1:41" s="204" customFormat="1" x14ac:dyDescent="0.3">
      <c r="A5" s="193" t="s">
        <v>748</v>
      </c>
      <c r="B5" s="193">
        <v>15</v>
      </c>
      <c r="C5" s="192">
        <f>'GERAL 2023'!G36</f>
        <v>680</v>
      </c>
      <c r="D5" s="192">
        <v>0</v>
      </c>
      <c r="E5" s="196">
        <f>C5-D5</f>
        <v>680</v>
      </c>
      <c r="F5" s="192">
        <f>25</f>
        <v>25</v>
      </c>
      <c r="G5" s="192">
        <f>((1347.3/27))</f>
        <v>49.9</v>
      </c>
      <c r="H5" s="192">
        <f>'GERAL 2023'!I36</f>
        <v>1.7523167848699763</v>
      </c>
      <c r="I5" s="192">
        <f>'GERAL 2023'!K36</f>
        <v>19.836666666666666</v>
      </c>
      <c r="J5" s="191">
        <f>SUM(E5:I5)</f>
        <v>776.48898345153668</v>
      </c>
      <c r="K5" s="192">
        <f>60%*(C5+F5)</f>
        <v>423</v>
      </c>
      <c r="L5" s="192">
        <f>J5-K5</f>
        <v>353.48898345153668</v>
      </c>
      <c r="M5" s="193" t="s">
        <v>719</v>
      </c>
      <c r="N5" s="197">
        <v>10</v>
      </c>
      <c r="O5" s="194">
        <v>11</v>
      </c>
      <c r="P5" s="200"/>
      <c r="Q5" s="200"/>
      <c r="R5" s="200"/>
      <c r="S5" s="200"/>
      <c r="T5" s="200"/>
      <c r="U5" s="200"/>
      <c r="V5" s="200"/>
      <c r="W5" s="200"/>
      <c r="X5" s="200"/>
    </row>
    <row r="6" spans="1:41" s="10" customFormat="1" x14ac:dyDescent="0.3">
      <c r="A6" s="518" t="s">
        <v>4</v>
      </c>
      <c r="B6" s="518"/>
      <c r="C6" s="109">
        <f t="shared" ref="C6:L6" si="0">SUM(C5:C5)</f>
        <v>680</v>
      </c>
      <c r="D6" s="109">
        <f t="shared" si="0"/>
        <v>0</v>
      </c>
      <c r="E6" s="109">
        <f t="shared" si="0"/>
        <v>680</v>
      </c>
      <c r="F6" s="109">
        <f t="shared" si="0"/>
        <v>25</v>
      </c>
      <c r="G6" s="109">
        <f t="shared" si="0"/>
        <v>49.9</v>
      </c>
      <c r="H6" s="109">
        <f t="shared" si="0"/>
        <v>1.7523167848699763</v>
      </c>
      <c r="I6" s="109">
        <f t="shared" si="0"/>
        <v>19.836666666666666</v>
      </c>
      <c r="J6" s="109">
        <f t="shared" si="0"/>
        <v>776.48898345153668</v>
      </c>
      <c r="K6" s="109">
        <f t="shared" si="0"/>
        <v>423</v>
      </c>
      <c r="L6" s="109">
        <f t="shared" si="0"/>
        <v>353.48898345153668</v>
      </c>
      <c r="M6" s="90"/>
      <c r="N6" s="3"/>
      <c r="O6" s="3"/>
    </row>
    <row r="7" spans="1:41" s="11" customFormat="1" ht="34.5" customHeight="1" x14ac:dyDescent="0.3">
      <c r="A7" s="83" t="s">
        <v>3</v>
      </c>
      <c r="B7" s="83" t="s">
        <v>0</v>
      </c>
      <c r="C7" s="84" t="s">
        <v>1</v>
      </c>
      <c r="D7" s="84" t="s">
        <v>68</v>
      </c>
      <c r="E7" s="84" t="s">
        <v>69</v>
      </c>
      <c r="F7" s="85" t="s">
        <v>2</v>
      </c>
      <c r="G7" s="85" t="s">
        <v>592</v>
      </c>
      <c r="H7" s="84" t="s">
        <v>6</v>
      </c>
      <c r="I7" s="84" t="s">
        <v>7</v>
      </c>
      <c r="J7" s="84" t="s">
        <v>4</v>
      </c>
      <c r="K7" s="84" t="s">
        <v>5</v>
      </c>
      <c r="L7" s="84" t="s">
        <v>70</v>
      </c>
      <c r="M7" s="83" t="s">
        <v>59</v>
      </c>
      <c r="N7" s="86" t="s">
        <v>8</v>
      </c>
      <c r="O7" s="86" t="s">
        <v>10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</row>
    <row r="8" spans="1:41" s="199" customFormat="1" x14ac:dyDescent="0.3">
      <c r="A8" s="195" t="s">
        <v>742</v>
      </c>
      <c r="B8" s="193">
        <v>1</v>
      </c>
      <c r="C8" s="192">
        <f>'GERAL 2023'!G33/30*23</f>
        <v>444.66666666666663</v>
      </c>
      <c r="D8" s="192">
        <v>0</v>
      </c>
      <c r="E8" s="192">
        <f t="shared" ref="E8:E24" si="1">C8-D8</f>
        <v>444.66666666666663</v>
      </c>
      <c r="F8" s="196">
        <v>0</v>
      </c>
      <c r="G8" s="192">
        <f>(1347.3/27)/30*23</f>
        <v>38.256666666666668</v>
      </c>
      <c r="H8" s="192">
        <f>D54/30*23</f>
        <v>0.95960204885736788</v>
      </c>
      <c r="I8" s="192">
        <v>19.7</v>
      </c>
      <c r="J8" s="191">
        <f t="shared" ref="J8:J34" si="2">SUM(E8:I8)</f>
        <v>503.58293538219067</v>
      </c>
      <c r="K8" s="192">
        <f>7%*J8</f>
        <v>35.250805476753349</v>
      </c>
      <c r="L8" s="192">
        <f>J8-K8</f>
        <v>468.33212990543734</v>
      </c>
      <c r="M8" s="196" t="s">
        <v>720</v>
      </c>
      <c r="N8" s="197">
        <v>10</v>
      </c>
      <c r="O8" s="197">
        <v>11</v>
      </c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</row>
    <row r="9" spans="1:41" s="203" customFormat="1" x14ac:dyDescent="0.3">
      <c r="A9" s="193" t="s">
        <v>758</v>
      </c>
      <c r="B9" s="194">
        <v>2</v>
      </c>
      <c r="C9" s="196">
        <f>'GERAL 2022'!G4</f>
        <v>580</v>
      </c>
      <c r="D9" s="196">
        <v>0</v>
      </c>
      <c r="E9" s="196">
        <f t="shared" si="1"/>
        <v>580</v>
      </c>
      <c r="F9" s="196">
        <v>50</v>
      </c>
      <c r="G9" s="192">
        <f t="shared" ref="G9:G34" si="3">(1347.3/27)</f>
        <v>49.9</v>
      </c>
      <c r="H9" s="192">
        <f>D52</f>
        <v>1.2516548463356973</v>
      </c>
      <c r="I9" s="196">
        <v>0</v>
      </c>
      <c r="J9" s="191">
        <f t="shared" si="2"/>
        <v>681.15165484633565</v>
      </c>
      <c r="K9" s="192">
        <f>7%*J9</f>
        <v>47.680615839243501</v>
      </c>
      <c r="L9" s="192">
        <f t="shared" ref="L9:L33" si="4">J9-K9</f>
        <v>633.47103900709214</v>
      </c>
      <c r="M9" s="193" t="s">
        <v>723</v>
      </c>
      <c r="N9" s="197">
        <v>10</v>
      </c>
      <c r="O9" s="197">
        <v>11</v>
      </c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G9" s="200"/>
      <c r="AH9" s="200"/>
      <c r="AI9" s="200"/>
      <c r="AJ9" s="200"/>
      <c r="AK9" s="201"/>
      <c r="AL9" s="202"/>
      <c r="AM9" s="202"/>
      <c r="AN9" s="202"/>
      <c r="AO9" s="202"/>
    </row>
    <row r="10" spans="1:41" s="204" customFormat="1" x14ac:dyDescent="0.3">
      <c r="A10" s="193" t="s">
        <v>753</v>
      </c>
      <c r="B10" s="194">
        <v>3</v>
      </c>
      <c r="C10" s="196">
        <f>'GERAL 2022'!G5</f>
        <v>550</v>
      </c>
      <c r="D10" s="196">
        <v>0</v>
      </c>
      <c r="E10" s="196">
        <f t="shared" si="1"/>
        <v>550</v>
      </c>
      <c r="F10" s="196">
        <v>0</v>
      </c>
      <c r="G10" s="192">
        <f t="shared" si="3"/>
        <v>49.9</v>
      </c>
      <c r="H10" s="192">
        <f>D54</f>
        <v>1.2516548463356973</v>
      </c>
      <c r="I10" s="196">
        <v>0</v>
      </c>
      <c r="J10" s="191">
        <f t="shared" si="2"/>
        <v>601.15165484633565</v>
      </c>
      <c r="K10" s="192">
        <f t="shared" ref="K10:K34" si="5">7%*J10</f>
        <v>42.080615839243499</v>
      </c>
      <c r="L10" s="192">
        <f t="shared" si="4"/>
        <v>559.07103900709217</v>
      </c>
      <c r="M10" s="193" t="s">
        <v>723</v>
      </c>
      <c r="N10" s="197">
        <v>10</v>
      </c>
      <c r="O10" s="197">
        <v>11</v>
      </c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0"/>
      <c r="AM10" s="200"/>
      <c r="AN10" s="200"/>
      <c r="AO10" s="200"/>
    </row>
    <row r="11" spans="1:41" s="199" customFormat="1" x14ac:dyDescent="0.3">
      <c r="A11" s="193" t="s">
        <v>743</v>
      </c>
      <c r="B11" s="193">
        <v>4</v>
      </c>
      <c r="C11" s="192">
        <f>550+(3.78823%*550)</f>
        <v>570.83526500000005</v>
      </c>
      <c r="D11" s="192">
        <v>0</v>
      </c>
      <c r="E11" s="192">
        <f t="shared" si="1"/>
        <v>570.83526500000005</v>
      </c>
      <c r="F11" s="192">
        <v>50</v>
      </c>
      <c r="G11" s="192">
        <f>(1347.3/27)</f>
        <v>49.9</v>
      </c>
      <c r="H11" s="192">
        <f>D56</f>
        <v>1.2516548463356973</v>
      </c>
      <c r="I11" s="192">
        <v>19.64</v>
      </c>
      <c r="J11" s="191">
        <f t="shared" si="2"/>
        <v>691.62691984633568</v>
      </c>
      <c r="K11" s="192">
        <f t="shared" si="5"/>
        <v>48.413884389243499</v>
      </c>
      <c r="L11" s="192">
        <f t="shared" si="4"/>
        <v>643.21303545709213</v>
      </c>
      <c r="M11" s="193" t="s">
        <v>724</v>
      </c>
      <c r="N11" s="197">
        <v>10</v>
      </c>
      <c r="O11" s="194">
        <v>11</v>
      </c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</row>
    <row r="12" spans="1:41" s="199" customFormat="1" x14ac:dyDescent="0.3">
      <c r="A12" s="193" t="s">
        <v>744</v>
      </c>
      <c r="B12" s="193">
        <v>5</v>
      </c>
      <c r="C12" s="192">
        <f>'GERAL 2023'!G7</f>
        <v>580</v>
      </c>
      <c r="D12" s="192">
        <v>0</v>
      </c>
      <c r="E12" s="192">
        <f>C12-D12</f>
        <v>580</v>
      </c>
      <c r="F12" s="192">
        <f>50</f>
        <v>50</v>
      </c>
      <c r="G12" s="192">
        <f t="shared" si="3"/>
        <v>49.9</v>
      </c>
      <c r="H12" s="192">
        <f>D58</f>
        <v>1.2516548463356973</v>
      </c>
      <c r="I12" s="192">
        <f>D57</f>
        <v>19.696666666666669</v>
      </c>
      <c r="J12" s="191">
        <f t="shared" si="2"/>
        <v>700.84832151300236</v>
      </c>
      <c r="K12" s="192">
        <f t="shared" si="5"/>
        <v>49.059382505910172</v>
      </c>
      <c r="L12" s="192">
        <f t="shared" si="4"/>
        <v>651.78893900709215</v>
      </c>
      <c r="M12" s="193" t="s">
        <v>725</v>
      </c>
      <c r="N12" s="197">
        <v>10</v>
      </c>
      <c r="O12" s="197">
        <v>11</v>
      </c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</row>
    <row r="13" spans="1:41" s="206" customFormat="1" x14ac:dyDescent="0.3">
      <c r="A13" s="193" t="s">
        <v>745</v>
      </c>
      <c r="B13" s="193">
        <v>6</v>
      </c>
      <c r="C13" s="196">
        <f>'GERAL 2023'!G8</f>
        <v>680</v>
      </c>
      <c r="D13" s="196">
        <v>0</v>
      </c>
      <c r="E13" s="192">
        <f>C13-D13</f>
        <v>680</v>
      </c>
      <c r="F13" s="192">
        <f>100</f>
        <v>100</v>
      </c>
      <c r="G13" s="192">
        <f t="shared" si="3"/>
        <v>49.9</v>
      </c>
      <c r="H13" s="192">
        <f>D61</f>
        <v>1.7523167848699763</v>
      </c>
      <c r="I13" s="192">
        <f>D59</f>
        <v>19.893333333333334</v>
      </c>
      <c r="J13" s="191">
        <f t="shared" si="2"/>
        <v>851.5456501182033</v>
      </c>
      <c r="K13" s="192">
        <f t="shared" si="5"/>
        <v>59.608195508274235</v>
      </c>
      <c r="L13" s="192">
        <f>J13-K13</f>
        <v>791.93745460992909</v>
      </c>
      <c r="M13" s="193" t="s">
        <v>725</v>
      </c>
      <c r="N13" s="197">
        <v>10</v>
      </c>
      <c r="O13" s="197">
        <v>11</v>
      </c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</row>
    <row r="14" spans="1:41" s="199" customFormat="1" x14ac:dyDescent="0.3">
      <c r="A14" s="193"/>
      <c r="B14" s="193">
        <v>7</v>
      </c>
      <c r="C14" s="192">
        <v>0</v>
      </c>
      <c r="D14" s="192">
        <v>0</v>
      </c>
      <c r="E14" s="196">
        <f>C14-D14</f>
        <v>0</v>
      </c>
      <c r="F14" s="192">
        <v>0</v>
      </c>
      <c r="G14" s="192">
        <v>0</v>
      </c>
      <c r="H14" s="192">
        <v>0</v>
      </c>
      <c r="I14" s="192">
        <v>0</v>
      </c>
      <c r="J14" s="191">
        <f t="shared" si="2"/>
        <v>0</v>
      </c>
      <c r="K14" s="192">
        <f t="shared" si="5"/>
        <v>0</v>
      </c>
      <c r="L14" s="192">
        <f t="shared" si="4"/>
        <v>0</v>
      </c>
      <c r="M14" s="193" t="s">
        <v>525</v>
      </c>
      <c r="N14" s="197"/>
      <c r="O14" s="197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</row>
    <row r="15" spans="1:41" s="199" customFormat="1" x14ac:dyDescent="0.3">
      <c r="A15" s="193" t="s">
        <v>746</v>
      </c>
      <c r="B15" s="193">
        <v>8</v>
      </c>
      <c r="C15" s="192">
        <f>'GERAL 2022'!G37</f>
        <v>580</v>
      </c>
      <c r="D15" s="192">
        <v>0</v>
      </c>
      <c r="E15" s="196">
        <f t="shared" si="1"/>
        <v>580</v>
      </c>
      <c r="F15" s="192">
        <v>50</v>
      </c>
      <c r="G15" s="192">
        <f t="shared" si="3"/>
        <v>49.9</v>
      </c>
      <c r="H15" s="192">
        <f>D65</f>
        <v>1.2516548463356973</v>
      </c>
      <c r="I15" s="192">
        <v>0</v>
      </c>
      <c r="J15" s="191">
        <f t="shared" si="2"/>
        <v>681.15165484633565</v>
      </c>
      <c r="K15" s="192">
        <f t="shared" si="5"/>
        <v>47.680615839243501</v>
      </c>
      <c r="L15" s="192">
        <f t="shared" si="4"/>
        <v>633.47103900709214</v>
      </c>
      <c r="M15" s="193" t="s">
        <v>723</v>
      </c>
      <c r="N15" s="207">
        <v>10</v>
      </c>
      <c r="O15" s="197">
        <v>11</v>
      </c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</row>
    <row r="16" spans="1:41" s="199" customFormat="1" ht="14.25" customHeight="1" x14ac:dyDescent="0.3">
      <c r="A16" s="193" t="s">
        <v>754</v>
      </c>
      <c r="B16" s="193">
        <v>9</v>
      </c>
      <c r="C16" s="192">
        <f>'GERAL 2022'!G11+(5.45129%*580)</f>
        <v>611.617482</v>
      </c>
      <c r="D16" s="192">
        <v>0</v>
      </c>
      <c r="E16" s="196">
        <f t="shared" si="1"/>
        <v>611.617482</v>
      </c>
      <c r="F16" s="192">
        <f>25</f>
        <v>25</v>
      </c>
      <c r="G16" s="192">
        <f t="shared" si="3"/>
        <v>49.9</v>
      </c>
      <c r="H16" s="192">
        <f>D67</f>
        <v>1.2516548463356973</v>
      </c>
      <c r="I16" s="192">
        <v>19.7</v>
      </c>
      <c r="J16" s="191">
        <f t="shared" si="2"/>
        <v>707.46913684633569</v>
      </c>
      <c r="K16" s="192">
        <f t="shared" si="5"/>
        <v>49.522839579243502</v>
      </c>
      <c r="L16" s="192">
        <f t="shared" si="4"/>
        <v>657.94629726709218</v>
      </c>
      <c r="M16" s="193" t="s">
        <v>726</v>
      </c>
      <c r="N16" s="207">
        <v>10</v>
      </c>
      <c r="O16" s="197">
        <v>11</v>
      </c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</row>
    <row r="17" spans="1:46" s="148" customFormat="1" x14ac:dyDescent="0.3">
      <c r="A17" s="194" t="s">
        <v>739</v>
      </c>
      <c r="B17" s="194">
        <v>10</v>
      </c>
      <c r="C17" s="192">
        <f>'GERAL 2022'!G38</f>
        <v>550</v>
      </c>
      <c r="D17" s="192">
        <v>0</v>
      </c>
      <c r="E17" s="196">
        <f t="shared" si="1"/>
        <v>550</v>
      </c>
      <c r="F17" s="192">
        <v>50</v>
      </c>
      <c r="G17" s="192">
        <f t="shared" si="3"/>
        <v>49.9</v>
      </c>
      <c r="H17" s="192">
        <f>D69</f>
        <v>1.2516548463356973</v>
      </c>
      <c r="I17" s="192">
        <v>19.649999999999999</v>
      </c>
      <c r="J17" s="191">
        <f t="shared" si="2"/>
        <v>670.80165484633562</v>
      </c>
      <c r="K17" s="192">
        <f t="shared" si="5"/>
        <v>46.956115839243495</v>
      </c>
      <c r="L17" s="192">
        <f t="shared" si="4"/>
        <v>623.84553900709216</v>
      </c>
      <c r="M17" s="193" t="s">
        <v>729</v>
      </c>
      <c r="N17" s="197">
        <v>10</v>
      </c>
      <c r="O17" s="194">
        <v>11</v>
      </c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208"/>
      <c r="AD17" s="208"/>
      <c r="AE17" s="208"/>
      <c r="AF17" s="208"/>
      <c r="AG17" s="208"/>
      <c r="AH17" s="208"/>
      <c r="AI17" s="208"/>
      <c r="AJ17" s="208"/>
      <c r="AK17" s="208"/>
      <c r="AL17" s="208"/>
      <c r="AM17" s="208"/>
      <c r="AN17" s="208"/>
      <c r="AO17" s="208"/>
      <c r="AP17" s="208"/>
      <c r="AQ17" s="208"/>
      <c r="AR17" s="208"/>
      <c r="AS17" s="208"/>
      <c r="AT17" s="208"/>
    </row>
    <row r="18" spans="1:46" s="148" customFormat="1" x14ac:dyDescent="0.3">
      <c r="A18" s="194" t="s">
        <v>755</v>
      </c>
      <c r="B18" s="194">
        <v>11</v>
      </c>
      <c r="C18" s="192">
        <f>'GERAL 2022'!G13+(0.16712%*550)</f>
        <v>550.91916000000003</v>
      </c>
      <c r="D18" s="192">
        <v>0</v>
      </c>
      <c r="E18" s="196">
        <f t="shared" si="1"/>
        <v>550.91916000000003</v>
      </c>
      <c r="F18" s="192">
        <v>0</v>
      </c>
      <c r="G18" s="192">
        <f t="shared" si="3"/>
        <v>49.9</v>
      </c>
      <c r="H18" s="192">
        <f>D71</f>
        <v>1.2516548463356973</v>
      </c>
      <c r="I18" s="192">
        <v>19.64</v>
      </c>
      <c r="J18" s="191">
        <f t="shared" si="2"/>
        <v>621.71081484633567</v>
      </c>
      <c r="K18" s="192">
        <f>7%*J18</f>
        <v>43.519757039243501</v>
      </c>
      <c r="L18" s="192">
        <f t="shared" si="4"/>
        <v>578.19105780709219</v>
      </c>
      <c r="M18" s="196" t="s">
        <v>727</v>
      </c>
      <c r="N18" s="197">
        <v>10</v>
      </c>
      <c r="O18" s="194">
        <v>11</v>
      </c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  <c r="AI18" s="208"/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  <c r="AT18" s="208"/>
    </row>
    <row r="19" spans="1:46" s="199" customFormat="1" x14ac:dyDescent="0.3">
      <c r="A19" s="193" t="s">
        <v>740</v>
      </c>
      <c r="B19" s="193">
        <v>12</v>
      </c>
      <c r="C19" s="192">
        <f>'GERAL 2022'!G14</f>
        <v>550</v>
      </c>
      <c r="D19" s="192">
        <v>0</v>
      </c>
      <c r="E19" s="196">
        <f t="shared" si="1"/>
        <v>550</v>
      </c>
      <c r="F19" s="196">
        <v>25</v>
      </c>
      <c r="G19" s="192">
        <f t="shared" si="3"/>
        <v>49.9</v>
      </c>
      <c r="H19" s="192">
        <f>D73</f>
        <v>1.2516548463356973</v>
      </c>
      <c r="I19" s="196">
        <v>19.649999999999999</v>
      </c>
      <c r="J19" s="191">
        <f t="shared" si="2"/>
        <v>645.80165484633562</v>
      </c>
      <c r="K19" s="192">
        <f t="shared" si="5"/>
        <v>45.206115839243495</v>
      </c>
      <c r="L19" s="192">
        <f t="shared" si="4"/>
        <v>600.59553900709216</v>
      </c>
      <c r="M19" s="193" t="s">
        <v>729</v>
      </c>
      <c r="N19" s="197">
        <v>10</v>
      </c>
      <c r="O19" s="197">
        <v>11</v>
      </c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198"/>
      <c r="AN19" s="198"/>
      <c r="AO19" s="198"/>
    </row>
    <row r="20" spans="1:46" s="206" customFormat="1" x14ac:dyDescent="0.3">
      <c r="A20" s="193" t="s">
        <v>756</v>
      </c>
      <c r="B20" s="193">
        <v>13</v>
      </c>
      <c r="C20" s="196">
        <f>'GERAL 2022'!G15</f>
        <v>550</v>
      </c>
      <c r="D20" s="196">
        <v>0</v>
      </c>
      <c r="E20" s="196">
        <f t="shared" si="1"/>
        <v>550</v>
      </c>
      <c r="F20" s="192">
        <v>0</v>
      </c>
      <c r="G20" s="192">
        <f t="shared" si="3"/>
        <v>49.9</v>
      </c>
      <c r="H20" s="192">
        <f>D75</f>
        <v>1.2516548463356973</v>
      </c>
      <c r="I20" s="192">
        <f>D74</f>
        <v>19.641666666666666</v>
      </c>
      <c r="J20" s="191">
        <f t="shared" si="2"/>
        <v>620.7933215130023</v>
      </c>
      <c r="K20" s="192">
        <f t="shared" si="5"/>
        <v>43.455532505910163</v>
      </c>
      <c r="L20" s="192">
        <f t="shared" si="4"/>
        <v>577.33778900709217</v>
      </c>
      <c r="M20" s="193" t="s">
        <v>728</v>
      </c>
      <c r="N20" s="197">
        <v>10</v>
      </c>
      <c r="O20" s="197">
        <v>11</v>
      </c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  <c r="AA20" s="205"/>
      <c r="AB20" s="205"/>
      <c r="AC20" s="205"/>
      <c r="AD20" s="205"/>
      <c r="AE20" s="205"/>
      <c r="AF20" s="205"/>
      <c r="AG20" s="205"/>
      <c r="AH20" s="205"/>
      <c r="AI20" s="205"/>
      <c r="AJ20" s="205"/>
      <c r="AK20" s="205"/>
      <c r="AL20" s="205"/>
      <c r="AM20" s="205"/>
      <c r="AN20" s="205"/>
      <c r="AO20" s="205"/>
    </row>
    <row r="21" spans="1:46" s="148" customFormat="1" x14ac:dyDescent="0.3">
      <c r="A21" s="194" t="s">
        <v>747</v>
      </c>
      <c r="B21" s="194">
        <v>14</v>
      </c>
      <c r="C21" s="192">
        <f>'GERAL 2022'!G39</f>
        <v>580</v>
      </c>
      <c r="D21" s="192">
        <v>0</v>
      </c>
      <c r="E21" s="196">
        <f t="shared" si="1"/>
        <v>580</v>
      </c>
      <c r="F21" s="192">
        <f>50</f>
        <v>50</v>
      </c>
      <c r="G21" s="192">
        <f t="shared" si="3"/>
        <v>49.9</v>
      </c>
      <c r="H21" s="192">
        <f>D77</f>
        <v>1.2516548463356973</v>
      </c>
      <c r="I21" s="192">
        <v>0</v>
      </c>
      <c r="J21" s="191">
        <f t="shared" si="2"/>
        <v>681.15165484633565</v>
      </c>
      <c r="K21" s="192">
        <f t="shared" si="5"/>
        <v>47.680615839243501</v>
      </c>
      <c r="L21" s="192">
        <f t="shared" si="4"/>
        <v>633.47103900709214</v>
      </c>
      <c r="M21" s="193" t="s">
        <v>723</v>
      </c>
      <c r="N21" s="197">
        <v>10</v>
      </c>
      <c r="O21" s="194">
        <v>11</v>
      </c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  <c r="AA21" s="208"/>
      <c r="AB21" s="208"/>
      <c r="AC21" s="208"/>
      <c r="AD21" s="208"/>
      <c r="AE21" s="208"/>
      <c r="AF21" s="208"/>
      <c r="AG21" s="208"/>
      <c r="AH21" s="208"/>
      <c r="AI21" s="208"/>
      <c r="AJ21" s="208"/>
      <c r="AK21" s="208"/>
      <c r="AL21" s="208"/>
      <c r="AM21" s="208"/>
      <c r="AN21" s="208"/>
      <c r="AO21" s="208"/>
      <c r="AP21" s="208"/>
      <c r="AQ21" s="208"/>
      <c r="AR21" s="208"/>
      <c r="AS21" s="208"/>
      <c r="AT21" s="208"/>
    </row>
    <row r="22" spans="1:46" s="204" customFormat="1" x14ac:dyDescent="0.3">
      <c r="A22" s="193" t="s">
        <v>748</v>
      </c>
      <c r="B22" s="193">
        <v>15</v>
      </c>
      <c r="C22" s="192">
        <v>0</v>
      </c>
      <c r="D22" s="192">
        <v>0</v>
      </c>
      <c r="E22" s="196">
        <f t="shared" si="1"/>
        <v>0</v>
      </c>
      <c r="F22" s="192">
        <v>0</v>
      </c>
      <c r="G22" s="192">
        <v>0</v>
      </c>
      <c r="H22" s="192">
        <v>0</v>
      </c>
      <c r="I22" s="192">
        <v>0</v>
      </c>
      <c r="J22" s="191">
        <f t="shared" si="2"/>
        <v>0</v>
      </c>
      <c r="K22" s="192">
        <f t="shared" si="5"/>
        <v>0</v>
      </c>
      <c r="L22" s="192">
        <f t="shared" si="4"/>
        <v>0</v>
      </c>
      <c r="M22" s="193" t="s">
        <v>108</v>
      </c>
      <c r="N22" s="197">
        <v>10</v>
      </c>
      <c r="O22" s="194">
        <v>11</v>
      </c>
      <c r="P22" s="200"/>
      <c r="Q22" s="200"/>
      <c r="R22" s="200"/>
      <c r="S22" s="200"/>
      <c r="T22" s="200"/>
      <c r="U22" s="200"/>
      <c r="V22" s="200"/>
      <c r="W22" s="200"/>
      <c r="X22" s="200"/>
    </row>
    <row r="23" spans="1:46" s="206" customFormat="1" x14ac:dyDescent="0.3">
      <c r="A23" s="197" t="s">
        <v>757</v>
      </c>
      <c r="B23" s="197">
        <v>16</v>
      </c>
      <c r="C23" s="192">
        <f>'GERAL 2023'!G37</f>
        <v>610</v>
      </c>
      <c r="D23" s="192">
        <v>0</v>
      </c>
      <c r="E23" s="196">
        <f>C23-D23</f>
        <v>610</v>
      </c>
      <c r="F23" s="192">
        <v>0</v>
      </c>
      <c r="G23" s="192">
        <f t="shared" si="3"/>
        <v>49.9</v>
      </c>
      <c r="H23" s="192">
        <f>D81</f>
        <v>1.2516548463356973</v>
      </c>
      <c r="I23" s="192">
        <v>19.760000000000002</v>
      </c>
      <c r="J23" s="191">
        <f t="shared" si="2"/>
        <v>680.91165484633564</v>
      </c>
      <c r="K23" s="192">
        <f t="shared" si="5"/>
        <v>47.663815839243497</v>
      </c>
      <c r="L23" s="192">
        <f t="shared" si="4"/>
        <v>633.24783900709213</v>
      </c>
      <c r="M23" s="193" t="s">
        <v>730</v>
      </c>
      <c r="N23" s="197">
        <v>10</v>
      </c>
      <c r="O23" s="197">
        <v>11</v>
      </c>
      <c r="P23" s="205"/>
      <c r="Q23" s="205"/>
      <c r="R23" s="205"/>
      <c r="S23" s="205"/>
      <c r="T23" s="205"/>
      <c r="U23" s="205"/>
      <c r="V23" s="205"/>
      <c r="W23" s="205"/>
      <c r="X23" s="205"/>
      <c r="Y23" s="205"/>
      <c r="Z23" s="205"/>
      <c r="AA23" s="205"/>
      <c r="AB23" s="205"/>
      <c r="AC23" s="205"/>
      <c r="AD23" s="205"/>
      <c r="AE23" s="205"/>
      <c r="AF23" s="205"/>
      <c r="AG23" s="205"/>
      <c r="AH23" s="205"/>
      <c r="AI23" s="205"/>
      <c r="AJ23" s="205"/>
      <c r="AK23" s="205"/>
      <c r="AL23" s="205"/>
      <c r="AM23" s="205"/>
      <c r="AN23" s="205"/>
      <c r="AO23" s="205"/>
    </row>
    <row r="24" spans="1:46" s="206" customFormat="1" x14ac:dyDescent="0.3">
      <c r="A24" s="195" t="s">
        <v>741</v>
      </c>
      <c r="B24" s="195">
        <v>17</v>
      </c>
      <c r="C24" s="192">
        <f>'GERAL 2022'!G41</f>
        <v>580</v>
      </c>
      <c r="D24" s="192">
        <v>0</v>
      </c>
      <c r="E24" s="196">
        <f t="shared" si="1"/>
        <v>580</v>
      </c>
      <c r="F24" s="192">
        <v>0</v>
      </c>
      <c r="G24" s="192">
        <f t="shared" si="3"/>
        <v>49.9</v>
      </c>
      <c r="H24" s="192">
        <f>D83</f>
        <v>1.2516548463356973</v>
      </c>
      <c r="I24" s="192">
        <v>19.68</v>
      </c>
      <c r="J24" s="191">
        <f t="shared" si="2"/>
        <v>650.8316548463356</v>
      </c>
      <c r="K24" s="192">
        <f t="shared" si="5"/>
        <v>45.558215839243495</v>
      </c>
      <c r="L24" s="192">
        <f t="shared" si="4"/>
        <v>605.27343900709207</v>
      </c>
      <c r="M24" s="196" t="s">
        <v>729</v>
      </c>
      <c r="N24" s="197">
        <v>10</v>
      </c>
      <c r="O24" s="197">
        <v>11</v>
      </c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</row>
    <row r="25" spans="1:46" s="206" customFormat="1" x14ac:dyDescent="0.3">
      <c r="A25" s="195" t="s">
        <v>749</v>
      </c>
      <c r="B25" s="193">
        <v>18</v>
      </c>
      <c r="C25" s="192">
        <f>'GERAL 2023'!G20</f>
        <v>640</v>
      </c>
      <c r="D25" s="192">
        <v>0</v>
      </c>
      <c r="E25" s="196">
        <f>C25-D25</f>
        <v>640</v>
      </c>
      <c r="F25" s="192">
        <v>50</v>
      </c>
      <c r="G25" s="192">
        <f t="shared" si="3"/>
        <v>49.9</v>
      </c>
      <c r="H25" s="192">
        <f>D85</f>
        <v>1.2516548463356973</v>
      </c>
      <c r="I25" s="192">
        <v>0</v>
      </c>
      <c r="J25" s="191">
        <f t="shared" si="2"/>
        <v>741.15165484633565</v>
      </c>
      <c r="K25" s="192">
        <f t="shared" si="5"/>
        <v>51.880615839243497</v>
      </c>
      <c r="L25" s="192">
        <f t="shared" si="4"/>
        <v>689.2710390070921</v>
      </c>
      <c r="M25" s="193" t="s">
        <v>723</v>
      </c>
      <c r="N25" s="197">
        <v>10</v>
      </c>
      <c r="O25" s="197">
        <v>11</v>
      </c>
      <c r="P25" s="205"/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</row>
    <row r="26" spans="1:46" s="206" customFormat="1" x14ac:dyDescent="0.3">
      <c r="A26" s="209" t="s">
        <v>738</v>
      </c>
      <c r="B26" s="193">
        <v>19</v>
      </c>
      <c r="C26" s="192">
        <f>'GERAL 2023'!G38/30*18</f>
        <v>366</v>
      </c>
      <c r="D26" s="192">
        <v>0</v>
      </c>
      <c r="E26" s="196">
        <f>(C26-D26)</f>
        <v>366</v>
      </c>
      <c r="F26" s="192">
        <f>25/30*2</f>
        <v>1.6666666666666667</v>
      </c>
      <c r="G26" s="192">
        <f>(1347.3/27)/30*18</f>
        <v>29.94</v>
      </c>
      <c r="H26" s="192">
        <f>'GERAL 2023'!I38/30*18</f>
        <v>0.75099290780141836</v>
      </c>
      <c r="I26" s="192">
        <v>19.78</v>
      </c>
      <c r="J26" s="191">
        <f t="shared" si="2"/>
        <v>418.1376595744681</v>
      </c>
      <c r="K26" s="192">
        <f t="shared" si="5"/>
        <v>29.26963617021277</v>
      </c>
      <c r="L26" s="192">
        <f t="shared" si="4"/>
        <v>388.86802340425533</v>
      </c>
      <c r="M26" s="193" t="s">
        <v>732</v>
      </c>
      <c r="N26" s="197">
        <v>10</v>
      </c>
      <c r="O26" s="197">
        <v>11</v>
      </c>
      <c r="P26" s="205"/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</row>
    <row r="27" spans="1:46" s="206" customFormat="1" x14ac:dyDescent="0.3">
      <c r="A27" s="195" t="s">
        <v>735</v>
      </c>
      <c r="B27" s="193">
        <v>20</v>
      </c>
      <c r="C27" s="192">
        <f>'GERAL 2022'!G22/30*15</f>
        <v>330</v>
      </c>
      <c r="D27" s="192">
        <v>0</v>
      </c>
      <c r="E27" s="196">
        <f t="shared" ref="E27:E34" si="6">C27-D27</f>
        <v>330</v>
      </c>
      <c r="F27" s="192">
        <f>50/30*15</f>
        <v>25</v>
      </c>
      <c r="G27" s="192">
        <f>((1347.3/27))/30*15</f>
        <v>24.95</v>
      </c>
      <c r="H27" s="192">
        <f>D89/30*15</f>
        <v>0.62582742316784867</v>
      </c>
      <c r="I27" s="192">
        <f>D88</f>
        <v>19.853333333333335</v>
      </c>
      <c r="J27" s="191">
        <f t="shared" si="2"/>
        <v>400.42916075650118</v>
      </c>
      <c r="K27" s="192">
        <f t="shared" si="5"/>
        <v>28.030041252955083</v>
      </c>
      <c r="L27" s="192">
        <f t="shared" si="4"/>
        <v>372.3991195035461</v>
      </c>
      <c r="M27" s="193" t="s">
        <v>737</v>
      </c>
      <c r="N27" s="207">
        <v>10</v>
      </c>
      <c r="O27" s="197">
        <v>11</v>
      </c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</row>
    <row r="28" spans="1:46" s="206" customFormat="1" x14ac:dyDescent="0.3">
      <c r="A28" s="195" t="s">
        <v>736</v>
      </c>
      <c r="B28" s="193">
        <v>21</v>
      </c>
      <c r="C28" s="192">
        <f>'GERAL 2022'!G23/30*15</f>
        <v>250.00000000000003</v>
      </c>
      <c r="D28" s="192">
        <v>0</v>
      </c>
      <c r="E28" s="196">
        <f t="shared" si="6"/>
        <v>250.00000000000003</v>
      </c>
      <c r="F28" s="192">
        <f>25/30*15</f>
        <v>12.5</v>
      </c>
      <c r="G28" s="192">
        <f>((1347.3/27))/30*15</f>
        <v>24.95</v>
      </c>
      <c r="H28" s="192">
        <f>D91/30*15</f>
        <v>0.62582742316784867</v>
      </c>
      <c r="I28" s="192">
        <f>D90</f>
        <v>19.543333333333333</v>
      </c>
      <c r="J28" s="191">
        <f t="shared" si="2"/>
        <v>307.61916075650117</v>
      </c>
      <c r="K28" s="192">
        <f t="shared" si="5"/>
        <v>21.533341252955083</v>
      </c>
      <c r="L28" s="192">
        <f t="shared" si="4"/>
        <v>286.08581950354608</v>
      </c>
      <c r="M28" s="193" t="s">
        <v>737</v>
      </c>
      <c r="N28" s="207">
        <v>10</v>
      </c>
      <c r="O28" s="197">
        <v>11</v>
      </c>
      <c r="P28" s="205"/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</row>
    <row r="29" spans="1:46" s="206" customFormat="1" ht="15.75" customHeight="1" x14ac:dyDescent="0.3">
      <c r="A29" s="195" t="s">
        <v>759</v>
      </c>
      <c r="B29" s="193">
        <v>22</v>
      </c>
      <c r="C29" s="192">
        <f>'GERAL 2022'!G24</f>
        <v>500</v>
      </c>
      <c r="D29" s="192">
        <v>0</v>
      </c>
      <c r="E29" s="196">
        <f t="shared" si="6"/>
        <v>500</v>
      </c>
      <c r="F29" s="192">
        <v>25</v>
      </c>
      <c r="G29" s="192">
        <f t="shared" si="3"/>
        <v>49.9</v>
      </c>
      <c r="H29" s="192">
        <f>D93</f>
        <v>1.2516548463356973</v>
      </c>
      <c r="I29" s="192">
        <f>D92</f>
        <v>19.543333333333333</v>
      </c>
      <c r="J29" s="191">
        <f t="shared" si="2"/>
        <v>595.69498817966894</v>
      </c>
      <c r="K29" s="192">
        <f t="shared" si="5"/>
        <v>41.698649172576829</v>
      </c>
      <c r="L29" s="192">
        <f t="shared" si="4"/>
        <v>553.99633900709216</v>
      </c>
      <c r="M29" s="193" t="s">
        <v>733</v>
      </c>
      <c r="N29" s="207">
        <v>10</v>
      </c>
      <c r="O29" s="197">
        <v>11</v>
      </c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</row>
    <row r="30" spans="1:46" s="206" customFormat="1" x14ac:dyDescent="0.3">
      <c r="A30" s="195" t="s">
        <v>750</v>
      </c>
      <c r="B30" s="193">
        <v>23</v>
      </c>
      <c r="C30" s="192">
        <f>'GERAL 2022'!G25</f>
        <v>550</v>
      </c>
      <c r="D30" s="192">
        <v>0</v>
      </c>
      <c r="E30" s="196">
        <f t="shared" si="6"/>
        <v>550</v>
      </c>
      <c r="F30" s="192">
        <v>0</v>
      </c>
      <c r="G30" s="192">
        <f t="shared" si="3"/>
        <v>49.9</v>
      </c>
      <c r="H30" s="192">
        <f>D95</f>
        <v>1.2516548463356973</v>
      </c>
      <c r="I30" s="192">
        <f>D94</f>
        <v>19.641666666666666</v>
      </c>
      <c r="J30" s="191">
        <f t="shared" si="2"/>
        <v>620.7933215130023</v>
      </c>
      <c r="K30" s="192">
        <f t="shared" si="5"/>
        <v>43.455532505910163</v>
      </c>
      <c r="L30" s="192">
        <f t="shared" si="4"/>
        <v>577.33778900709217</v>
      </c>
      <c r="M30" s="193" t="s">
        <v>733</v>
      </c>
      <c r="N30" s="197">
        <v>10</v>
      </c>
      <c r="O30" s="197">
        <v>11</v>
      </c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</row>
    <row r="31" spans="1:46" s="204" customFormat="1" x14ac:dyDescent="0.3">
      <c r="A31" s="193"/>
      <c r="B31" s="193">
        <v>24</v>
      </c>
      <c r="C31" s="192">
        <v>0</v>
      </c>
      <c r="D31" s="192">
        <v>0</v>
      </c>
      <c r="E31" s="196">
        <f t="shared" si="6"/>
        <v>0</v>
      </c>
      <c r="F31" s="192">
        <v>0</v>
      </c>
      <c r="G31" s="192">
        <v>0</v>
      </c>
      <c r="H31" s="192">
        <v>0</v>
      </c>
      <c r="I31" s="192">
        <v>0</v>
      </c>
      <c r="J31" s="191">
        <f t="shared" si="2"/>
        <v>0</v>
      </c>
      <c r="K31" s="192">
        <f t="shared" si="5"/>
        <v>0</v>
      </c>
      <c r="L31" s="192">
        <f t="shared" si="4"/>
        <v>0</v>
      </c>
      <c r="M31" s="193" t="s">
        <v>525</v>
      </c>
      <c r="N31" s="207"/>
      <c r="O31" s="197"/>
      <c r="P31" s="200"/>
      <c r="Q31" s="200"/>
      <c r="R31" s="200"/>
      <c r="S31" s="200"/>
      <c r="T31" s="200"/>
      <c r="U31" s="200"/>
      <c r="V31" s="200"/>
      <c r="W31" s="200"/>
      <c r="X31" s="200"/>
    </row>
    <row r="32" spans="1:46" s="204" customFormat="1" x14ac:dyDescent="0.3">
      <c r="A32" s="206" t="s">
        <v>563</v>
      </c>
      <c r="B32" s="193">
        <v>25</v>
      </c>
      <c r="C32" s="192">
        <f>'GERAL 2022'!G44</f>
        <v>610</v>
      </c>
      <c r="D32" s="192">
        <v>0</v>
      </c>
      <c r="E32" s="196">
        <f t="shared" si="6"/>
        <v>610</v>
      </c>
      <c r="F32" s="192">
        <v>0</v>
      </c>
      <c r="G32" s="192">
        <f t="shared" si="3"/>
        <v>49.9</v>
      </c>
      <c r="H32" s="192">
        <f>D99</f>
        <v>1.2516548463356973</v>
      </c>
      <c r="I32" s="192">
        <v>0</v>
      </c>
      <c r="J32" s="191">
        <f t="shared" si="2"/>
        <v>661.15165484633565</v>
      </c>
      <c r="K32" s="192">
        <f t="shared" si="5"/>
        <v>46.280615839243502</v>
      </c>
      <c r="L32" s="192">
        <f t="shared" si="4"/>
        <v>614.87103900709212</v>
      </c>
      <c r="M32" s="193" t="s">
        <v>723</v>
      </c>
      <c r="N32" s="207">
        <v>10</v>
      </c>
      <c r="O32" s="197">
        <v>11</v>
      </c>
      <c r="P32" s="200"/>
      <c r="Q32" s="200"/>
      <c r="R32" s="200"/>
      <c r="S32" s="200"/>
      <c r="T32" s="200"/>
      <c r="U32" s="200"/>
      <c r="V32" s="200"/>
      <c r="W32" s="200"/>
      <c r="X32" s="200"/>
    </row>
    <row r="33" spans="1:59" s="206" customFormat="1" x14ac:dyDescent="0.3">
      <c r="A33" s="195" t="s">
        <v>751</v>
      </c>
      <c r="B33" s="193">
        <v>26</v>
      </c>
      <c r="C33" s="192">
        <f>'GERAL 2022'!G28</f>
        <v>560</v>
      </c>
      <c r="D33" s="192">
        <v>0</v>
      </c>
      <c r="E33" s="196">
        <f t="shared" si="6"/>
        <v>560</v>
      </c>
      <c r="F33" s="192">
        <v>50</v>
      </c>
      <c r="G33" s="192">
        <f t="shared" si="3"/>
        <v>49.9</v>
      </c>
      <c r="H33" s="192">
        <f>D101</f>
        <v>1.2516548463356973</v>
      </c>
      <c r="I33" s="192">
        <f>D100</f>
        <v>19.658333333333335</v>
      </c>
      <c r="J33" s="191">
        <f t="shared" si="2"/>
        <v>680.80998817966895</v>
      </c>
      <c r="K33" s="192">
        <f t="shared" si="5"/>
        <v>47.656699172576829</v>
      </c>
      <c r="L33" s="192">
        <f t="shared" si="4"/>
        <v>633.1532890070921</v>
      </c>
      <c r="M33" s="193" t="s">
        <v>733</v>
      </c>
      <c r="N33" s="197">
        <v>10</v>
      </c>
      <c r="O33" s="197">
        <v>11</v>
      </c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  <c r="AC33" s="205"/>
      <c r="AD33" s="205"/>
      <c r="AE33" s="205"/>
      <c r="AF33" s="205"/>
      <c r="AG33" s="205"/>
      <c r="AH33" s="205"/>
      <c r="AI33" s="205"/>
      <c r="AJ33" s="205"/>
      <c r="AK33" s="205"/>
      <c r="AL33" s="205"/>
      <c r="AM33" s="205"/>
      <c r="AN33" s="205"/>
      <c r="AO33" s="205"/>
    </row>
    <row r="34" spans="1:59" s="206" customFormat="1" x14ac:dyDescent="0.3">
      <c r="A34" s="195" t="s">
        <v>752</v>
      </c>
      <c r="B34" s="193">
        <v>27</v>
      </c>
      <c r="C34" s="210">
        <f>'GERAL 2022'!G45</f>
        <v>580</v>
      </c>
      <c r="D34" s="210">
        <v>0</v>
      </c>
      <c r="E34" s="196">
        <f t="shared" si="6"/>
        <v>580</v>
      </c>
      <c r="F34" s="210">
        <v>0</v>
      </c>
      <c r="G34" s="192">
        <f t="shared" si="3"/>
        <v>49.9</v>
      </c>
      <c r="H34" s="210">
        <f>D103</f>
        <v>1.2516548463356973</v>
      </c>
      <c r="I34" s="210">
        <f>D102</f>
        <v>19.696666666666669</v>
      </c>
      <c r="J34" s="191">
        <f t="shared" si="2"/>
        <v>650.84832151300236</v>
      </c>
      <c r="K34" s="192">
        <f t="shared" si="5"/>
        <v>45.559382505910172</v>
      </c>
      <c r="L34" s="192">
        <f>J34-K34</f>
        <v>605.28893900709215</v>
      </c>
      <c r="M34" s="193" t="s">
        <v>733</v>
      </c>
      <c r="N34" s="197">
        <v>10</v>
      </c>
      <c r="O34" s="197">
        <v>11</v>
      </c>
      <c r="P34" s="205"/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</row>
    <row r="35" spans="1:59" s="11" customFormat="1" x14ac:dyDescent="0.3">
      <c r="A35" s="518" t="s">
        <v>4</v>
      </c>
      <c r="B35" s="518"/>
      <c r="C35" s="109">
        <f>SUM(C8:C34)</f>
        <v>12954.038573666667</v>
      </c>
      <c r="D35" s="109">
        <f t="shared" ref="D35:L35" si="7">SUM(D8:D34)</f>
        <v>0</v>
      </c>
      <c r="E35" s="109">
        <f t="shared" si="7"/>
        <v>12954.038573666667</v>
      </c>
      <c r="F35" s="109">
        <f>SUM(F8:F34)</f>
        <v>614.16666666666674</v>
      </c>
      <c r="G35" s="109">
        <f>SUM(G8:G34)</f>
        <v>1116.0966666666666</v>
      </c>
      <c r="H35" s="109">
        <f t="shared" si="7"/>
        <v>28.496008668242705</v>
      </c>
      <c r="I35" s="109">
        <f t="shared" si="7"/>
        <v>354.3683333333334</v>
      </c>
      <c r="J35" s="109">
        <f>SUM(J8:J34)</f>
        <v>15067.166249001571</v>
      </c>
      <c r="K35" s="109">
        <f t="shared" si="7"/>
        <v>1054.7016374301104</v>
      </c>
      <c r="L35" s="109">
        <f t="shared" si="7"/>
        <v>14012.464611571464</v>
      </c>
      <c r="M35" s="90"/>
      <c r="N35" s="3"/>
      <c r="O35" s="3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</row>
    <row r="36" spans="1:59" s="11" customFormat="1" ht="28.5" customHeight="1" x14ac:dyDescent="0.3">
      <c r="A36" s="521" t="s">
        <v>721</v>
      </c>
      <c r="B36" s="521"/>
      <c r="C36" s="521"/>
      <c r="D36" s="521"/>
      <c r="E36" s="521"/>
      <c r="F36" s="521"/>
      <c r="G36" s="521"/>
      <c r="H36" s="521"/>
      <c r="I36" s="521"/>
      <c r="J36" s="521"/>
      <c r="K36" s="521"/>
      <c r="L36" s="521"/>
      <c r="M36" s="521"/>
      <c r="N36" s="521"/>
      <c r="O36" s="521"/>
      <c r="P36" s="10"/>
      <c r="Q36" s="10"/>
      <c r="R36" s="10"/>
      <c r="S36" s="10"/>
      <c r="T36" s="10"/>
      <c r="U36" s="10"/>
      <c r="V36" s="10"/>
      <c r="W36" s="10"/>
      <c r="X36" s="10"/>
    </row>
    <row r="37" spans="1:59" s="11" customFormat="1" ht="27.75" customHeight="1" x14ac:dyDescent="0.3">
      <c r="A37" s="127" t="s">
        <v>3</v>
      </c>
      <c r="B37" s="127" t="s">
        <v>0</v>
      </c>
      <c r="C37" s="128" t="s">
        <v>174</v>
      </c>
      <c r="D37" s="555" t="s">
        <v>175</v>
      </c>
      <c r="E37" s="556"/>
      <c r="F37" s="556"/>
      <c r="G37" s="556"/>
      <c r="H37" s="556"/>
      <c r="I37" s="557"/>
      <c r="J37" s="128" t="s">
        <v>4</v>
      </c>
      <c r="K37" s="128" t="s">
        <v>5</v>
      </c>
      <c r="L37" s="128" t="s">
        <v>70</v>
      </c>
      <c r="M37" s="127" t="s">
        <v>59</v>
      </c>
      <c r="N37" s="130" t="s">
        <v>8</v>
      </c>
      <c r="O37" s="130" t="s">
        <v>10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59" s="199" customFormat="1" x14ac:dyDescent="0.3">
      <c r="A38" s="193" t="s">
        <v>552</v>
      </c>
      <c r="B38" s="193">
        <v>6</v>
      </c>
      <c r="C38" s="192">
        <v>1475.65</v>
      </c>
      <c r="D38" s="551" t="s">
        <v>605</v>
      </c>
      <c r="E38" s="580"/>
      <c r="F38" s="580"/>
      <c r="G38" s="580"/>
      <c r="H38" s="580"/>
      <c r="I38" s="552"/>
      <c r="J38" s="192">
        <v>184.46</v>
      </c>
      <c r="K38" s="192">
        <f>7%*J38</f>
        <v>12.912200000000002</v>
      </c>
      <c r="L38" s="192">
        <f>J38-K38</f>
        <v>171.5478</v>
      </c>
      <c r="M38" s="193" t="s">
        <v>734</v>
      </c>
      <c r="N38" s="197">
        <v>10</v>
      </c>
      <c r="O38" s="197">
        <v>11</v>
      </c>
      <c r="P38" s="198"/>
      <c r="Q38" s="198"/>
      <c r="R38" s="198"/>
      <c r="S38" s="198"/>
      <c r="T38" s="198"/>
      <c r="U38" s="198"/>
      <c r="V38" s="198"/>
      <c r="W38" s="198"/>
      <c r="X38" s="198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</row>
    <row r="39" spans="1:59" s="199" customFormat="1" x14ac:dyDescent="0.3">
      <c r="A39" s="195" t="s">
        <v>742</v>
      </c>
      <c r="B39" s="193">
        <v>1</v>
      </c>
      <c r="C39" s="192">
        <v>1508</v>
      </c>
      <c r="D39" s="551" t="s">
        <v>722</v>
      </c>
      <c r="E39" s="580"/>
      <c r="F39" s="580"/>
      <c r="G39" s="580"/>
      <c r="H39" s="580"/>
      <c r="I39" s="552"/>
      <c r="J39" s="192">
        <v>1508</v>
      </c>
      <c r="K39" s="192">
        <f>7%*J39</f>
        <v>105.56000000000002</v>
      </c>
      <c r="L39" s="192">
        <f>J39-K39</f>
        <v>1402.44</v>
      </c>
      <c r="M39" s="193" t="s">
        <v>715</v>
      </c>
      <c r="N39" s="197">
        <v>10</v>
      </c>
      <c r="O39" s="197">
        <v>11</v>
      </c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8"/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</row>
    <row r="40" spans="1:59" s="11" customFormat="1" x14ac:dyDescent="0.3">
      <c r="A40" s="518" t="s">
        <v>4</v>
      </c>
      <c r="B40" s="518"/>
      <c r="C40" s="518"/>
      <c r="D40" s="518"/>
      <c r="E40" s="518"/>
      <c r="F40" s="518"/>
      <c r="G40" s="518"/>
      <c r="H40" s="518"/>
      <c r="I40" s="518"/>
      <c r="J40" s="109">
        <f>SUM(J38:J39)</f>
        <v>1692.46</v>
      </c>
      <c r="K40" s="109">
        <f>SUM(K38:K39)</f>
        <v>118.47220000000002</v>
      </c>
      <c r="L40" s="109">
        <f>SUM(L38:L39)</f>
        <v>1573.9878000000001</v>
      </c>
      <c r="M40" s="527"/>
      <c r="N40" s="527"/>
      <c r="O40" s="527"/>
      <c r="P40" s="10"/>
      <c r="Q40" s="10"/>
      <c r="R40" s="10"/>
      <c r="S40" s="10"/>
      <c r="T40" s="10"/>
      <c r="U40" s="10"/>
      <c r="V40" s="10"/>
      <c r="W40" s="10"/>
      <c r="X40" s="10"/>
    </row>
    <row r="41" spans="1:59" s="11" customFormat="1" x14ac:dyDescent="0.3">
      <c r="A41" s="518"/>
      <c r="B41" s="518"/>
      <c r="C41" s="518"/>
      <c r="D41" s="518"/>
      <c r="E41" s="518"/>
      <c r="F41" s="518"/>
      <c r="G41" s="518"/>
      <c r="H41" s="518"/>
      <c r="I41" s="518"/>
      <c r="J41" s="518"/>
      <c r="K41" s="518"/>
      <c r="L41" s="518"/>
      <c r="M41" s="518"/>
      <c r="N41" s="109"/>
      <c r="O41" s="109"/>
      <c r="P41" s="10"/>
      <c r="Q41" s="10"/>
      <c r="R41" s="10"/>
      <c r="S41" s="10"/>
      <c r="T41" s="10"/>
      <c r="U41" s="10"/>
      <c r="V41" s="10"/>
      <c r="W41" s="10"/>
      <c r="X41" s="10"/>
    </row>
    <row r="42" spans="1:59" s="11" customFormat="1" ht="28.5" customHeight="1" x14ac:dyDescent="0.3">
      <c r="A42" s="521" t="s">
        <v>177</v>
      </c>
      <c r="B42" s="521"/>
      <c r="C42" s="521"/>
      <c r="D42" s="521"/>
      <c r="E42" s="521"/>
      <c r="F42" s="521"/>
      <c r="G42" s="521"/>
      <c r="H42" s="521"/>
      <c r="I42" s="521"/>
      <c r="J42" s="521"/>
      <c r="K42" s="521"/>
      <c r="L42" s="521"/>
      <c r="M42" s="521"/>
      <c r="N42" s="521"/>
      <c r="O42" s="521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 spans="1:59" s="11" customFormat="1" ht="25.5" customHeight="1" x14ac:dyDescent="0.3">
      <c r="A43" s="126" t="s">
        <v>173</v>
      </c>
      <c r="B43" s="126" t="s">
        <v>0</v>
      </c>
      <c r="C43" s="126" t="s">
        <v>174</v>
      </c>
      <c r="D43" s="521" t="s">
        <v>175</v>
      </c>
      <c r="E43" s="521"/>
      <c r="F43" s="521"/>
      <c r="G43" s="521"/>
      <c r="H43" s="521"/>
      <c r="I43" s="521"/>
      <c r="J43" s="129" t="s">
        <v>4</v>
      </c>
      <c r="K43" s="128"/>
      <c r="L43" s="128"/>
      <c r="M43" s="127" t="s">
        <v>59</v>
      </c>
      <c r="N43" s="130" t="s">
        <v>8</v>
      </c>
      <c r="O43" s="130" t="s">
        <v>10</v>
      </c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 spans="1:59" s="69" customFormat="1" ht="15" customHeight="1" x14ac:dyDescent="0.3">
      <c r="A44" s="4" t="s">
        <v>132</v>
      </c>
      <c r="B44" s="4">
        <v>1</v>
      </c>
      <c r="C44" s="5">
        <f>4977.59-1520</f>
        <v>3457.59</v>
      </c>
      <c r="D44" s="546" t="s">
        <v>284</v>
      </c>
      <c r="E44" s="547"/>
      <c r="F44" s="547"/>
      <c r="G44" s="547"/>
      <c r="H44" s="547"/>
      <c r="I44" s="548"/>
      <c r="J44" s="5">
        <f>4977.59-1520</f>
        <v>3457.59</v>
      </c>
      <c r="K44" s="5"/>
      <c r="L44" s="5"/>
      <c r="M44" s="5" t="s">
        <v>510</v>
      </c>
      <c r="N44" s="140">
        <v>10</v>
      </c>
      <c r="O44" s="4">
        <v>11</v>
      </c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</row>
    <row r="45" spans="1:59" s="11" customFormat="1" x14ac:dyDescent="0.3">
      <c r="A45" s="90" t="s">
        <v>87</v>
      </c>
      <c r="B45" s="90">
        <v>25</v>
      </c>
      <c r="C45" s="5">
        <v>3013.33</v>
      </c>
      <c r="D45" s="546" t="s">
        <v>543</v>
      </c>
      <c r="E45" s="547"/>
      <c r="F45" s="547"/>
      <c r="G45" s="547"/>
      <c r="H45" s="547"/>
      <c r="I45" s="548"/>
      <c r="J45" s="5">
        <v>3040.58</v>
      </c>
      <c r="K45" s="2"/>
      <c r="L45" s="2"/>
      <c r="M45" s="5" t="s">
        <v>545</v>
      </c>
      <c r="N45" s="98">
        <v>10</v>
      </c>
      <c r="O45" s="3">
        <v>11</v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</row>
    <row r="46" spans="1:59" s="40" customFormat="1" ht="15" customHeight="1" thickBot="1" x14ac:dyDescent="0.35">
      <c r="A46" s="534" t="s">
        <v>4</v>
      </c>
      <c r="B46" s="549"/>
      <c r="C46" s="549"/>
      <c r="D46" s="549"/>
      <c r="E46" s="549"/>
      <c r="F46" s="549"/>
      <c r="G46" s="549"/>
      <c r="H46" s="549"/>
      <c r="I46" s="535"/>
      <c r="J46" s="114">
        <f>SUM(J44:J45)</f>
        <v>6498.17</v>
      </c>
      <c r="K46" s="90"/>
      <c r="L46" s="90"/>
      <c r="M46" s="90"/>
      <c r="N46" s="90"/>
      <c r="O46" s="9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1"/>
      <c r="AT46" s="11"/>
      <c r="AU46" s="11"/>
      <c r="AV46" s="11"/>
    </row>
    <row r="47" spans="1:59" s="19" customFormat="1" x14ac:dyDescent="0.3">
      <c r="A47" s="179"/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1"/>
      <c r="O47" s="182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</row>
    <row r="48" spans="1:59" s="40" customFormat="1" x14ac:dyDescent="0.3">
      <c r="A48" s="575" t="s">
        <v>9</v>
      </c>
      <c r="B48" s="576"/>
      <c r="C48" s="576"/>
      <c r="D48" s="577"/>
      <c r="E48" s="574"/>
      <c r="F48" s="540"/>
      <c r="G48" s="540"/>
      <c r="H48" s="46"/>
      <c r="I48" s="46"/>
      <c r="J48" s="46"/>
      <c r="K48" s="46"/>
      <c r="L48" s="46"/>
      <c r="M48" s="544" t="s">
        <v>315</v>
      </c>
      <c r="N48" s="544"/>
      <c r="O48" s="545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1"/>
      <c r="AT48" s="11"/>
      <c r="AU48" s="11"/>
      <c r="AV48" s="11"/>
    </row>
    <row r="49" spans="1:48" s="40" customFormat="1" x14ac:dyDescent="0.3">
      <c r="A49" s="76" t="s">
        <v>40</v>
      </c>
      <c r="B49" s="77">
        <f>'GERAL 2022'!J35</f>
        <v>118.18</v>
      </c>
      <c r="C49" s="78">
        <v>6</v>
      </c>
      <c r="D49" s="77">
        <f t="shared" ref="D49:D103" si="8">B49/C49</f>
        <v>19.696666666666669</v>
      </c>
      <c r="E49" s="574"/>
      <c r="F49" s="540"/>
      <c r="G49" s="540"/>
      <c r="H49" s="11"/>
      <c r="I49" s="11"/>
      <c r="J49" s="87"/>
      <c r="K49" s="87"/>
      <c r="L49" s="87"/>
      <c r="M49" s="527" t="s">
        <v>94</v>
      </c>
      <c r="N49" s="527"/>
      <c r="O49" s="114">
        <f>K35+K40</f>
        <v>1173.1738374301103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1"/>
      <c r="AT49" s="11"/>
      <c r="AU49" s="11"/>
      <c r="AV49" s="11"/>
    </row>
    <row r="50" spans="1:48" s="40" customFormat="1" x14ac:dyDescent="0.3">
      <c r="A50" s="12" t="s">
        <v>46</v>
      </c>
      <c r="B50" s="2">
        <f>'GERAL 2023'!H3</f>
        <v>15.019858156028368</v>
      </c>
      <c r="C50" s="88">
        <v>12</v>
      </c>
      <c r="D50" s="2">
        <f t="shared" si="8"/>
        <v>1.2516548463356973</v>
      </c>
      <c r="E50" s="574"/>
      <c r="F50" s="540"/>
      <c r="G50" s="540"/>
      <c r="H50" s="11"/>
      <c r="I50" s="11"/>
      <c r="J50" s="14"/>
      <c r="K50" s="14"/>
      <c r="L50" s="14"/>
      <c r="M50" s="518" t="s">
        <v>260</v>
      </c>
      <c r="N50" s="518"/>
      <c r="O50" s="114">
        <f>K6</f>
        <v>423</v>
      </c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1"/>
      <c r="AT50" s="11"/>
      <c r="AU50" s="11"/>
      <c r="AV50" s="11"/>
    </row>
    <row r="51" spans="1:48" s="40" customFormat="1" x14ac:dyDescent="0.3">
      <c r="A51" s="79" t="s">
        <v>29</v>
      </c>
      <c r="B51" s="80">
        <f>'GERAL 2022'!J4</f>
        <v>118.18</v>
      </c>
      <c r="C51" s="78">
        <v>6</v>
      </c>
      <c r="D51" s="80">
        <f t="shared" si="8"/>
        <v>19.696666666666669</v>
      </c>
      <c r="E51" s="574"/>
      <c r="F51" s="540"/>
      <c r="G51" s="540"/>
      <c r="H51" s="11"/>
      <c r="I51" s="11"/>
      <c r="J51" s="14"/>
      <c r="K51" s="14"/>
      <c r="L51" s="14"/>
      <c r="M51" s="520"/>
      <c r="N51" s="520"/>
      <c r="O51" s="52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1"/>
      <c r="AT51" s="11"/>
      <c r="AU51" s="11"/>
      <c r="AV51" s="11"/>
    </row>
    <row r="52" spans="1:48" s="40" customFormat="1" x14ac:dyDescent="0.3">
      <c r="A52" s="12" t="s">
        <v>30</v>
      </c>
      <c r="B52" s="2">
        <f>'GERAL 2023'!H4</f>
        <v>15.019858156028368</v>
      </c>
      <c r="C52" s="88">
        <v>12</v>
      </c>
      <c r="D52" s="2">
        <f t="shared" si="8"/>
        <v>1.2516548463356973</v>
      </c>
      <c r="E52" s="574"/>
      <c r="F52" s="540"/>
      <c r="G52" s="540"/>
      <c r="H52" s="11"/>
      <c r="I52" s="11"/>
      <c r="J52" s="62"/>
      <c r="K52" s="62"/>
      <c r="L52" s="62"/>
      <c r="M52" s="520"/>
      <c r="N52" s="520"/>
      <c r="O52" s="52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1"/>
      <c r="AT52" s="11"/>
      <c r="AU52" s="11"/>
      <c r="AV52" s="11"/>
    </row>
    <row r="53" spans="1:48" s="40" customFormat="1" ht="14.4" x14ac:dyDescent="0.3">
      <c r="A53" s="79" t="s">
        <v>65</v>
      </c>
      <c r="B53" s="80">
        <f>'GERAL 2022'!J5</f>
        <v>117.85</v>
      </c>
      <c r="C53" s="78">
        <v>6</v>
      </c>
      <c r="D53" s="80">
        <f t="shared" si="8"/>
        <v>19.641666666666666</v>
      </c>
      <c r="E53" s="574"/>
      <c r="F53" s="540"/>
      <c r="G53" s="540"/>
      <c r="H53" s="11"/>
      <c r="I53" s="11"/>
      <c r="J53" s="14"/>
      <c r="K53" s="14"/>
      <c r="L53" s="14"/>
      <c r="M53" s="529" t="s">
        <v>12</v>
      </c>
      <c r="N53" s="529"/>
      <c r="O53" s="529"/>
      <c r="P53" s="175"/>
      <c r="Q53" s="178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1"/>
      <c r="AT53" s="11"/>
      <c r="AU53" s="11"/>
      <c r="AV53" s="11"/>
    </row>
    <row r="54" spans="1:48" s="11" customFormat="1" ht="15" customHeight="1" x14ac:dyDescent="0.3">
      <c r="A54" s="12" t="s">
        <v>62</v>
      </c>
      <c r="B54" s="2">
        <f>'GERAL 2023'!H5</f>
        <v>15.019858156028368</v>
      </c>
      <c r="C54" s="88">
        <v>12</v>
      </c>
      <c r="D54" s="2">
        <f t="shared" si="8"/>
        <v>1.2516548463356973</v>
      </c>
      <c r="E54" s="574"/>
      <c r="F54" s="540"/>
      <c r="G54" s="540"/>
      <c r="J54" s="63"/>
      <c r="K54" s="63"/>
      <c r="L54" s="63"/>
      <c r="M54" s="514" t="s">
        <v>222</v>
      </c>
      <c r="N54" s="514"/>
      <c r="O54" s="2">
        <v>19.7</v>
      </c>
      <c r="P54" s="175"/>
      <c r="Q54" s="178"/>
    </row>
    <row r="55" spans="1:48" s="11" customFormat="1" ht="14.4" x14ac:dyDescent="0.3">
      <c r="A55" s="79" t="s">
        <v>60</v>
      </c>
      <c r="B55" s="80">
        <f>'GERAL 2022'!J6</f>
        <v>117.85</v>
      </c>
      <c r="C55" s="78">
        <v>6</v>
      </c>
      <c r="D55" s="80">
        <f t="shared" si="8"/>
        <v>19.641666666666666</v>
      </c>
      <c r="E55" s="574"/>
      <c r="F55" s="540"/>
      <c r="G55" s="540"/>
      <c r="J55" s="14"/>
      <c r="K55" s="14"/>
      <c r="L55" s="14"/>
      <c r="M55" s="514" t="s">
        <v>408</v>
      </c>
      <c r="N55" s="514"/>
      <c r="O55" s="2">
        <v>19.64</v>
      </c>
      <c r="P55" s="175"/>
      <c r="Q55" s="178"/>
    </row>
    <row r="56" spans="1:48" s="11" customFormat="1" ht="15" customHeight="1" x14ac:dyDescent="0.3">
      <c r="A56" s="12" t="s">
        <v>61</v>
      </c>
      <c r="B56" s="2">
        <f>'GERAL 2023'!H6</f>
        <v>15.019858156028368</v>
      </c>
      <c r="C56" s="88">
        <v>12</v>
      </c>
      <c r="D56" s="2">
        <f t="shared" si="8"/>
        <v>1.2516548463356973</v>
      </c>
      <c r="E56" s="574"/>
      <c r="F56" s="540"/>
      <c r="G56" s="540"/>
      <c r="J56" s="63"/>
      <c r="K56" s="63"/>
      <c r="L56" s="63"/>
      <c r="M56" s="514" t="s">
        <v>760</v>
      </c>
      <c r="N56" s="514"/>
      <c r="O56" s="2">
        <v>19.7</v>
      </c>
      <c r="P56" s="190"/>
      <c r="Q56" s="178"/>
    </row>
    <row r="57" spans="1:48" s="11" customFormat="1" ht="14.4" x14ac:dyDescent="0.3">
      <c r="A57" s="79" t="s">
        <v>31</v>
      </c>
      <c r="B57" s="80">
        <f>'GERAL 2023'!J7</f>
        <v>118.18</v>
      </c>
      <c r="C57" s="78">
        <v>6</v>
      </c>
      <c r="D57" s="80">
        <f>B57/C57</f>
        <v>19.696666666666669</v>
      </c>
      <c r="E57" s="574"/>
      <c r="F57" s="540"/>
      <c r="G57" s="540"/>
      <c r="J57" s="14"/>
      <c r="K57" s="14"/>
      <c r="L57" s="14"/>
      <c r="M57" s="514" t="s">
        <v>478</v>
      </c>
      <c r="N57" s="514"/>
      <c r="O57" s="2">
        <v>19.89</v>
      </c>
      <c r="P57" s="175"/>
      <c r="Q57" s="178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</row>
    <row r="58" spans="1:48" s="11" customFormat="1" ht="14.4" x14ac:dyDescent="0.3">
      <c r="A58" s="12" t="s">
        <v>32</v>
      </c>
      <c r="B58" s="2">
        <f>'GERAL 2023'!H7</f>
        <v>15.019858156028368</v>
      </c>
      <c r="C58" s="88">
        <v>12</v>
      </c>
      <c r="D58" s="2">
        <f t="shared" si="8"/>
        <v>1.2516548463356973</v>
      </c>
      <c r="E58" s="574"/>
      <c r="F58" s="540"/>
      <c r="G58" s="540"/>
      <c r="J58" s="63"/>
      <c r="K58" s="63"/>
      <c r="L58" s="63"/>
      <c r="M58" s="514" t="s">
        <v>411</v>
      </c>
      <c r="N58" s="514"/>
      <c r="O58" s="2">
        <v>19.7</v>
      </c>
      <c r="P58" s="175"/>
      <c r="Q58" s="178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</row>
    <row r="59" spans="1:48" s="11" customFormat="1" ht="14.4" x14ac:dyDescent="0.3">
      <c r="A59" s="79" t="s">
        <v>57</v>
      </c>
      <c r="B59" s="80">
        <f>'GERAL 2022'!J36</f>
        <v>119.36</v>
      </c>
      <c r="C59" s="78">
        <v>6</v>
      </c>
      <c r="D59" s="80">
        <f t="shared" si="8"/>
        <v>19.893333333333334</v>
      </c>
      <c r="E59" s="574"/>
      <c r="F59" s="540"/>
      <c r="G59" s="540"/>
      <c r="J59" s="14"/>
      <c r="K59" s="14"/>
      <c r="L59" s="14"/>
      <c r="M59" s="514" t="s">
        <v>109</v>
      </c>
      <c r="N59" s="514"/>
      <c r="O59" s="2">
        <v>19.649999999999999</v>
      </c>
      <c r="P59" s="175"/>
      <c r="Q59" s="185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</row>
    <row r="60" spans="1:48" s="11" customFormat="1" ht="14.4" x14ac:dyDescent="0.3">
      <c r="A60" s="79"/>
      <c r="B60" s="80"/>
      <c r="C60" s="78"/>
      <c r="D60" s="80"/>
      <c r="E60" s="574"/>
      <c r="F60" s="540"/>
      <c r="G60" s="540"/>
      <c r="J60" s="14"/>
      <c r="K60" s="14"/>
      <c r="L60" s="14"/>
      <c r="M60" s="514" t="s">
        <v>412</v>
      </c>
      <c r="N60" s="514"/>
      <c r="O60" s="2">
        <v>19.64</v>
      </c>
      <c r="P60" s="175"/>
      <c r="Q60" s="185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</row>
    <row r="61" spans="1:48" s="11" customFormat="1" ht="14.4" x14ac:dyDescent="0.3">
      <c r="A61" s="12" t="s">
        <v>58</v>
      </c>
      <c r="B61" s="2">
        <f>'GERAL 2023'!H8</f>
        <v>21.027801418439715</v>
      </c>
      <c r="C61" s="88">
        <v>12</v>
      </c>
      <c r="D61" s="2">
        <f t="shared" si="8"/>
        <v>1.7523167848699763</v>
      </c>
      <c r="E61" s="574"/>
      <c r="F61" s="540"/>
      <c r="G61" s="540"/>
      <c r="J61" s="63"/>
      <c r="K61" s="63"/>
      <c r="L61" s="63"/>
      <c r="M61" s="514" t="s">
        <v>413</v>
      </c>
      <c r="N61" s="514"/>
      <c r="O61" s="2">
        <v>19.649999999999999</v>
      </c>
      <c r="P61" s="175"/>
      <c r="Q61" s="178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</row>
    <row r="62" spans="1:48" s="11" customFormat="1" ht="14.4" x14ac:dyDescent="0.3">
      <c r="A62" s="79" t="s">
        <v>63</v>
      </c>
      <c r="B62" s="80">
        <f>'GERAL 2022'!J9</f>
        <v>118.18</v>
      </c>
      <c r="C62" s="78">
        <v>6</v>
      </c>
      <c r="D62" s="80">
        <f t="shared" si="8"/>
        <v>19.696666666666669</v>
      </c>
      <c r="E62" s="574"/>
      <c r="F62" s="540"/>
      <c r="G62" s="540"/>
      <c r="J62" s="14"/>
      <c r="K62" s="14"/>
      <c r="L62" s="14"/>
      <c r="M62" s="514" t="s">
        <v>414</v>
      </c>
      <c r="N62" s="514"/>
      <c r="O62" s="2">
        <v>19.64</v>
      </c>
      <c r="P62" s="175"/>
      <c r="Q62" s="178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</row>
    <row r="63" spans="1:48" s="11" customFormat="1" ht="15" customHeight="1" x14ac:dyDescent="0.3">
      <c r="A63" s="12" t="s">
        <v>64</v>
      </c>
      <c r="B63" s="2">
        <f>'GERAL 2023'!H9</f>
        <v>15.019858156028368</v>
      </c>
      <c r="C63" s="88">
        <v>12</v>
      </c>
      <c r="D63" s="2">
        <f t="shared" si="8"/>
        <v>1.2516548463356973</v>
      </c>
      <c r="E63" s="574"/>
      <c r="F63" s="540"/>
      <c r="G63" s="540"/>
      <c r="J63" s="63"/>
      <c r="K63" s="63"/>
      <c r="L63" s="63"/>
      <c r="M63" s="514" t="s">
        <v>165</v>
      </c>
      <c r="N63" s="514"/>
      <c r="O63" s="2">
        <v>19.84</v>
      </c>
      <c r="Q63" s="14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</row>
    <row r="64" spans="1:48" s="11" customFormat="1" ht="14.4" x14ac:dyDescent="0.3">
      <c r="A64" s="79" t="s">
        <v>33</v>
      </c>
      <c r="B64" s="80">
        <f>'GERAL 2022'!J37</f>
        <v>118.18</v>
      </c>
      <c r="C64" s="78">
        <v>6</v>
      </c>
      <c r="D64" s="80">
        <f t="shared" si="8"/>
        <v>19.696666666666669</v>
      </c>
      <c r="E64" s="574"/>
      <c r="F64" s="540"/>
      <c r="G64" s="540"/>
      <c r="J64" s="14"/>
      <c r="K64" s="14"/>
      <c r="L64" s="14"/>
      <c r="M64" s="514" t="s">
        <v>166</v>
      </c>
      <c r="N64" s="514"/>
      <c r="O64" s="2">
        <v>19.760000000000002</v>
      </c>
      <c r="P64" s="175"/>
      <c r="Q64" s="178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</row>
    <row r="65" spans="1:47" s="11" customFormat="1" ht="14.4" x14ac:dyDescent="0.3">
      <c r="A65" s="12" t="s">
        <v>34</v>
      </c>
      <c r="B65" s="2">
        <f>'GERAL 2023'!H10</f>
        <v>15.019858156028368</v>
      </c>
      <c r="C65" s="88">
        <v>12</v>
      </c>
      <c r="D65" s="2">
        <f t="shared" si="8"/>
        <v>1.2516548463356973</v>
      </c>
      <c r="E65" s="574"/>
      <c r="F65" s="540"/>
      <c r="G65" s="540"/>
      <c r="J65" s="63"/>
      <c r="K65" s="63"/>
      <c r="L65" s="63"/>
      <c r="M65" s="514" t="s">
        <v>120</v>
      </c>
      <c r="N65" s="514"/>
      <c r="O65" s="2">
        <v>19.68</v>
      </c>
      <c r="P65" s="175"/>
      <c r="Q65" s="178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</row>
    <row r="66" spans="1:47" s="11" customFormat="1" ht="14.4" x14ac:dyDescent="0.3">
      <c r="A66" s="79" t="s">
        <v>41</v>
      </c>
      <c r="B66" s="80">
        <f>'GERAL 2022'!J11</f>
        <v>118.18</v>
      </c>
      <c r="C66" s="78">
        <v>6</v>
      </c>
      <c r="D66" s="80">
        <f t="shared" si="8"/>
        <v>19.696666666666669</v>
      </c>
      <c r="E66" s="574"/>
      <c r="F66" s="540"/>
      <c r="G66" s="540"/>
      <c r="M66" s="514" t="s">
        <v>151</v>
      </c>
      <c r="N66" s="514"/>
      <c r="O66" s="2">
        <v>19.78</v>
      </c>
      <c r="P66" s="175"/>
      <c r="Q66" s="178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</row>
    <row r="67" spans="1:47" s="11" customFormat="1" ht="14.4" x14ac:dyDescent="0.3">
      <c r="A67" s="12" t="s">
        <v>42</v>
      </c>
      <c r="B67" s="2">
        <f>'GERAL 2023'!H11</f>
        <v>15.019858156028368</v>
      </c>
      <c r="C67" s="88">
        <v>12</v>
      </c>
      <c r="D67" s="2">
        <f t="shared" si="8"/>
        <v>1.2516548463356973</v>
      </c>
      <c r="E67" s="574"/>
      <c r="F67" s="540"/>
      <c r="G67" s="540"/>
      <c r="J67" s="63"/>
      <c r="K67" s="63"/>
      <c r="L67" s="63"/>
      <c r="M67" s="514" t="s">
        <v>416</v>
      </c>
      <c r="N67" s="514"/>
      <c r="O67" s="2">
        <v>19.850000000000001</v>
      </c>
      <c r="P67" s="175"/>
      <c r="Q67" s="178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</row>
    <row r="68" spans="1:47" s="11" customFormat="1" ht="14.4" x14ac:dyDescent="0.3">
      <c r="A68" s="79" t="s">
        <v>66</v>
      </c>
      <c r="B68" s="80">
        <f>'GERAL 2022'!J38</f>
        <v>117.85</v>
      </c>
      <c r="C68" s="78">
        <v>6</v>
      </c>
      <c r="D68" s="80">
        <f t="shared" si="8"/>
        <v>19.641666666666666</v>
      </c>
      <c r="E68" s="574"/>
      <c r="F68" s="540"/>
      <c r="G68" s="540"/>
      <c r="J68" s="14"/>
      <c r="K68" s="14"/>
      <c r="L68" s="14"/>
      <c r="M68" s="514" t="s">
        <v>417</v>
      </c>
      <c r="N68" s="514"/>
      <c r="O68" s="2">
        <v>19.54</v>
      </c>
      <c r="P68" s="175"/>
      <c r="Q68" s="185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</row>
    <row r="69" spans="1:47" s="11" customFormat="1" ht="14.4" x14ac:dyDescent="0.3">
      <c r="A69" s="12" t="s">
        <v>67</v>
      </c>
      <c r="B69" s="2">
        <f>'GERAL 2023'!H12</f>
        <v>15.019858156028368</v>
      </c>
      <c r="C69" s="88">
        <v>12</v>
      </c>
      <c r="D69" s="2">
        <f t="shared" si="8"/>
        <v>1.2516548463356973</v>
      </c>
      <c r="E69" s="574"/>
      <c r="F69" s="540"/>
      <c r="G69" s="540"/>
      <c r="J69" s="63"/>
      <c r="K69" s="63"/>
      <c r="L69" s="63"/>
      <c r="M69" s="514" t="s">
        <v>418</v>
      </c>
      <c r="N69" s="514"/>
      <c r="O69" s="2">
        <v>19.54</v>
      </c>
      <c r="P69" s="175"/>
      <c r="Q69" s="176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</row>
    <row r="70" spans="1:47" s="11" customFormat="1" ht="14.4" x14ac:dyDescent="0.3">
      <c r="A70" s="79" t="s">
        <v>14</v>
      </c>
      <c r="B70" s="80">
        <f>'GERAL 2022'!J13</f>
        <v>117.85</v>
      </c>
      <c r="C70" s="78">
        <v>6</v>
      </c>
      <c r="D70" s="80">
        <f t="shared" si="8"/>
        <v>19.641666666666666</v>
      </c>
      <c r="E70" s="574"/>
      <c r="F70" s="540"/>
      <c r="G70" s="540"/>
      <c r="J70" s="14"/>
      <c r="K70" s="14"/>
      <c r="L70" s="14"/>
      <c r="M70" s="514" t="s">
        <v>419</v>
      </c>
      <c r="N70" s="514"/>
      <c r="O70" s="2">
        <v>19.64</v>
      </c>
      <c r="P70" s="175"/>
      <c r="Q70" s="176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</row>
    <row r="71" spans="1:47" s="11" customFormat="1" ht="14.4" x14ac:dyDescent="0.3">
      <c r="A71" s="12" t="s">
        <v>15</v>
      </c>
      <c r="B71" s="2">
        <f>'GERAL 2023'!H13</f>
        <v>15.019858156028368</v>
      </c>
      <c r="C71" s="88">
        <v>12</v>
      </c>
      <c r="D71" s="2">
        <f t="shared" si="8"/>
        <v>1.2516548463356973</v>
      </c>
      <c r="E71" s="574"/>
      <c r="F71" s="540"/>
      <c r="G71" s="540"/>
      <c r="J71" s="87"/>
      <c r="K71" s="87"/>
      <c r="L71" s="87"/>
      <c r="M71" s="514" t="s">
        <v>421</v>
      </c>
      <c r="N71" s="514"/>
      <c r="O71" s="2">
        <v>19.66</v>
      </c>
      <c r="P71" s="175"/>
      <c r="Q71" s="176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</row>
    <row r="72" spans="1:47" s="11" customFormat="1" ht="14.4" x14ac:dyDescent="0.3">
      <c r="A72" s="79" t="s">
        <v>55</v>
      </c>
      <c r="B72" s="80">
        <f>'GERAL 2022'!J14</f>
        <v>117.85</v>
      </c>
      <c r="C72" s="78">
        <v>6</v>
      </c>
      <c r="D72" s="80">
        <f t="shared" si="8"/>
        <v>19.641666666666666</v>
      </c>
      <c r="E72" s="574"/>
      <c r="F72" s="540"/>
      <c r="G72" s="540"/>
      <c r="M72" s="514" t="s">
        <v>101</v>
      </c>
      <c r="N72" s="514"/>
      <c r="O72" s="2">
        <v>19.7</v>
      </c>
      <c r="P72" s="175"/>
      <c r="Q72" s="176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</row>
    <row r="73" spans="1:47" s="11" customFormat="1" ht="14.4" x14ac:dyDescent="0.3">
      <c r="A73" s="12" t="s">
        <v>56</v>
      </c>
      <c r="B73" s="2">
        <f>'GERAL 2023'!H14</f>
        <v>15.019858156028368</v>
      </c>
      <c r="C73" s="88">
        <v>12</v>
      </c>
      <c r="D73" s="2">
        <f t="shared" si="8"/>
        <v>1.2516548463356973</v>
      </c>
      <c r="E73" s="574"/>
      <c r="F73" s="540"/>
      <c r="G73" s="540"/>
      <c r="M73" s="542" t="s">
        <v>761</v>
      </c>
      <c r="N73" s="542"/>
      <c r="O73" s="2">
        <f>120*4</f>
        <v>480</v>
      </c>
      <c r="P73" s="175"/>
      <c r="Q73" s="176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</row>
    <row r="74" spans="1:47" s="11" customFormat="1" ht="14.4" x14ac:dyDescent="0.3">
      <c r="A74" s="79" t="s">
        <v>35</v>
      </c>
      <c r="B74" s="80">
        <f>'GERAL 2022'!J15</f>
        <v>117.85</v>
      </c>
      <c r="C74" s="78">
        <v>6</v>
      </c>
      <c r="D74" s="80">
        <f t="shared" si="8"/>
        <v>19.641666666666666</v>
      </c>
      <c r="E74" s="574"/>
      <c r="F74" s="540"/>
      <c r="G74" s="540"/>
      <c r="M74" s="520" t="s">
        <v>126</v>
      </c>
      <c r="N74" s="520"/>
      <c r="O74" s="2">
        <v>118.26</v>
      </c>
      <c r="P74" s="175"/>
      <c r="Q74" s="178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</row>
    <row r="75" spans="1:47" s="11" customFormat="1" ht="14.4" x14ac:dyDescent="0.3">
      <c r="A75" s="12" t="s">
        <v>36</v>
      </c>
      <c r="B75" s="2">
        <f>'GERAL 2023'!H15</f>
        <v>15.019858156028368</v>
      </c>
      <c r="C75" s="88">
        <v>12</v>
      </c>
      <c r="D75" s="2">
        <f t="shared" si="8"/>
        <v>1.2516548463356973</v>
      </c>
      <c r="E75" s="574"/>
      <c r="F75" s="540"/>
      <c r="G75" s="540"/>
      <c r="J75" s="14"/>
      <c r="K75" s="14"/>
      <c r="L75" s="14"/>
      <c r="M75" s="563" t="s">
        <v>127</v>
      </c>
      <c r="N75" s="563"/>
      <c r="O75" s="2">
        <v>1347.3</v>
      </c>
      <c r="P75" s="175"/>
      <c r="Q75" s="178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</row>
    <row r="76" spans="1:47" s="11" customFormat="1" ht="14.4" x14ac:dyDescent="0.3">
      <c r="A76" s="79" t="s">
        <v>47</v>
      </c>
      <c r="B76" s="80">
        <f>'GERAL 2022'!J39</f>
        <v>118.18</v>
      </c>
      <c r="C76" s="78">
        <v>6</v>
      </c>
      <c r="D76" s="80">
        <f t="shared" si="8"/>
        <v>19.696666666666669</v>
      </c>
      <c r="E76" s="574"/>
      <c r="F76" s="540"/>
      <c r="G76" s="540"/>
      <c r="J76" s="15"/>
      <c r="K76" s="15"/>
      <c r="L76" s="15"/>
      <c r="M76" s="520"/>
      <c r="N76" s="520"/>
      <c r="O76" s="5"/>
      <c r="P76" s="175"/>
      <c r="Q76" s="178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</row>
    <row r="77" spans="1:47" s="11" customFormat="1" ht="14.4" x14ac:dyDescent="0.3">
      <c r="A77" s="12" t="s">
        <v>48</v>
      </c>
      <c r="B77" s="2">
        <f>'GERAL 2023'!H16</f>
        <v>15.019858156028368</v>
      </c>
      <c r="C77" s="88">
        <v>12</v>
      </c>
      <c r="D77" s="2">
        <f t="shared" si="8"/>
        <v>1.2516548463356973</v>
      </c>
      <c r="E77" s="574"/>
      <c r="F77" s="540"/>
      <c r="G77" s="540"/>
      <c r="J77" s="14"/>
      <c r="K77" s="14"/>
      <c r="L77" s="14"/>
      <c r="M77" s="516"/>
      <c r="N77" s="517"/>
      <c r="O77" s="141"/>
      <c r="P77" s="175"/>
      <c r="Q77" s="178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</row>
    <row r="78" spans="1:47" s="11" customFormat="1" ht="14.4" x14ac:dyDescent="0.3">
      <c r="A78" s="79" t="s">
        <v>16</v>
      </c>
      <c r="B78" s="80">
        <f>'GERAL 2023'!J36</f>
        <v>119.02</v>
      </c>
      <c r="C78" s="78">
        <v>6</v>
      </c>
      <c r="D78" s="80">
        <f t="shared" si="8"/>
        <v>19.836666666666666</v>
      </c>
      <c r="E78" s="574"/>
      <c r="F78" s="540"/>
      <c r="G78" s="540"/>
      <c r="J78" s="14"/>
      <c r="K78" s="14"/>
      <c r="L78" s="14"/>
      <c r="M78" s="520"/>
      <c r="N78" s="520"/>
      <c r="O78" s="5"/>
      <c r="P78" s="175"/>
      <c r="Q78" s="178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</row>
    <row r="79" spans="1:47" s="11" customFormat="1" ht="14.4" x14ac:dyDescent="0.3">
      <c r="A79" s="12" t="s">
        <v>17</v>
      </c>
      <c r="B79" s="2">
        <f>'GERAL 2023'!H36</f>
        <v>21.027801418439715</v>
      </c>
      <c r="C79" s="88">
        <v>12</v>
      </c>
      <c r="D79" s="2">
        <f t="shared" si="8"/>
        <v>1.7523167848699763</v>
      </c>
      <c r="E79" s="574"/>
      <c r="F79" s="540"/>
      <c r="G79" s="540"/>
      <c r="J79" s="14"/>
      <c r="K79" s="14"/>
      <c r="L79" s="14"/>
      <c r="M79" s="563"/>
      <c r="N79" s="563"/>
      <c r="O79" s="141"/>
      <c r="P79" s="175"/>
      <c r="Q79" s="178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</row>
    <row r="80" spans="1:47" s="11" customFormat="1" x14ac:dyDescent="0.3">
      <c r="A80" s="79" t="s">
        <v>27</v>
      </c>
      <c r="B80" s="80">
        <f>'GERAL 2023'!J37</f>
        <v>118.68</v>
      </c>
      <c r="C80" s="78">
        <v>6</v>
      </c>
      <c r="D80" s="80">
        <f t="shared" si="8"/>
        <v>19.78</v>
      </c>
      <c r="E80" s="574"/>
      <c r="F80" s="540"/>
      <c r="G80" s="540"/>
      <c r="J80" s="14"/>
      <c r="K80" s="14"/>
      <c r="L80" s="14"/>
      <c r="M80" s="520"/>
      <c r="N80" s="520"/>
      <c r="O80" s="165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</row>
    <row r="81" spans="1:47" s="69" customFormat="1" x14ac:dyDescent="0.3">
      <c r="A81" s="12" t="s">
        <v>28</v>
      </c>
      <c r="B81" s="2">
        <f>'GERAL 2023'!H37</f>
        <v>15.019858156028368</v>
      </c>
      <c r="C81" s="88">
        <v>12</v>
      </c>
      <c r="D81" s="2">
        <f t="shared" si="8"/>
        <v>1.2516548463356973</v>
      </c>
      <c r="E81" s="574"/>
      <c r="F81" s="540"/>
      <c r="G81" s="540"/>
      <c r="H81" s="11"/>
      <c r="I81" s="11"/>
      <c r="J81" s="14"/>
      <c r="K81" s="14"/>
      <c r="L81" s="14"/>
      <c r="M81" s="518" t="s">
        <v>26</v>
      </c>
      <c r="N81" s="518"/>
      <c r="O81" s="109">
        <f>SUM(O49:O80)</f>
        <v>3915.9338374301115</v>
      </c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</row>
    <row r="82" spans="1:47" s="69" customFormat="1" x14ac:dyDescent="0.3">
      <c r="A82" s="79" t="s">
        <v>18</v>
      </c>
      <c r="B82" s="80">
        <f>'GERAL 2022'!J41</f>
        <v>118.18</v>
      </c>
      <c r="C82" s="78">
        <v>6</v>
      </c>
      <c r="D82" s="80">
        <f t="shared" si="8"/>
        <v>19.696666666666669</v>
      </c>
      <c r="E82" s="574"/>
      <c r="F82" s="540"/>
      <c r="G82" s="540"/>
      <c r="H82" s="11"/>
      <c r="I82" s="11"/>
      <c r="J82" s="14"/>
      <c r="K82" s="14"/>
      <c r="L82" s="14"/>
      <c r="M82" s="543"/>
      <c r="N82" s="543"/>
      <c r="O82" s="135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</row>
    <row r="83" spans="1:47" s="69" customFormat="1" x14ac:dyDescent="0.3">
      <c r="A83" s="12" t="s">
        <v>19</v>
      </c>
      <c r="B83" s="2">
        <f>'GERAL 2023'!H19</f>
        <v>15.019858156028368</v>
      </c>
      <c r="C83" s="88">
        <v>12</v>
      </c>
      <c r="D83" s="2">
        <f>B83/C83</f>
        <v>1.2516548463356973</v>
      </c>
      <c r="E83" s="574"/>
      <c r="F83" s="540"/>
      <c r="G83" s="540"/>
      <c r="H83" s="11"/>
      <c r="I83" s="11"/>
      <c r="J83" s="14"/>
      <c r="K83" s="14"/>
      <c r="L83" s="14"/>
      <c r="M83" s="564" t="s">
        <v>11</v>
      </c>
      <c r="N83" s="565"/>
      <c r="O83" s="153">
        <f>J6+J35+J40</f>
        <v>17536.115232453107</v>
      </c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</row>
    <row r="84" spans="1:47" s="69" customFormat="1" x14ac:dyDescent="0.3">
      <c r="A84" s="79" t="s">
        <v>37</v>
      </c>
      <c r="B84" s="80">
        <f>'GERAL 2022'!J42</f>
        <v>118.92</v>
      </c>
      <c r="C84" s="78">
        <v>6</v>
      </c>
      <c r="D84" s="80">
        <f t="shared" si="8"/>
        <v>19.82</v>
      </c>
      <c r="E84" s="574"/>
      <c r="F84" s="540"/>
      <c r="G84" s="540"/>
      <c r="H84" s="11"/>
      <c r="I84" s="11"/>
      <c r="J84" s="14"/>
      <c r="K84" s="14"/>
      <c r="L84" s="14"/>
      <c r="M84" s="518"/>
      <c r="N84" s="518"/>
      <c r="O84" s="519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</row>
    <row r="85" spans="1:47" s="69" customFormat="1" x14ac:dyDescent="0.3">
      <c r="A85" s="12" t="s">
        <v>38</v>
      </c>
      <c r="B85" s="2">
        <f>'GERAL 2023'!H20</f>
        <v>15.019858156028368</v>
      </c>
      <c r="C85" s="88">
        <v>12</v>
      </c>
      <c r="D85" s="2">
        <f t="shared" si="8"/>
        <v>1.2516548463356973</v>
      </c>
      <c r="E85" s="574"/>
      <c r="F85" s="540"/>
      <c r="G85" s="540"/>
      <c r="H85" s="11"/>
      <c r="I85" s="11"/>
      <c r="J85" s="14"/>
      <c r="K85" s="14"/>
      <c r="L85" s="14"/>
      <c r="M85" s="513" t="s">
        <v>13</v>
      </c>
      <c r="N85" s="513"/>
      <c r="O85" s="151">
        <f>O83-O81</f>
        <v>13620.181395022995</v>
      </c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</row>
    <row r="86" spans="1:47" s="69" customFormat="1" x14ac:dyDescent="0.3">
      <c r="A86" s="79" t="s">
        <v>45</v>
      </c>
      <c r="B86" s="80">
        <f>'GERAL 2022'!J43</f>
        <v>117.85</v>
      </c>
      <c r="C86" s="78">
        <v>6</v>
      </c>
      <c r="D86" s="80">
        <f t="shared" si="8"/>
        <v>19.641666666666666</v>
      </c>
      <c r="E86" s="574"/>
      <c r="F86" s="540"/>
      <c r="G86" s="540"/>
      <c r="H86" s="11"/>
      <c r="I86" s="11"/>
      <c r="J86" s="14"/>
      <c r="K86" s="14"/>
      <c r="L86" s="14"/>
      <c r="M86" s="124"/>
      <c r="N86" s="124"/>
      <c r="O86" s="57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</row>
    <row r="87" spans="1:47" s="69" customFormat="1" x14ac:dyDescent="0.3">
      <c r="A87" s="12" t="s">
        <v>39</v>
      </c>
      <c r="B87" s="2">
        <f>'GERAL 2023'!H21</f>
        <v>15.019858156028368</v>
      </c>
      <c r="C87" s="88">
        <v>12</v>
      </c>
      <c r="D87" s="2">
        <f t="shared" si="8"/>
        <v>1.2516548463356973</v>
      </c>
      <c r="E87" s="574"/>
      <c r="F87" s="540"/>
      <c r="G87" s="540"/>
      <c r="H87" s="11"/>
      <c r="I87" s="11"/>
      <c r="J87" s="14"/>
      <c r="K87" s="14"/>
      <c r="L87" s="14"/>
      <c r="M87" s="124"/>
      <c r="N87" s="124"/>
      <c r="O87" s="57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</row>
    <row r="88" spans="1:47" s="69" customFormat="1" x14ac:dyDescent="0.3">
      <c r="A88" s="81" t="s">
        <v>49</v>
      </c>
      <c r="B88" s="80">
        <f>'GERAL 2022'!J22</f>
        <v>119.12</v>
      </c>
      <c r="C88" s="78">
        <v>6</v>
      </c>
      <c r="D88" s="80">
        <f t="shared" si="8"/>
        <v>19.853333333333335</v>
      </c>
      <c r="E88" s="574"/>
      <c r="F88" s="540"/>
      <c r="G88" s="540"/>
      <c r="H88" s="11"/>
      <c r="I88" s="11"/>
      <c r="J88" s="14"/>
      <c r="K88" s="14"/>
      <c r="L88" s="14"/>
      <c r="M88" s="124"/>
      <c r="N88" s="124"/>
      <c r="O88" s="57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</row>
    <row r="89" spans="1:47" s="69" customFormat="1" x14ac:dyDescent="0.3">
      <c r="A89" s="90" t="s">
        <v>50</v>
      </c>
      <c r="B89" s="2">
        <f>'GERAL 2023'!H22</f>
        <v>15.019858156028368</v>
      </c>
      <c r="C89" s="88">
        <v>12</v>
      </c>
      <c r="D89" s="2">
        <f t="shared" si="8"/>
        <v>1.2516548463356973</v>
      </c>
      <c r="E89" s="574"/>
      <c r="F89" s="540"/>
      <c r="G89" s="540"/>
      <c r="H89" s="11"/>
      <c r="I89" s="11"/>
      <c r="J89" s="14"/>
      <c r="K89" s="14"/>
      <c r="L89" s="14"/>
      <c r="M89" s="124"/>
      <c r="N89" s="124"/>
      <c r="O89" s="57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</row>
    <row r="90" spans="1:47" s="69" customFormat="1" x14ac:dyDescent="0.3">
      <c r="A90" s="81" t="s">
        <v>43</v>
      </c>
      <c r="B90" s="80">
        <f>'GERAL 2022'!J23</f>
        <v>117.26</v>
      </c>
      <c r="C90" s="78">
        <v>6</v>
      </c>
      <c r="D90" s="80">
        <f t="shared" si="8"/>
        <v>19.543333333333333</v>
      </c>
      <c r="E90" s="574"/>
      <c r="F90" s="540"/>
      <c r="G90" s="540"/>
      <c r="H90" s="11"/>
      <c r="I90" s="11"/>
      <c r="J90" s="14"/>
      <c r="K90" s="14"/>
      <c r="L90" s="14"/>
      <c r="M90" s="15"/>
      <c r="N90" s="14"/>
      <c r="O90" s="57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</row>
    <row r="91" spans="1:47" s="69" customFormat="1" x14ac:dyDescent="0.3">
      <c r="A91" s="90" t="s">
        <v>44</v>
      </c>
      <c r="B91" s="2">
        <f>'GERAL 2023'!H23</f>
        <v>15.019858156028368</v>
      </c>
      <c r="C91" s="88">
        <v>12</v>
      </c>
      <c r="D91" s="2">
        <f t="shared" si="8"/>
        <v>1.2516548463356973</v>
      </c>
      <c r="E91" s="574"/>
      <c r="F91" s="540"/>
      <c r="G91" s="540"/>
      <c r="H91" s="11"/>
      <c r="I91" s="11"/>
      <c r="J91" s="14"/>
      <c r="K91" s="14"/>
      <c r="L91" s="14"/>
      <c r="M91" s="11"/>
      <c r="N91" s="15"/>
      <c r="O91" s="57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</row>
    <row r="92" spans="1:47" s="69" customFormat="1" x14ac:dyDescent="0.3">
      <c r="A92" s="81" t="s">
        <v>51</v>
      </c>
      <c r="B92" s="80">
        <f>'GERAL 2022'!J24</f>
        <v>117.26</v>
      </c>
      <c r="C92" s="78">
        <v>6</v>
      </c>
      <c r="D92" s="80">
        <f t="shared" si="8"/>
        <v>19.543333333333333</v>
      </c>
      <c r="E92" s="574"/>
      <c r="F92" s="540"/>
      <c r="G92" s="540"/>
      <c r="J92" s="142"/>
      <c r="K92" s="142"/>
      <c r="L92" s="142"/>
      <c r="M92" s="11"/>
      <c r="N92" s="11"/>
      <c r="O92" s="57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</row>
    <row r="93" spans="1:47" s="70" customFormat="1" x14ac:dyDescent="0.3">
      <c r="A93" s="90" t="s">
        <v>52</v>
      </c>
      <c r="B93" s="2">
        <f>'GERAL 2023'!H24</f>
        <v>15.019858156028368</v>
      </c>
      <c r="C93" s="88">
        <v>12</v>
      </c>
      <c r="D93" s="2">
        <f t="shared" si="8"/>
        <v>1.2516548463356973</v>
      </c>
      <c r="E93" s="574"/>
      <c r="F93" s="540"/>
      <c r="G93" s="540"/>
      <c r="H93" s="63"/>
      <c r="I93" s="63"/>
      <c r="J93" s="69"/>
      <c r="K93" s="69"/>
      <c r="L93" s="69"/>
      <c r="M93" s="14"/>
      <c r="N93" s="14"/>
      <c r="O93" s="57"/>
    </row>
    <row r="94" spans="1:47" s="70" customFormat="1" ht="15" customHeight="1" x14ac:dyDescent="0.3">
      <c r="A94" s="81" t="s">
        <v>53</v>
      </c>
      <c r="B94" s="80">
        <f>'GERAL 2022'!J25</f>
        <v>117.85</v>
      </c>
      <c r="C94" s="78">
        <v>6</v>
      </c>
      <c r="D94" s="80">
        <f t="shared" si="8"/>
        <v>19.641666666666666</v>
      </c>
      <c r="E94" s="574"/>
      <c r="F94" s="540"/>
      <c r="G94" s="540"/>
      <c r="H94" s="11"/>
      <c r="I94" s="63"/>
      <c r="J94" s="142"/>
      <c r="K94" s="142"/>
      <c r="L94" s="142"/>
      <c r="M94" s="14"/>
      <c r="N94" s="15"/>
      <c r="O94" s="57"/>
      <c r="AU94" s="69"/>
    </row>
    <row r="95" spans="1:47" s="70" customFormat="1" x14ac:dyDescent="0.3">
      <c r="A95" s="90" t="s">
        <v>54</v>
      </c>
      <c r="B95" s="2">
        <f>'GERAL 2023'!H25</f>
        <v>15.019858156028368</v>
      </c>
      <c r="C95" s="88">
        <v>12</v>
      </c>
      <c r="D95" s="2">
        <f t="shared" si="8"/>
        <v>1.2516548463356973</v>
      </c>
      <c r="E95" s="574"/>
      <c r="F95" s="540"/>
      <c r="G95" s="540"/>
      <c r="H95" s="142"/>
      <c r="I95" s="142"/>
      <c r="J95" s="142"/>
      <c r="K95" s="142"/>
      <c r="L95" s="142"/>
      <c r="M95" s="14"/>
      <c r="N95" s="11"/>
      <c r="O95" s="57"/>
      <c r="AU95" s="69"/>
    </row>
    <row r="96" spans="1:47" s="70" customFormat="1" x14ac:dyDescent="0.3">
      <c r="A96" s="81" t="s">
        <v>78</v>
      </c>
      <c r="B96" s="80">
        <f>'GERAL 2022'!J26</f>
        <v>119.02</v>
      </c>
      <c r="C96" s="78">
        <v>6</v>
      </c>
      <c r="D96" s="80">
        <f t="shared" si="8"/>
        <v>19.836666666666666</v>
      </c>
      <c r="E96" s="574"/>
      <c r="F96" s="540"/>
      <c r="G96" s="540"/>
      <c r="H96" s="11"/>
      <c r="I96" s="63"/>
      <c r="J96" s="142"/>
      <c r="K96" s="142"/>
      <c r="L96" s="142"/>
      <c r="M96" s="14"/>
      <c r="N96" s="11"/>
      <c r="O96" s="57"/>
      <c r="AU96" s="69"/>
    </row>
    <row r="97" spans="1:47" s="70" customFormat="1" x14ac:dyDescent="0.3">
      <c r="A97" s="90" t="s">
        <v>79</v>
      </c>
      <c r="B97" s="2">
        <f>'GERAL 2023'!H26</f>
        <v>21.027801418439715</v>
      </c>
      <c r="C97" s="88">
        <v>12</v>
      </c>
      <c r="D97" s="2">
        <f t="shared" si="8"/>
        <v>1.7523167848699763</v>
      </c>
      <c r="E97" s="574"/>
      <c r="F97" s="540"/>
      <c r="G97" s="540"/>
      <c r="H97" s="142"/>
      <c r="I97" s="142"/>
      <c r="J97" s="142"/>
      <c r="K97" s="142"/>
      <c r="L97" s="142"/>
      <c r="M97" s="11"/>
      <c r="N97" s="11"/>
      <c r="O97" s="57"/>
      <c r="AU97" s="69"/>
    </row>
    <row r="98" spans="1:47" s="70" customFormat="1" x14ac:dyDescent="0.3">
      <c r="A98" s="81" t="s">
        <v>80</v>
      </c>
      <c r="B98" s="80">
        <f>'GERAL 2022'!J44</f>
        <v>118.53</v>
      </c>
      <c r="C98" s="78">
        <v>6</v>
      </c>
      <c r="D98" s="80">
        <f t="shared" si="8"/>
        <v>19.754999999999999</v>
      </c>
      <c r="E98" s="574"/>
      <c r="F98" s="540"/>
      <c r="G98" s="540"/>
      <c r="H98" s="11"/>
      <c r="I98" s="63"/>
      <c r="J98" s="142"/>
      <c r="K98" s="142"/>
      <c r="L98" s="142"/>
      <c r="M98" s="11"/>
      <c r="N98" s="14"/>
      <c r="O98" s="57"/>
      <c r="AU98" s="69"/>
    </row>
    <row r="99" spans="1:47" s="70" customFormat="1" x14ac:dyDescent="0.3">
      <c r="A99" s="90" t="s">
        <v>81</v>
      </c>
      <c r="B99" s="2">
        <f>'GERAL 2023'!H27</f>
        <v>15.019858156028368</v>
      </c>
      <c r="C99" s="88">
        <v>12</v>
      </c>
      <c r="D99" s="2">
        <f t="shared" si="8"/>
        <v>1.2516548463356973</v>
      </c>
      <c r="E99" s="574"/>
      <c r="F99" s="540"/>
      <c r="G99" s="540"/>
      <c r="H99" s="142"/>
      <c r="I99" s="142"/>
      <c r="J99" s="142"/>
      <c r="K99" s="142"/>
      <c r="L99" s="142"/>
      <c r="M99" s="11"/>
      <c r="N99" s="14"/>
      <c r="O99" s="57"/>
      <c r="AU99" s="69"/>
    </row>
    <row r="100" spans="1:47" s="70" customFormat="1" x14ac:dyDescent="0.3">
      <c r="A100" s="81" t="s">
        <v>82</v>
      </c>
      <c r="B100" s="80">
        <f>'GERAL 2022'!J28</f>
        <v>117.95</v>
      </c>
      <c r="C100" s="78">
        <v>6</v>
      </c>
      <c r="D100" s="80">
        <f t="shared" si="8"/>
        <v>19.658333333333335</v>
      </c>
      <c r="E100" s="574"/>
      <c r="F100" s="540"/>
      <c r="G100" s="540"/>
      <c r="H100" s="11"/>
      <c r="I100" s="63"/>
      <c r="J100" s="142"/>
      <c r="K100" s="142"/>
      <c r="L100" s="142"/>
      <c r="M100" s="11"/>
      <c r="N100" s="14"/>
      <c r="O100" s="57"/>
      <c r="AU100" s="69"/>
    </row>
    <row r="101" spans="1:47" s="70" customFormat="1" x14ac:dyDescent="0.3">
      <c r="A101" s="90" t="s">
        <v>83</v>
      </c>
      <c r="B101" s="2">
        <f>'GERAL 2023'!H28</f>
        <v>15.019858156028368</v>
      </c>
      <c r="C101" s="88">
        <v>12</v>
      </c>
      <c r="D101" s="2">
        <f t="shared" si="8"/>
        <v>1.2516548463356973</v>
      </c>
      <c r="E101" s="574"/>
      <c r="F101" s="540"/>
      <c r="G101" s="540"/>
      <c r="H101" s="142"/>
      <c r="I101" s="142"/>
      <c r="J101" s="142"/>
      <c r="K101" s="142"/>
      <c r="L101" s="142"/>
      <c r="M101" s="11"/>
      <c r="N101" s="14"/>
      <c r="O101" s="57"/>
      <c r="AU101" s="69"/>
    </row>
    <row r="102" spans="1:47" s="70" customFormat="1" x14ac:dyDescent="0.3">
      <c r="A102" s="81" t="s">
        <v>84</v>
      </c>
      <c r="B102" s="80">
        <f>'GERAL 2022'!J45</f>
        <v>118.18</v>
      </c>
      <c r="C102" s="78">
        <v>6</v>
      </c>
      <c r="D102" s="80">
        <f t="shared" si="8"/>
        <v>19.696666666666669</v>
      </c>
      <c r="E102" s="574"/>
      <c r="F102" s="540"/>
      <c r="G102" s="540"/>
      <c r="H102" s="11"/>
      <c r="I102" s="63"/>
      <c r="J102" s="142"/>
      <c r="K102" s="142"/>
      <c r="L102" s="142"/>
      <c r="M102" s="11"/>
      <c r="N102" s="11"/>
      <c r="O102" s="57"/>
      <c r="AU102" s="69"/>
    </row>
    <row r="103" spans="1:47" s="70" customFormat="1" x14ac:dyDescent="0.3">
      <c r="A103" s="90" t="s">
        <v>85</v>
      </c>
      <c r="B103" s="2">
        <f>'GERAL 2023'!H29</f>
        <v>15.019858156028368</v>
      </c>
      <c r="C103" s="88">
        <v>12</v>
      </c>
      <c r="D103" s="2">
        <f t="shared" si="8"/>
        <v>1.2516548463356973</v>
      </c>
      <c r="E103" s="574"/>
      <c r="F103" s="540"/>
      <c r="G103" s="540"/>
      <c r="H103" s="142"/>
      <c r="I103" s="142"/>
      <c r="J103" s="142"/>
      <c r="K103" s="142"/>
      <c r="L103" s="142"/>
      <c r="M103" s="11"/>
      <c r="N103" s="11"/>
      <c r="O103" s="57"/>
      <c r="AU103" s="69"/>
    </row>
    <row r="104" spans="1:47" s="70" customFormat="1" x14ac:dyDescent="0.3">
      <c r="A104" s="69"/>
      <c r="B104" s="189"/>
      <c r="C104" s="189"/>
      <c r="D104" s="189"/>
      <c r="E104" s="69"/>
      <c r="F104" s="69"/>
      <c r="G104" s="69"/>
      <c r="H104" s="142"/>
      <c r="I104" s="142"/>
      <c r="J104" s="142"/>
      <c r="K104" s="142"/>
      <c r="L104" s="142"/>
      <c r="M104" s="69"/>
      <c r="N104" s="69"/>
      <c r="O104" s="69"/>
      <c r="AU104" s="69"/>
    </row>
    <row r="105" spans="1:47" s="70" customFormat="1" x14ac:dyDescent="0.3">
      <c r="A105" s="69"/>
      <c r="B105" s="69"/>
      <c r="C105" s="69"/>
      <c r="D105" s="69"/>
      <c r="E105" s="69"/>
      <c r="F105" s="69"/>
      <c r="G105" s="69"/>
      <c r="H105" s="69"/>
      <c r="I105" s="69"/>
      <c r="J105" s="142"/>
      <c r="K105" s="142"/>
      <c r="L105" s="142"/>
      <c r="M105" s="69"/>
      <c r="N105" s="69"/>
      <c r="O105" s="69"/>
      <c r="AU105" s="69"/>
    </row>
    <row r="106" spans="1:47" s="70" customFormat="1" x14ac:dyDescent="0.3">
      <c r="A106" s="69"/>
      <c r="B106" s="69"/>
      <c r="C106" s="69"/>
      <c r="D106" s="69"/>
      <c r="E106" s="69"/>
      <c r="F106" s="69"/>
      <c r="G106" s="69"/>
      <c r="H106" s="69"/>
      <c r="I106" s="69"/>
      <c r="J106" s="142"/>
      <c r="K106" s="142"/>
      <c r="L106" s="142"/>
      <c r="M106" s="69"/>
      <c r="N106" s="69"/>
      <c r="O106" s="69"/>
      <c r="AU106" s="69"/>
    </row>
    <row r="107" spans="1:47" s="70" customFormat="1" x14ac:dyDescent="0.3">
      <c r="A107" s="69"/>
      <c r="B107" s="69"/>
      <c r="C107" s="69"/>
      <c r="D107" s="69"/>
      <c r="E107" s="69"/>
      <c r="F107" s="69"/>
      <c r="G107" s="69"/>
      <c r="H107" s="69"/>
      <c r="I107" s="69"/>
      <c r="J107" s="142"/>
      <c r="K107" s="142"/>
      <c r="L107" s="142"/>
      <c r="M107" s="69"/>
      <c r="N107" s="69"/>
      <c r="O107" s="69"/>
      <c r="AU107" s="69"/>
    </row>
    <row r="108" spans="1:47" s="70" customFormat="1" x14ac:dyDescent="0.3">
      <c r="A108" s="69"/>
      <c r="B108" s="69"/>
      <c r="C108" s="69"/>
      <c r="D108" s="69"/>
      <c r="E108" s="69"/>
      <c r="F108" s="69"/>
      <c r="G108" s="69"/>
      <c r="H108" s="69"/>
      <c r="I108" s="69"/>
      <c r="J108" s="142"/>
      <c r="K108" s="142"/>
      <c r="L108" s="142"/>
      <c r="M108" s="69"/>
      <c r="N108" s="69"/>
      <c r="O108" s="69"/>
      <c r="AU108" s="69"/>
    </row>
    <row r="109" spans="1:47" s="70" customFormat="1" x14ac:dyDescent="0.3">
      <c r="A109" s="69"/>
      <c r="B109" s="69"/>
      <c r="C109" s="69"/>
      <c r="D109" s="69"/>
      <c r="E109" s="69"/>
      <c r="F109" s="69"/>
      <c r="G109" s="69"/>
      <c r="H109" s="69"/>
      <c r="I109" s="69"/>
      <c r="J109" s="142"/>
      <c r="K109" s="142"/>
      <c r="L109" s="142"/>
      <c r="M109" s="69"/>
      <c r="N109" s="69"/>
      <c r="O109" s="69"/>
      <c r="AU109" s="69"/>
    </row>
    <row r="110" spans="1:47" s="70" customFormat="1" x14ac:dyDescent="0.3">
      <c r="A110" s="69"/>
      <c r="B110" s="69"/>
      <c r="C110" s="69"/>
      <c r="D110" s="69"/>
      <c r="E110" s="69"/>
      <c r="F110" s="69"/>
      <c r="G110" s="69"/>
      <c r="H110" s="69"/>
      <c r="I110" s="69"/>
      <c r="J110" s="142"/>
      <c r="K110" s="142"/>
      <c r="L110" s="142"/>
      <c r="M110" s="69"/>
      <c r="N110" s="69"/>
      <c r="O110" s="69"/>
      <c r="AU110" s="69"/>
    </row>
    <row r="111" spans="1:47" s="70" customFormat="1" x14ac:dyDescent="0.3">
      <c r="A111" s="69"/>
      <c r="B111" s="69"/>
      <c r="C111" s="69"/>
      <c r="D111" s="69"/>
      <c r="E111" s="69"/>
      <c r="F111" s="69"/>
      <c r="G111" s="69"/>
      <c r="H111" s="69"/>
      <c r="I111" s="69"/>
      <c r="J111" s="142"/>
      <c r="K111" s="142"/>
      <c r="L111" s="142"/>
      <c r="M111" s="144"/>
      <c r="N111" s="69"/>
      <c r="O111" s="69"/>
      <c r="AU111" s="69"/>
    </row>
    <row r="112" spans="1:47" s="70" customFormat="1" x14ac:dyDescent="0.3">
      <c r="H112" s="69"/>
      <c r="I112" s="69"/>
      <c r="J112" s="142"/>
      <c r="K112" s="142"/>
      <c r="L112" s="142"/>
      <c r="M112" s="144"/>
      <c r="N112" s="69"/>
      <c r="O112" s="69"/>
      <c r="AU112" s="69"/>
    </row>
    <row r="113" spans="10:47" s="70" customFormat="1" x14ac:dyDescent="0.3">
      <c r="J113" s="142"/>
      <c r="K113" s="142"/>
      <c r="L113" s="142"/>
      <c r="M113" s="144"/>
      <c r="N113" s="69"/>
      <c r="AU113" s="69"/>
    </row>
    <row r="114" spans="10:47" s="70" customFormat="1" x14ac:dyDescent="0.3">
      <c r="J114" s="142"/>
      <c r="K114" s="142"/>
      <c r="L114" s="142"/>
      <c r="M114" s="144"/>
      <c r="N114" s="69"/>
      <c r="AU114" s="69"/>
    </row>
    <row r="115" spans="10:47" s="70" customFormat="1" x14ac:dyDescent="0.3">
      <c r="J115" s="142"/>
      <c r="K115" s="142"/>
      <c r="L115" s="142"/>
      <c r="M115" s="144"/>
      <c r="N115" s="69"/>
      <c r="AU115" s="69"/>
    </row>
    <row r="116" spans="10:47" s="70" customFormat="1" x14ac:dyDescent="0.3">
      <c r="J116" s="142"/>
      <c r="K116" s="142"/>
      <c r="L116" s="142"/>
      <c r="M116" s="144"/>
      <c r="N116" s="144"/>
      <c r="AU116" s="69"/>
    </row>
    <row r="117" spans="10:47" s="70" customFormat="1" x14ac:dyDescent="0.3">
      <c r="J117" s="142"/>
      <c r="K117" s="142"/>
      <c r="L117" s="142"/>
      <c r="M117" s="144"/>
      <c r="N117" s="144"/>
      <c r="AU117" s="69"/>
    </row>
    <row r="118" spans="10:47" s="70" customFormat="1" x14ac:dyDescent="0.3">
      <c r="J118" s="142"/>
      <c r="K118" s="142"/>
      <c r="L118" s="142"/>
      <c r="M118" s="144"/>
      <c r="N118" s="144"/>
      <c r="AU118" s="69"/>
    </row>
    <row r="119" spans="10:47" s="70" customFormat="1" x14ac:dyDescent="0.3">
      <c r="J119" s="142"/>
      <c r="K119" s="142"/>
      <c r="L119" s="142"/>
      <c r="M119" s="144"/>
      <c r="N119" s="144"/>
      <c r="AU119" s="69"/>
    </row>
    <row r="120" spans="10:47" s="70" customFormat="1" x14ac:dyDescent="0.3">
      <c r="J120" s="142"/>
      <c r="K120" s="142"/>
      <c r="L120" s="142"/>
      <c r="M120" s="144"/>
      <c r="N120" s="144"/>
      <c r="AU120" s="69"/>
    </row>
    <row r="121" spans="10:47" s="70" customFormat="1" x14ac:dyDescent="0.3">
      <c r="J121" s="142"/>
      <c r="K121" s="142"/>
      <c r="L121" s="142"/>
      <c r="M121" s="144"/>
      <c r="N121" s="144"/>
      <c r="AU121" s="69"/>
    </row>
    <row r="122" spans="10:47" s="70" customFormat="1" x14ac:dyDescent="0.3">
      <c r="J122" s="142"/>
      <c r="K122" s="142"/>
      <c r="L122" s="142"/>
      <c r="M122" s="144"/>
      <c r="N122" s="144"/>
      <c r="AU122" s="69"/>
    </row>
    <row r="123" spans="10:47" s="70" customFormat="1" x14ac:dyDescent="0.3">
      <c r="J123" s="142"/>
      <c r="K123" s="142"/>
      <c r="L123" s="142"/>
      <c r="M123" s="144"/>
      <c r="N123" s="144"/>
      <c r="AU123" s="69"/>
    </row>
    <row r="124" spans="10:47" s="70" customFormat="1" x14ac:dyDescent="0.3">
      <c r="J124" s="142"/>
      <c r="K124" s="142"/>
      <c r="L124" s="142"/>
      <c r="M124" s="144"/>
      <c r="N124" s="144"/>
      <c r="AU124" s="69"/>
    </row>
    <row r="125" spans="10:47" s="70" customFormat="1" x14ac:dyDescent="0.3">
      <c r="J125" s="142"/>
      <c r="K125" s="142"/>
      <c r="L125" s="142"/>
      <c r="M125" s="144"/>
      <c r="N125" s="144"/>
      <c r="AU125" s="69"/>
    </row>
    <row r="126" spans="10:47" s="70" customFormat="1" x14ac:dyDescent="0.3">
      <c r="J126" s="142"/>
      <c r="K126" s="142"/>
      <c r="L126" s="142"/>
      <c r="M126" s="144"/>
      <c r="N126" s="144"/>
      <c r="AU126" s="69"/>
    </row>
    <row r="127" spans="10:47" s="70" customFormat="1" x14ac:dyDescent="0.3">
      <c r="J127" s="142"/>
      <c r="K127" s="142"/>
      <c r="L127" s="142"/>
      <c r="M127" s="144"/>
      <c r="N127" s="144"/>
      <c r="AU127" s="69"/>
    </row>
    <row r="128" spans="10:47" s="70" customFormat="1" x14ac:dyDescent="0.3">
      <c r="J128" s="142"/>
      <c r="K128" s="142"/>
      <c r="L128" s="142"/>
      <c r="M128" s="144"/>
      <c r="N128" s="144"/>
      <c r="AU128" s="69"/>
    </row>
    <row r="129" spans="10:47" s="70" customFormat="1" x14ac:dyDescent="0.3">
      <c r="J129" s="142"/>
      <c r="K129" s="142"/>
      <c r="L129" s="142"/>
      <c r="M129" s="144"/>
      <c r="N129" s="144"/>
      <c r="AU129" s="69"/>
    </row>
    <row r="130" spans="10:47" s="70" customFormat="1" x14ac:dyDescent="0.3">
      <c r="J130" s="142"/>
      <c r="K130" s="142"/>
      <c r="L130" s="142"/>
      <c r="M130" s="144"/>
      <c r="N130" s="144"/>
      <c r="AU130" s="69"/>
    </row>
    <row r="131" spans="10:47" s="70" customFormat="1" x14ac:dyDescent="0.3">
      <c r="J131" s="142"/>
      <c r="K131" s="142"/>
      <c r="L131" s="142"/>
      <c r="M131" s="144"/>
      <c r="N131" s="144"/>
      <c r="AU131" s="69"/>
    </row>
    <row r="132" spans="10:47" s="70" customFormat="1" x14ac:dyDescent="0.3">
      <c r="J132" s="142"/>
      <c r="K132" s="142"/>
      <c r="L132" s="142"/>
      <c r="M132" s="144"/>
      <c r="N132" s="144"/>
      <c r="AU132" s="69"/>
    </row>
    <row r="133" spans="10:47" s="70" customFormat="1" x14ac:dyDescent="0.3">
      <c r="J133" s="142"/>
      <c r="K133" s="142"/>
      <c r="L133" s="142"/>
      <c r="M133" s="144"/>
      <c r="N133" s="144"/>
      <c r="AU133" s="69"/>
    </row>
    <row r="134" spans="10:47" s="70" customFormat="1" x14ac:dyDescent="0.3">
      <c r="J134" s="142"/>
      <c r="K134" s="142"/>
      <c r="L134" s="142"/>
      <c r="M134" s="144"/>
      <c r="N134" s="144"/>
      <c r="AU134" s="69"/>
    </row>
    <row r="135" spans="10:47" s="70" customFormat="1" x14ac:dyDescent="0.3">
      <c r="J135" s="142"/>
      <c r="K135" s="142"/>
      <c r="L135" s="142"/>
      <c r="M135" s="144"/>
      <c r="N135" s="144"/>
      <c r="AU135" s="69"/>
    </row>
    <row r="136" spans="10:47" s="70" customFormat="1" x14ac:dyDescent="0.3">
      <c r="J136" s="142"/>
      <c r="K136" s="142"/>
      <c r="L136" s="142"/>
      <c r="M136" s="144"/>
      <c r="N136" s="144"/>
      <c r="AU136" s="69"/>
    </row>
    <row r="137" spans="10:47" s="70" customFormat="1" x14ac:dyDescent="0.3">
      <c r="J137" s="142"/>
      <c r="K137" s="142"/>
      <c r="L137" s="142"/>
      <c r="M137" s="144"/>
      <c r="N137" s="144"/>
      <c r="AU137" s="69"/>
    </row>
    <row r="138" spans="10:47" s="70" customFormat="1" x14ac:dyDescent="0.3">
      <c r="J138" s="142"/>
      <c r="K138" s="142"/>
      <c r="L138" s="142"/>
      <c r="M138" s="144"/>
      <c r="N138" s="144"/>
      <c r="AU138" s="69"/>
    </row>
    <row r="139" spans="10:47" s="70" customFormat="1" x14ac:dyDescent="0.3">
      <c r="J139" s="142"/>
      <c r="K139" s="142"/>
      <c r="L139" s="142"/>
      <c r="M139" s="144"/>
      <c r="N139" s="144"/>
      <c r="AU139" s="69"/>
    </row>
    <row r="140" spans="10:47" s="70" customFormat="1" x14ac:dyDescent="0.3">
      <c r="J140" s="142"/>
      <c r="K140" s="142"/>
      <c r="L140" s="142"/>
      <c r="M140" s="144"/>
      <c r="N140" s="144"/>
      <c r="AU140" s="69"/>
    </row>
    <row r="141" spans="10:47" s="70" customFormat="1" x14ac:dyDescent="0.3">
      <c r="J141" s="142"/>
      <c r="K141" s="142"/>
      <c r="L141" s="142"/>
      <c r="M141" s="144"/>
      <c r="N141" s="144"/>
      <c r="AU141" s="69"/>
    </row>
    <row r="142" spans="10:47" s="70" customFormat="1" x14ac:dyDescent="0.3">
      <c r="J142" s="142"/>
      <c r="K142" s="142"/>
      <c r="L142" s="142"/>
      <c r="M142" s="144"/>
      <c r="N142" s="144"/>
      <c r="AU142" s="69"/>
    </row>
    <row r="143" spans="10:47" s="70" customFormat="1" x14ac:dyDescent="0.3">
      <c r="J143" s="142"/>
      <c r="K143" s="142"/>
      <c r="L143" s="142"/>
      <c r="M143" s="144"/>
      <c r="N143" s="144"/>
      <c r="AU143" s="69"/>
    </row>
    <row r="144" spans="10:47" s="70" customFormat="1" x14ac:dyDescent="0.3">
      <c r="J144" s="142"/>
      <c r="K144" s="142"/>
      <c r="L144" s="142"/>
      <c r="M144" s="144"/>
      <c r="N144" s="144"/>
      <c r="AU144" s="69"/>
    </row>
    <row r="145" spans="10:47" s="70" customFormat="1" x14ac:dyDescent="0.3">
      <c r="J145" s="142"/>
      <c r="K145" s="142"/>
      <c r="L145" s="142"/>
      <c r="M145" s="144"/>
      <c r="N145" s="144"/>
      <c r="AU145" s="69"/>
    </row>
    <row r="146" spans="10:47" s="70" customFormat="1" x14ac:dyDescent="0.3">
      <c r="J146" s="142"/>
      <c r="K146" s="142"/>
      <c r="L146" s="142"/>
      <c r="M146" s="144"/>
      <c r="N146" s="144"/>
      <c r="AU146" s="69"/>
    </row>
    <row r="147" spans="10:47" s="70" customFormat="1" x14ac:dyDescent="0.3">
      <c r="J147" s="142"/>
      <c r="K147" s="142"/>
      <c r="L147" s="142"/>
      <c r="M147" s="144"/>
      <c r="N147" s="144"/>
      <c r="AU147" s="69"/>
    </row>
    <row r="148" spans="10:47" s="70" customFormat="1" x14ac:dyDescent="0.3">
      <c r="J148" s="142"/>
      <c r="K148" s="142"/>
      <c r="L148" s="142"/>
      <c r="M148" s="144"/>
      <c r="N148" s="144"/>
      <c r="AU148" s="69"/>
    </row>
    <row r="149" spans="10:47" s="70" customFormat="1" x14ac:dyDescent="0.3">
      <c r="J149" s="142"/>
      <c r="K149" s="142"/>
      <c r="L149" s="142"/>
      <c r="M149" s="144"/>
      <c r="N149" s="144"/>
      <c r="AU149" s="69"/>
    </row>
    <row r="150" spans="10:47" s="70" customFormat="1" x14ac:dyDescent="0.3">
      <c r="J150" s="142"/>
      <c r="K150" s="142"/>
      <c r="L150" s="142"/>
      <c r="M150" s="144"/>
      <c r="N150" s="144"/>
      <c r="AU150" s="69"/>
    </row>
    <row r="151" spans="10:47" s="70" customFormat="1" x14ac:dyDescent="0.3">
      <c r="J151" s="142"/>
      <c r="K151" s="142"/>
      <c r="L151" s="142"/>
      <c r="M151" s="144"/>
      <c r="N151" s="144"/>
      <c r="AU151" s="69"/>
    </row>
    <row r="152" spans="10:47" s="70" customFormat="1" x14ac:dyDescent="0.3">
      <c r="J152" s="142"/>
      <c r="K152" s="142"/>
      <c r="L152" s="142"/>
      <c r="M152" s="144"/>
      <c r="N152" s="144"/>
      <c r="AU152" s="69"/>
    </row>
    <row r="153" spans="10:47" s="70" customFormat="1" x14ac:dyDescent="0.3">
      <c r="J153" s="142"/>
      <c r="K153" s="142"/>
      <c r="L153" s="142"/>
      <c r="M153" s="144"/>
      <c r="N153" s="144"/>
      <c r="AU153" s="69"/>
    </row>
    <row r="154" spans="10:47" s="70" customFormat="1" x14ac:dyDescent="0.3">
      <c r="J154" s="142"/>
      <c r="K154" s="142"/>
      <c r="L154" s="142"/>
      <c r="M154" s="144"/>
      <c r="N154" s="144"/>
      <c r="AU154" s="69"/>
    </row>
    <row r="155" spans="10:47" s="70" customFormat="1" x14ac:dyDescent="0.3">
      <c r="J155" s="142"/>
      <c r="K155" s="142"/>
      <c r="L155" s="142"/>
      <c r="M155" s="144"/>
      <c r="N155" s="144"/>
      <c r="AU155" s="69"/>
    </row>
    <row r="156" spans="10:47" s="70" customFormat="1" x14ac:dyDescent="0.3">
      <c r="J156" s="142"/>
      <c r="K156" s="142"/>
      <c r="L156" s="142"/>
      <c r="M156" s="144"/>
      <c r="N156" s="144"/>
      <c r="AU156" s="69"/>
    </row>
    <row r="157" spans="10:47" s="70" customFormat="1" x14ac:dyDescent="0.3">
      <c r="J157" s="142"/>
      <c r="K157" s="142"/>
      <c r="L157" s="142"/>
      <c r="M157" s="144"/>
      <c r="N157" s="144"/>
      <c r="AU157" s="69"/>
    </row>
    <row r="158" spans="10:47" s="70" customFormat="1" x14ac:dyDescent="0.3">
      <c r="J158" s="142"/>
      <c r="K158" s="142"/>
      <c r="L158" s="142"/>
      <c r="M158" s="144"/>
      <c r="N158" s="144"/>
      <c r="AU158" s="69"/>
    </row>
    <row r="159" spans="10:47" s="70" customFormat="1" x14ac:dyDescent="0.3">
      <c r="J159" s="142"/>
      <c r="K159" s="142"/>
      <c r="L159" s="142"/>
      <c r="M159" s="144"/>
      <c r="N159" s="144"/>
      <c r="AU159" s="69"/>
    </row>
    <row r="160" spans="10:47" s="70" customFormat="1" x14ac:dyDescent="0.3">
      <c r="J160" s="142"/>
      <c r="K160" s="142"/>
      <c r="L160" s="142"/>
      <c r="M160" s="144"/>
      <c r="N160" s="144"/>
      <c r="AU160" s="69"/>
    </row>
    <row r="161" spans="1:48" s="70" customFormat="1" x14ac:dyDescent="0.3">
      <c r="J161" s="142"/>
      <c r="K161" s="142"/>
      <c r="L161" s="142"/>
      <c r="M161" s="144"/>
      <c r="N161" s="144"/>
      <c r="AU161" s="69"/>
    </row>
    <row r="162" spans="1:48" s="70" customFormat="1" x14ac:dyDescent="0.3">
      <c r="J162" s="142"/>
      <c r="K162" s="142"/>
      <c r="L162" s="142"/>
      <c r="M162" s="144"/>
      <c r="N162" s="144"/>
      <c r="AU162" s="69"/>
    </row>
    <row r="163" spans="1:48" s="70" customFormat="1" x14ac:dyDescent="0.3">
      <c r="J163" s="142"/>
      <c r="K163" s="142"/>
      <c r="L163" s="142"/>
      <c r="M163" s="144"/>
      <c r="N163" s="144"/>
      <c r="AU163" s="69"/>
    </row>
    <row r="164" spans="1:48" s="70" customFormat="1" x14ac:dyDescent="0.3">
      <c r="J164" s="142"/>
      <c r="K164" s="142"/>
      <c r="L164" s="142"/>
      <c r="M164" s="144"/>
      <c r="N164" s="144"/>
      <c r="AU164" s="69"/>
    </row>
    <row r="165" spans="1:48" s="70" customFormat="1" x14ac:dyDescent="0.3">
      <c r="J165" s="142"/>
      <c r="K165" s="142"/>
      <c r="L165" s="142"/>
      <c r="M165" s="144"/>
      <c r="N165" s="144"/>
      <c r="AU165" s="69"/>
    </row>
    <row r="166" spans="1:48" s="70" customFormat="1" x14ac:dyDescent="0.3">
      <c r="J166" s="142"/>
      <c r="K166" s="142"/>
      <c r="L166" s="142"/>
      <c r="M166" s="144"/>
      <c r="N166" s="144"/>
      <c r="AU166" s="69"/>
    </row>
    <row r="167" spans="1:48" s="70" customFormat="1" x14ac:dyDescent="0.3">
      <c r="J167" s="142"/>
      <c r="K167" s="142"/>
      <c r="L167" s="142"/>
      <c r="M167" s="144"/>
      <c r="N167" s="144"/>
      <c r="AU167" s="69"/>
    </row>
    <row r="168" spans="1:48" s="145" customFormat="1" x14ac:dyDescent="0.3">
      <c r="A168" s="70"/>
      <c r="B168" s="70"/>
      <c r="C168" s="70"/>
      <c r="D168" s="70"/>
      <c r="E168" s="70"/>
      <c r="F168" s="70"/>
      <c r="G168" s="70"/>
      <c r="H168" s="70"/>
      <c r="I168" s="70"/>
      <c r="J168" s="142"/>
      <c r="K168" s="142"/>
      <c r="L168" s="142"/>
      <c r="M168" s="144"/>
      <c r="N168" s="144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69"/>
      <c r="AV168" s="70"/>
    </row>
    <row r="169" spans="1:48" s="145" customFormat="1" x14ac:dyDescent="0.3">
      <c r="A169" s="70"/>
      <c r="B169" s="70"/>
      <c r="C169" s="70"/>
      <c r="D169" s="70"/>
      <c r="E169" s="70"/>
      <c r="F169" s="70"/>
      <c r="G169" s="70"/>
      <c r="H169" s="70"/>
      <c r="I169" s="70"/>
      <c r="J169" s="142"/>
      <c r="K169" s="142"/>
      <c r="L169" s="142"/>
      <c r="M169" s="144"/>
      <c r="N169" s="144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69"/>
      <c r="AV169" s="70"/>
    </row>
    <row r="170" spans="1:48" s="145" customFormat="1" x14ac:dyDescent="0.3">
      <c r="A170" s="70"/>
      <c r="B170" s="70"/>
      <c r="C170" s="70"/>
      <c r="D170" s="70"/>
      <c r="E170" s="70"/>
      <c r="F170" s="70"/>
      <c r="G170" s="70"/>
      <c r="H170" s="70"/>
      <c r="I170" s="70"/>
      <c r="J170" s="142"/>
      <c r="K170" s="142"/>
      <c r="L170" s="142"/>
      <c r="M170" s="144"/>
      <c r="N170" s="144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69"/>
      <c r="AV170" s="70"/>
    </row>
    <row r="171" spans="1:48" s="145" customFormat="1" x14ac:dyDescent="0.3">
      <c r="A171" s="70"/>
      <c r="B171" s="70"/>
      <c r="C171" s="70"/>
      <c r="D171" s="70"/>
      <c r="E171" s="70"/>
      <c r="F171" s="70"/>
      <c r="G171" s="70"/>
      <c r="H171" s="70"/>
      <c r="I171" s="70"/>
      <c r="J171" s="142"/>
      <c r="K171" s="142"/>
      <c r="L171" s="142"/>
      <c r="M171" s="144"/>
      <c r="N171" s="144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69"/>
      <c r="AV171" s="70"/>
    </row>
    <row r="172" spans="1:48" s="145" customFormat="1" x14ac:dyDescent="0.3">
      <c r="A172" s="70"/>
      <c r="B172" s="70"/>
      <c r="C172" s="70"/>
      <c r="D172" s="70"/>
      <c r="E172" s="70"/>
      <c r="F172" s="70"/>
      <c r="G172" s="70"/>
      <c r="H172" s="70"/>
      <c r="I172" s="70"/>
      <c r="J172" s="142"/>
      <c r="K172" s="142"/>
      <c r="L172" s="142"/>
      <c r="M172" s="144"/>
      <c r="N172" s="144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69"/>
      <c r="AV172" s="70"/>
    </row>
    <row r="173" spans="1:48" s="145" customFormat="1" x14ac:dyDescent="0.3">
      <c r="A173" s="70"/>
      <c r="B173" s="70"/>
      <c r="C173" s="70"/>
      <c r="D173" s="70"/>
      <c r="E173" s="70"/>
      <c r="F173" s="70"/>
      <c r="G173" s="70"/>
      <c r="H173" s="70"/>
      <c r="I173" s="70"/>
      <c r="J173" s="142"/>
      <c r="K173" s="142"/>
      <c r="L173" s="142"/>
      <c r="M173" s="144"/>
      <c r="N173" s="144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69"/>
      <c r="AV173" s="70"/>
    </row>
    <row r="174" spans="1:48" s="145" customFormat="1" x14ac:dyDescent="0.3">
      <c r="A174" s="70"/>
      <c r="B174" s="70"/>
      <c r="C174" s="70"/>
      <c r="D174" s="70"/>
      <c r="E174" s="70"/>
      <c r="F174" s="70"/>
      <c r="G174" s="70"/>
      <c r="H174" s="70"/>
      <c r="I174" s="70"/>
      <c r="J174" s="142"/>
      <c r="K174" s="142"/>
      <c r="L174" s="142"/>
      <c r="M174" s="144"/>
      <c r="N174" s="144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69"/>
      <c r="AV174" s="70"/>
    </row>
    <row r="175" spans="1:48" s="145" customFormat="1" x14ac:dyDescent="0.3">
      <c r="A175" s="70"/>
      <c r="B175" s="70"/>
      <c r="C175" s="70"/>
      <c r="D175" s="70"/>
      <c r="E175" s="70"/>
      <c r="F175" s="70"/>
      <c r="G175" s="70"/>
      <c r="H175" s="70"/>
      <c r="I175" s="70"/>
      <c r="J175" s="142"/>
      <c r="K175" s="142"/>
      <c r="L175" s="142"/>
      <c r="M175" s="144"/>
      <c r="N175" s="144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69"/>
      <c r="AV175" s="70"/>
    </row>
    <row r="176" spans="1:48" s="145" customFormat="1" x14ac:dyDescent="0.3">
      <c r="A176" s="70"/>
      <c r="B176" s="70"/>
      <c r="C176" s="70"/>
      <c r="D176" s="70"/>
      <c r="E176" s="70"/>
      <c r="F176" s="70"/>
      <c r="G176" s="70"/>
      <c r="H176" s="70"/>
      <c r="I176" s="70"/>
      <c r="J176" s="142"/>
      <c r="K176" s="142"/>
      <c r="L176" s="142"/>
      <c r="M176" s="144"/>
      <c r="N176" s="144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69"/>
      <c r="AV176" s="70"/>
    </row>
    <row r="177" spans="1:48" s="145" customFormat="1" x14ac:dyDescent="0.3">
      <c r="A177" s="70"/>
      <c r="B177" s="70"/>
      <c r="C177" s="70"/>
      <c r="D177" s="70"/>
      <c r="E177" s="70"/>
      <c r="F177" s="70"/>
      <c r="G177" s="70"/>
      <c r="H177" s="70"/>
      <c r="I177" s="70"/>
      <c r="J177" s="142"/>
      <c r="K177" s="142"/>
      <c r="L177" s="142"/>
      <c r="M177" s="144"/>
      <c r="N177" s="144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69"/>
      <c r="AV177" s="70"/>
    </row>
    <row r="178" spans="1:48" s="145" customFormat="1" x14ac:dyDescent="0.3">
      <c r="A178" s="70"/>
      <c r="B178" s="70"/>
      <c r="C178" s="70"/>
      <c r="D178" s="70"/>
      <c r="E178" s="70"/>
      <c r="F178" s="70"/>
      <c r="G178" s="70"/>
      <c r="H178" s="70"/>
      <c r="I178" s="70"/>
      <c r="J178" s="142"/>
      <c r="K178" s="142"/>
      <c r="L178" s="142"/>
      <c r="M178" s="144"/>
      <c r="N178" s="144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69"/>
      <c r="AV178" s="70"/>
    </row>
    <row r="179" spans="1:48" s="145" customFormat="1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142"/>
      <c r="K179" s="142"/>
      <c r="L179" s="142"/>
      <c r="M179" s="144"/>
      <c r="N179" s="144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69"/>
      <c r="AV179" s="70"/>
    </row>
    <row r="180" spans="1:48" s="145" customFormat="1" x14ac:dyDescent="0.3">
      <c r="A180" s="70"/>
      <c r="B180" s="70"/>
      <c r="C180" s="70"/>
      <c r="D180" s="70"/>
      <c r="E180" s="70"/>
      <c r="F180" s="70"/>
      <c r="G180" s="70"/>
      <c r="H180" s="70"/>
      <c r="I180" s="70"/>
      <c r="J180" s="146"/>
      <c r="K180" s="146"/>
      <c r="L180" s="146"/>
      <c r="M180" s="144"/>
      <c r="N180" s="144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69"/>
      <c r="AV180" s="70"/>
    </row>
    <row r="181" spans="1:48" s="145" customFormat="1" x14ac:dyDescent="0.3">
      <c r="A181" s="70"/>
      <c r="B181" s="70"/>
      <c r="C181" s="70"/>
      <c r="D181" s="70"/>
      <c r="E181" s="70"/>
      <c r="F181" s="70"/>
      <c r="G181" s="70"/>
      <c r="H181" s="70"/>
      <c r="I181" s="70"/>
      <c r="J181" s="146"/>
      <c r="K181" s="146"/>
      <c r="L181" s="146"/>
      <c r="M181" s="144"/>
      <c r="N181" s="144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69"/>
      <c r="AV181" s="70"/>
    </row>
    <row r="182" spans="1:48" s="145" customFormat="1" x14ac:dyDescent="0.3">
      <c r="A182" s="70"/>
      <c r="B182" s="70"/>
      <c r="C182" s="70"/>
      <c r="D182" s="70"/>
      <c r="E182" s="70"/>
      <c r="F182" s="70"/>
      <c r="G182" s="70"/>
      <c r="H182" s="70"/>
      <c r="I182" s="70"/>
      <c r="J182" s="146"/>
      <c r="K182" s="146"/>
      <c r="L182" s="146"/>
      <c r="M182" s="144"/>
      <c r="N182" s="144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69"/>
      <c r="AV182" s="70"/>
    </row>
    <row r="183" spans="1:48" s="145" customFormat="1" x14ac:dyDescent="0.3">
      <c r="A183" s="70"/>
      <c r="B183" s="70"/>
      <c r="C183" s="70"/>
      <c r="D183" s="70"/>
      <c r="E183" s="70"/>
      <c r="F183" s="70"/>
      <c r="G183" s="70"/>
      <c r="H183" s="70"/>
      <c r="I183" s="70"/>
      <c r="J183" s="146"/>
      <c r="K183" s="146"/>
      <c r="L183" s="146"/>
      <c r="M183" s="144"/>
      <c r="N183" s="144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69"/>
      <c r="AV183" s="70"/>
    </row>
    <row r="184" spans="1:48" s="145" customFormat="1" x14ac:dyDescent="0.3">
      <c r="A184" s="70"/>
      <c r="B184" s="70"/>
      <c r="C184" s="70"/>
      <c r="D184" s="70"/>
      <c r="E184" s="70"/>
      <c r="F184" s="70"/>
      <c r="G184" s="70"/>
      <c r="H184" s="70"/>
      <c r="I184" s="70"/>
      <c r="J184" s="146"/>
      <c r="K184" s="146"/>
      <c r="L184" s="146"/>
      <c r="M184" s="144"/>
      <c r="N184" s="144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69"/>
      <c r="AV184" s="70"/>
    </row>
    <row r="185" spans="1:48" x14ac:dyDescent="0.3">
      <c r="A185" s="70"/>
      <c r="B185" s="70"/>
      <c r="C185" s="70"/>
      <c r="D185" s="70"/>
      <c r="E185" s="70"/>
      <c r="F185" s="70"/>
      <c r="G185" s="70"/>
      <c r="H185" s="70"/>
      <c r="I185" s="70"/>
      <c r="J185" s="146"/>
      <c r="K185" s="146"/>
      <c r="L185" s="146"/>
      <c r="M185" s="144"/>
      <c r="N185" s="144"/>
      <c r="O185" s="70"/>
      <c r="AU185" s="148"/>
      <c r="AV185" s="148"/>
    </row>
    <row r="186" spans="1:48" x14ac:dyDescent="0.3">
      <c r="A186" s="70"/>
      <c r="B186" s="70"/>
      <c r="C186" s="70"/>
      <c r="D186" s="70"/>
      <c r="E186" s="70"/>
      <c r="F186" s="70"/>
      <c r="G186" s="70"/>
      <c r="H186" s="70"/>
      <c r="I186" s="70"/>
      <c r="J186" s="146"/>
      <c r="K186" s="146"/>
      <c r="L186" s="146"/>
      <c r="M186" s="144"/>
      <c r="N186" s="144"/>
      <c r="O186" s="70"/>
      <c r="AU186" s="148"/>
      <c r="AV186" s="148"/>
    </row>
    <row r="187" spans="1:48" x14ac:dyDescent="0.3">
      <c r="A187" s="70"/>
      <c r="B187" s="70"/>
      <c r="C187" s="70"/>
      <c r="D187" s="70"/>
      <c r="E187" s="70"/>
      <c r="F187" s="70"/>
      <c r="G187" s="70"/>
      <c r="H187" s="70"/>
      <c r="I187" s="70"/>
      <c r="J187" s="146"/>
      <c r="K187" s="146"/>
      <c r="L187" s="146"/>
      <c r="M187" s="144"/>
      <c r="N187" s="144"/>
      <c r="O187" s="70"/>
      <c r="AU187" s="148"/>
      <c r="AV187" s="148"/>
    </row>
    <row r="188" spans="1:48" x14ac:dyDescent="0.3">
      <c r="A188" s="70"/>
      <c r="B188" s="70"/>
      <c r="C188" s="70"/>
      <c r="D188" s="70"/>
      <c r="E188" s="70"/>
      <c r="F188" s="70"/>
      <c r="G188" s="70"/>
      <c r="H188" s="70"/>
      <c r="I188" s="70"/>
      <c r="J188" s="146"/>
      <c r="K188" s="146"/>
      <c r="L188" s="146"/>
      <c r="M188" s="147"/>
      <c r="N188" s="144"/>
      <c r="O188" s="70"/>
      <c r="AU188" s="148"/>
      <c r="AV188" s="148"/>
    </row>
    <row r="189" spans="1:48" x14ac:dyDescent="0.3">
      <c r="A189" s="149"/>
      <c r="B189" s="149"/>
      <c r="C189" s="149"/>
      <c r="D189" s="149"/>
      <c r="E189" s="149"/>
      <c r="F189" s="149"/>
      <c r="G189" s="149"/>
      <c r="H189" s="70"/>
      <c r="I189" s="70"/>
      <c r="J189" s="146"/>
      <c r="K189" s="146"/>
      <c r="L189" s="146"/>
      <c r="M189" s="147"/>
      <c r="N189" s="144"/>
      <c r="O189" s="70"/>
      <c r="AU189" s="148"/>
      <c r="AV189" s="148"/>
    </row>
    <row r="190" spans="1:48" x14ac:dyDescent="0.3">
      <c r="A190" s="149"/>
      <c r="B190" s="149"/>
      <c r="C190" s="149"/>
      <c r="D190" s="149"/>
      <c r="E190" s="149"/>
      <c r="F190" s="149"/>
      <c r="G190" s="149"/>
      <c r="H190" s="149"/>
      <c r="I190" s="149"/>
      <c r="J190" s="146"/>
      <c r="K190" s="146"/>
      <c r="L190" s="146"/>
      <c r="M190" s="147"/>
      <c r="N190" s="144"/>
      <c r="O190" s="70"/>
      <c r="AU190" s="148"/>
      <c r="AV190" s="148"/>
    </row>
    <row r="191" spans="1:48" x14ac:dyDescent="0.3">
      <c r="A191" s="149"/>
      <c r="B191" s="149"/>
      <c r="C191" s="149"/>
      <c r="D191" s="149"/>
      <c r="E191" s="149"/>
      <c r="F191" s="149"/>
      <c r="G191" s="149"/>
      <c r="H191" s="149"/>
      <c r="I191" s="149"/>
      <c r="J191" s="146"/>
      <c r="K191" s="146"/>
      <c r="L191" s="146"/>
      <c r="M191" s="147"/>
      <c r="N191" s="144"/>
      <c r="O191" s="149"/>
      <c r="AU191" s="148"/>
      <c r="AV191" s="148"/>
    </row>
    <row r="192" spans="1:48" x14ac:dyDescent="0.3">
      <c r="A192" s="149"/>
      <c r="B192" s="149"/>
      <c r="C192" s="149"/>
      <c r="D192" s="149"/>
      <c r="E192" s="149"/>
      <c r="F192" s="149"/>
      <c r="G192" s="149"/>
      <c r="H192" s="149"/>
      <c r="I192" s="149"/>
      <c r="J192" s="146"/>
      <c r="K192" s="146"/>
      <c r="L192" s="146"/>
      <c r="M192" s="147"/>
      <c r="N192" s="144"/>
      <c r="O192" s="149"/>
      <c r="AU192" s="148"/>
      <c r="AV192" s="148"/>
    </row>
    <row r="193" spans="1:48" x14ac:dyDescent="0.3">
      <c r="A193" s="149"/>
      <c r="B193" s="149"/>
      <c r="C193" s="149"/>
      <c r="D193" s="149"/>
      <c r="E193" s="149"/>
      <c r="F193" s="149"/>
      <c r="G193" s="149"/>
      <c r="H193" s="149"/>
      <c r="I193" s="149"/>
      <c r="J193" s="146"/>
      <c r="K193" s="146"/>
      <c r="L193" s="146"/>
      <c r="M193" s="147"/>
      <c r="N193" s="147"/>
      <c r="O193" s="149"/>
      <c r="AU193" s="148"/>
      <c r="AV193" s="148"/>
    </row>
    <row r="194" spans="1:48" x14ac:dyDescent="0.3">
      <c r="A194" s="149"/>
      <c r="B194" s="149"/>
      <c r="C194" s="149"/>
      <c r="D194" s="149"/>
      <c r="E194" s="149"/>
      <c r="F194" s="149"/>
      <c r="G194" s="149"/>
      <c r="H194" s="149"/>
      <c r="I194" s="149"/>
      <c r="J194" s="146"/>
      <c r="K194" s="146"/>
      <c r="L194" s="146"/>
      <c r="M194" s="147"/>
      <c r="N194" s="147"/>
      <c r="O194" s="149"/>
      <c r="AU194" s="148"/>
      <c r="AV194" s="148"/>
    </row>
    <row r="195" spans="1:48" x14ac:dyDescent="0.3">
      <c r="A195" s="149"/>
      <c r="B195" s="149"/>
      <c r="C195" s="149"/>
      <c r="D195" s="149"/>
      <c r="E195" s="149"/>
      <c r="F195" s="149"/>
      <c r="G195" s="149"/>
      <c r="H195" s="149"/>
      <c r="I195" s="149"/>
      <c r="J195" s="146"/>
      <c r="K195" s="146"/>
      <c r="L195" s="146"/>
      <c r="M195" s="147"/>
      <c r="N195" s="147"/>
      <c r="O195" s="149"/>
      <c r="AU195" s="148"/>
      <c r="AV195" s="148"/>
    </row>
    <row r="196" spans="1:48" x14ac:dyDescent="0.3">
      <c r="A196" s="149"/>
      <c r="B196" s="149"/>
      <c r="C196" s="149"/>
      <c r="D196" s="149"/>
      <c r="E196" s="149"/>
      <c r="F196" s="149"/>
      <c r="G196" s="149"/>
      <c r="H196" s="149"/>
      <c r="I196" s="149"/>
      <c r="J196" s="146"/>
      <c r="K196" s="146"/>
      <c r="L196" s="146"/>
      <c r="M196" s="147"/>
      <c r="N196" s="147"/>
      <c r="O196" s="149"/>
      <c r="AU196" s="148"/>
      <c r="AV196" s="148"/>
    </row>
    <row r="197" spans="1:48" x14ac:dyDescent="0.3">
      <c r="A197" s="149"/>
      <c r="B197" s="149"/>
      <c r="C197" s="149"/>
      <c r="D197" s="149"/>
      <c r="E197" s="149"/>
      <c r="F197" s="149"/>
      <c r="G197" s="149"/>
      <c r="H197" s="149"/>
      <c r="I197" s="149"/>
      <c r="M197" s="147"/>
      <c r="N197" s="147"/>
      <c r="O197" s="149"/>
    </row>
    <row r="198" spans="1:48" x14ac:dyDescent="0.3">
      <c r="A198" s="149"/>
      <c r="B198" s="149"/>
      <c r="C198" s="149"/>
      <c r="D198" s="149"/>
      <c r="E198" s="149"/>
      <c r="F198" s="149"/>
      <c r="G198" s="149"/>
      <c r="H198" s="149"/>
      <c r="I198" s="149"/>
      <c r="M198" s="147"/>
      <c r="N198" s="147"/>
      <c r="O198" s="14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69"/>
      <c r="AJ198" s="69"/>
      <c r="AK198" s="69"/>
      <c r="AL198" s="69"/>
      <c r="AM198" s="69"/>
      <c r="AN198" s="69"/>
      <c r="AO198" s="69"/>
      <c r="AP198" s="69"/>
      <c r="AQ198" s="69"/>
      <c r="AR198" s="69"/>
      <c r="AS198" s="69"/>
      <c r="AT198" s="69"/>
      <c r="AU198" s="148"/>
      <c r="AV198" s="148"/>
    </row>
    <row r="199" spans="1:48" x14ac:dyDescent="0.3">
      <c r="A199" s="149"/>
      <c r="B199" s="149"/>
      <c r="C199" s="149"/>
      <c r="D199" s="149"/>
      <c r="E199" s="149"/>
      <c r="F199" s="149"/>
      <c r="G199" s="149"/>
      <c r="H199" s="149"/>
      <c r="I199" s="149"/>
      <c r="M199" s="147"/>
      <c r="N199" s="147"/>
      <c r="O199" s="149"/>
    </row>
    <row r="200" spans="1:48" x14ac:dyDescent="0.3">
      <c r="A200" s="149"/>
      <c r="B200" s="149"/>
      <c r="C200" s="149"/>
      <c r="D200" s="149"/>
      <c r="E200" s="149"/>
      <c r="F200" s="149"/>
      <c r="G200" s="149"/>
      <c r="H200" s="149"/>
      <c r="I200" s="149"/>
      <c r="M200" s="147"/>
      <c r="N200" s="147"/>
      <c r="O200" s="149"/>
    </row>
    <row r="201" spans="1:48" x14ac:dyDescent="0.3">
      <c r="A201" s="149"/>
      <c r="B201" s="149"/>
      <c r="C201" s="149"/>
      <c r="D201" s="149"/>
      <c r="E201" s="149"/>
      <c r="F201" s="149"/>
      <c r="G201" s="149"/>
      <c r="H201" s="149"/>
      <c r="I201" s="149"/>
      <c r="M201" s="147"/>
      <c r="N201" s="147"/>
      <c r="O201" s="149"/>
    </row>
    <row r="202" spans="1:48" x14ac:dyDescent="0.3">
      <c r="A202" s="149"/>
      <c r="B202" s="149"/>
      <c r="C202" s="149"/>
      <c r="D202" s="149"/>
      <c r="E202" s="149"/>
      <c r="F202" s="149"/>
      <c r="G202" s="149"/>
      <c r="H202" s="149"/>
      <c r="I202" s="149"/>
      <c r="M202" s="147"/>
      <c r="N202" s="147"/>
      <c r="O202" s="149"/>
    </row>
    <row r="203" spans="1:48" x14ac:dyDescent="0.3">
      <c r="A203" s="149"/>
      <c r="B203" s="149"/>
      <c r="C203" s="149"/>
      <c r="D203" s="149"/>
      <c r="E203" s="149"/>
      <c r="F203" s="149"/>
      <c r="G203" s="149"/>
      <c r="H203" s="149"/>
      <c r="I203" s="149"/>
      <c r="M203" s="147"/>
      <c r="N203" s="147"/>
    </row>
    <row r="204" spans="1:48" x14ac:dyDescent="0.3">
      <c r="A204" s="149"/>
      <c r="B204" s="149"/>
      <c r="C204" s="149"/>
      <c r="D204" s="149"/>
      <c r="E204" s="149"/>
      <c r="F204" s="149"/>
      <c r="G204" s="149"/>
      <c r="H204" s="149"/>
      <c r="I204" s="149"/>
      <c r="M204" s="147"/>
      <c r="N204" s="147"/>
    </row>
    <row r="205" spans="1:48" x14ac:dyDescent="0.3">
      <c r="A205" s="149"/>
      <c r="B205" s="149"/>
      <c r="C205" s="149"/>
      <c r="D205" s="149"/>
      <c r="E205" s="149"/>
      <c r="F205" s="149"/>
      <c r="G205" s="149"/>
      <c r="H205" s="149"/>
      <c r="I205" s="149"/>
      <c r="N205" s="147"/>
    </row>
    <row r="206" spans="1:48" x14ac:dyDescent="0.3">
      <c r="H206" s="149"/>
      <c r="I206" s="149"/>
      <c r="N206" s="147"/>
    </row>
    <row r="207" spans="1:48" x14ac:dyDescent="0.3">
      <c r="N207" s="147"/>
    </row>
    <row r="208" spans="1:48" x14ac:dyDescent="0.3">
      <c r="N208" s="147"/>
    </row>
    <row r="209" spans="10:14" x14ac:dyDescent="0.3">
      <c r="M209" s="148"/>
      <c r="N209" s="147"/>
    </row>
    <row r="210" spans="10:14" x14ac:dyDescent="0.3">
      <c r="J210" s="148"/>
      <c r="K210" s="148"/>
      <c r="L210" s="148"/>
    </row>
    <row r="1048542" spans="1:59" s="70" customFormat="1" x14ac:dyDescent="0.3">
      <c r="A1048542" s="148"/>
      <c r="B1048542" s="148"/>
      <c r="C1048542" s="148"/>
      <c r="D1048542" s="148"/>
      <c r="E1048542" s="148"/>
      <c r="F1048542" s="148"/>
      <c r="G1048542" s="148"/>
      <c r="H1048542" s="148"/>
      <c r="I1048542" s="148"/>
      <c r="J1048542" s="150"/>
      <c r="K1048542" s="150"/>
      <c r="L1048542" s="150"/>
      <c r="M1048542" s="150"/>
      <c r="N1048542" s="150"/>
      <c r="O1048542" s="148"/>
      <c r="AU1048542" s="69"/>
      <c r="AV1048542" s="69"/>
      <c r="AW1048542" s="148"/>
      <c r="AX1048542" s="148"/>
      <c r="AY1048542" s="148"/>
      <c r="AZ1048542" s="148"/>
      <c r="BA1048542" s="148"/>
      <c r="BB1048542" s="148"/>
      <c r="BC1048542" s="148"/>
      <c r="BD1048542" s="148"/>
      <c r="BE1048542" s="148"/>
      <c r="BF1048542" s="148"/>
      <c r="BG1048542" s="148"/>
    </row>
    <row r="1048547" spans="15:15" x14ac:dyDescent="0.3">
      <c r="O1048547" s="57"/>
    </row>
  </sheetData>
  <mergeCells count="56">
    <mergeCell ref="M84:O84"/>
    <mergeCell ref="M85:N85"/>
    <mergeCell ref="M74:N74"/>
    <mergeCell ref="M70:N70"/>
    <mergeCell ref="M81:N81"/>
    <mergeCell ref="M82:N82"/>
    <mergeCell ref="M83:N83"/>
    <mergeCell ref="M78:N78"/>
    <mergeCell ref="M79:N79"/>
    <mergeCell ref="M80:N80"/>
    <mergeCell ref="M75:N75"/>
    <mergeCell ref="M76:N76"/>
    <mergeCell ref="M77:N77"/>
    <mergeCell ref="M67:N67"/>
    <mergeCell ref="M68:N68"/>
    <mergeCell ref="M71:N71"/>
    <mergeCell ref="M72:N72"/>
    <mergeCell ref="M73:N73"/>
    <mergeCell ref="M69:N69"/>
    <mergeCell ref="M65:N65"/>
    <mergeCell ref="M66:N66"/>
    <mergeCell ref="A6:B6"/>
    <mergeCell ref="M54:N54"/>
    <mergeCell ref="M55:N55"/>
    <mergeCell ref="M56:N56"/>
    <mergeCell ref="M57:N57"/>
    <mergeCell ref="D43:I43"/>
    <mergeCell ref="D38:I38"/>
    <mergeCell ref="D39:I39"/>
    <mergeCell ref="A40:I40"/>
    <mergeCell ref="M40:O40"/>
    <mergeCell ref="A41:M41"/>
    <mergeCell ref="A42:O42"/>
    <mergeCell ref="E48:G103"/>
    <mergeCell ref="M48:O48"/>
    <mergeCell ref="M62:N62"/>
    <mergeCell ref="M63:N63"/>
    <mergeCell ref="M64:N64"/>
    <mergeCell ref="M59:N59"/>
    <mergeCell ref="M61:N61"/>
    <mergeCell ref="A1:O1"/>
    <mergeCell ref="A2:O2"/>
    <mergeCell ref="A35:B35"/>
    <mergeCell ref="A36:O36"/>
    <mergeCell ref="D37:I37"/>
    <mergeCell ref="A3:O3"/>
    <mergeCell ref="M58:N58"/>
    <mergeCell ref="M60:N60"/>
    <mergeCell ref="D44:I44"/>
    <mergeCell ref="D45:I45"/>
    <mergeCell ref="A46:I46"/>
    <mergeCell ref="A48:D48"/>
    <mergeCell ref="M51:O52"/>
    <mergeCell ref="M53:O53"/>
    <mergeCell ref="M49:N49"/>
    <mergeCell ref="M50:N50"/>
  </mergeCells>
  <pageMargins left="0" right="0" top="0" bottom="0" header="0.31496062992125984" footer="0.31496062992125984"/>
  <pageSetup paperSize="9" scale="10" orientation="landscape" horizontalDpi="360" verticalDpi="36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B6F52-8B0F-4D41-B17E-CA25B7331F68}">
  <sheetPr>
    <pageSetUpPr fitToPage="1"/>
  </sheetPr>
  <dimension ref="A1:BH1048561"/>
  <sheetViews>
    <sheetView topLeftCell="C7" zoomScale="60" zoomScaleNormal="60" workbookViewId="0">
      <selection activeCell="A39" sqref="A39:XFD39"/>
    </sheetView>
  </sheetViews>
  <sheetFormatPr defaultColWidth="9.109375" defaultRowHeight="13.8" x14ac:dyDescent="0.3"/>
  <cols>
    <col min="1" max="1" width="50.109375" style="148" bestFit="1" customWidth="1"/>
    <col min="2" max="2" width="11.5546875" style="148" customWidth="1"/>
    <col min="3" max="3" width="19.88671875" style="148" customWidth="1"/>
    <col min="4" max="4" width="19.44140625" style="148" customWidth="1"/>
    <col min="5" max="5" width="21.33203125" style="148" customWidth="1"/>
    <col min="6" max="7" width="19.109375" style="148" customWidth="1"/>
    <col min="8" max="9" width="17.5546875" style="148" customWidth="1"/>
    <col min="10" max="10" width="15.5546875" style="148" bestFit="1" customWidth="1"/>
    <col min="11" max="11" width="21.44140625" style="150" customWidth="1"/>
    <col min="12" max="12" width="17.109375" style="150" bestFit="1" customWidth="1"/>
    <col min="13" max="13" width="19.44140625" style="150" bestFit="1" customWidth="1"/>
    <col min="14" max="14" width="130.109375" style="150" bestFit="1" customWidth="1"/>
    <col min="15" max="15" width="9.5546875" style="150" customWidth="1"/>
    <col min="16" max="16" width="18.5546875" style="148" customWidth="1"/>
    <col min="17" max="17" width="40.109375" style="70" bestFit="1" customWidth="1"/>
    <col min="18" max="18" width="13.109375" style="70" bestFit="1" customWidth="1"/>
    <col min="19" max="47" width="9.109375" style="70"/>
    <col min="48" max="49" width="9.109375" style="69"/>
    <col min="50" max="16384" width="9.109375" style="148"/>
  </cols>
  <sheetData>
    <row r="1" spans="1:42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</row>
    <row r="2" spans="1:42" s="10" customFormat="1" ht="28.5" customHeight="1" x14ac:dyDescent="0.3">
      <c r="A2" s="571" t="s">
        <v>762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3"/>
      <c r="Q2" s="211"/>
    </row>
    <row r="3" spans="1:42" s="10" customFormat="1" ht="30.75" customHeight="1" x14ac:dyDescent="0.3">
      <c r="A3" s="83" t="s">
        <v>3</v>
      </c>
      <c r="B3" s="83" t="s">
        <v>0</v>
      </c>
      <c r="C3" s="84" t="s">
        <v>1</v>
      </c>
      <c r="D3" s="84" t="s">
        <v>68</v>
      </c>
      <c r="E3" s="84" t="s">
        <v>69</v>
      </c>
      <c r="F3" s="85" t="s">
        <v>2</v>
      </c>
      <c r="G3" s="85" t="s">
        <v>592</v>
      </c>
      <c r="H3" s="84" t="s">
        <v>6</v>
      </c>
      <c r="I3" s="84" t="s">
        <v>764</v>
      </c>
      <c r="J3" s="84" t="s">
        <v>7</v>
      </c>
      <c r="K3" s="84" t="s">
        <v>4</v>
      </c>
      <c r="L3" s="84" t="s">
        <v>5</v>
      </c>
      <c r="M3" s="84" t="s">
        <v>70</v>
      </c>
      <c r="N3" s="83" t="s">
        <v>59</v>
      </c>
      <c r="O3" s="86" t="s">
        <v>8</v>
      </c>
      <c r="P3" s="86" t="s">
        <v>10</v>
      </c>
    </row>
    <row r="4" spans="1:42" s="6" customFormat="1" x14ac:dyDescent="0.3">
      <c r="A4" s="90" t="s">
        <v>738</v>
      </c>
      <c r="B4" s="90">
        <v>19</v>
      </c>
      <c r="C4" s="2">
        <f>'GERAL 2023'!G38</f>
        <v>610</v>
      </c>
      <c r="D4" s="2">
        <v>0</v>
      </c>
      <c r="E4" s="5">
        <f>C4-D4</f>
        <v>610</v>
      </c>
      <c r="F4" s="2">
        <v>25</v>
      </c>
      <c r="G4" s="2">
        <f>((1347.3/27))</f>
        <v>49.9</v>
      </c>
      <c r="H4" s="2">
        <f>'GERAL 2023'!I38</f>
        <v>1.2516548463356973</v>
      </c>
      <c r="I4" s="2">
        <f>(193.5/27)/6</f>
        <v>1.1944444444444444</v>
      </c>
      <c r="J4" s="2">
        <v>19.760000000000002</v>
      </c>
      <c r="K4" s="109">
        <f>SUM(E4:J4)</f>
        <v>707.10609929078009</v>
      </c>
      <c r="L4" s="2">
        <f>60%*(C4+F4)</f>
        <v>381</v>
      </c>
      <c r="M4" s="2">
        <f>K4-L4</f>
        <v>326.10609929078009</v>
      </c>
      <c r="N4" s="90" t="s">
        <v>765</v>
      </c>
      <c r="O4" s="3">
        <v>10</v>
      </c>
      <c r="P4" s="4">
        <v>11</v>
      </c>
      <c r="Q4" s="9"/>
      <c r="R4" s="9"/>
      <c r="S4" s="9"/>
      <c r="T4" s="9"/>
      <c r="U4" s="9"/>
      <c r="V4" s="9"/>
      <c r="W4" s="9"/>
      <c r="X4" s="9"/>
      <c r="Y4" s="9"/>
    </row>
    <row r="5" spans="1:42" s="15" customFormat="1" x14ac:dyDescent="0.3">
      <c r="A5" s="88" t="s">
        <v>766</v>
      </c>
      <c r="B5" s="90">
        <v>1</v>
      </c>
      <c r="C5" s="2">
        <f>'GERAL 2023'!G34</f>
        <v>550</v>
      </c>
      <c r="D5" s="2">
        <v>0</v>
      </c>
      <c r="E5" s="2">
        <f>C5-D5</f>
        <v>550</v>
      </c>
      <c r="F5" s="5">
        <f>(50*2)</f>
        <v>100</v>
      </c>
      <c r="G5" s="2">
        <v>0</v>
      </c>
      <c r="H5" s="2">
        <f>'GERAL 2023'!I33</f>
        <v>1.2516548463356973</v>
      </c>
      <c r="I5" s="2">
        <f>(193.5/27)/6</f>
        <v>1.1944444444444444</v>
      </c>
      <c r="J5" s="2">
        <v>19.64</v>
      </c>
      <c r="K5" s="109">
        <f>SUM(E5:J5)</f>
        <v>672.08609929078011</v>
      </c>
      <c r="L5" s="2">
        <f>60%*(C5+F5)</f>
        <v>390</v>
      </c>
      <c r="M5" s="2">
        <f>K5-L5</f>
        <v>282.08609929078011</v>
      </c>
      <c r="N5" s="5" t="s">
        <v>769</v>
      </c>
      <c r="O5" s="3">
        <v>10</v>
      </c>
      <c r="P5" s="3">
        <v>11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2" s="10" customFormat="1" x14ac:dyDescent="0.3">
      <c r="A6" s="518" t="s">
        <v>4</v>
      </c>
      <c r="B6" s="518"/>
      <c r="C6" s="109">
        <f>SUM(C4:C5)</f>
        <v>1160</v>
      </c>
      <c r="D6" s="109">
        <f t="shared" ref="D6:M6" si="0">SUM(D4:D5)</f>
        <v>0</v>
      </c>
      <c r="E6" s="109">
        <f t="shared" si="0"/>
        <v>1160</v>
      </c>
      <c r="F6" s="109">
        <f t="shared" si="0"/>
        <v>125</v>
      </c>
      <c r="G6" s="109">
        <f t="shared" si="0"/>
        <v>49.9</v>
      </c>
      <c r="H6" s="109">
        <f t="shared" si="0"/>
        <v>2.5033096926713947</v>
      </c>
      <c r="I6" s="109">
        <f>SUM(I4:I5)</f>
        <v>2.3888888888888888</v>
      </c>
      <c r="J6" s="109">
        <f t="shared" si="0"/>
        <v>39.400000000000006</v>
      </c>
      <c r="K6" s="109">
        <f t="shared" si="0"/>
        <v>1379.1921985815602</v>
      </c>
      <c r="L6" s="109">
        <f t="shared" si="0"/>
        <v>771</v>
      </c>
      <c r="M6" s="109">
        <f t="shared" si="0"/>
        <v>608.19219858156021</v>
      </c>
      <c r="N6" s="90"/>
      <c r="O6" s="3"/>
      <c r="P6" s="3"/>
    </row>
    <row r="7" spans="1:42" s="10" customFormat="1" ht="28.5" customHeight="1" x14ac:dyDescent="0.3">
      <c r="A7" s="571" t="s">
        <v>767</v>
      </c>
      <c r="B7" s="572"/>
      <c r="C7" s="572"/>
      <c r="D7" s="572"/>
      <c r="E7" s="572"/>
      <c r="F7" s="572"/>
      <c r="G7" s="572"/>
      <c r="H7" s="572"/>
      <c r="I7" s="572"/>
      <c r="J7" s="572"/>
      <c r="K7" s="572"/>
      <c r="L7" s="572"/>
      <c r="M7" s="572"/>
      <c r="N7" s="572"/>
      <c r="O7" s="572"/>
      <c r="P7" s="573"/>
    </row>
    <row r="8" spans="1:42" s="11" customFormat="1" ht="34.5" customHeight="1" x14ac:dyDescent="0.3">
      <c r="A8" s="83" t="s">
        <v>3</v>
      </c>
      <c r="B8" s="83" t="s">
        <v>0</v>
      </c>
      <c r="C8" s="84" t="s">
        <v>1</v>
      </c>
      <c r="D8" s="84" t="s">
        <v>68</v>
      </c>
      <c r="E8" s="84" t="s">
        <v>69</v>
      </c>
      <c r="F8" s="85" t="s">
        <v>2</v>
      </c>
      <c r="G8" s="85" t="s">
        <v>592</v>
      </c>
      <c r="H8" s="84" t="s">
        <v>6</v>
      </c>
      <c r="I8" s="84" t="s">
        <v>764</v>
      </c>
      <c r="J8" s="84" t="s">
        <v>7</v>
      </c>
      <c r="K8" s="84" t="s">
        <v>4</v>
      </c>
      <c r="L8" s="84" t="s">
        <v>5</v>
      </c>
      <c r="M8" s="84" t="s">
        <v>70</v>
      </c>
      <c r="N8" s="83" t="s">
        <v>59</v>
      </c>
      <c r="O8" s="86" t="s">
        <v>8</v>
      </c>
      <c r="P8" s="86" t="s">
        <v>10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</row>
    <row r="9" spans="1:42" s="15" customFormat="1" ht="15.75" customHeight="1" x14ac:dyDescent="0.3">
      <c r="A9" s="116" t="s">
        <v>766</v>
      </c>
      <c r="B9" s="90">
        <v>1</v>
      </c>
      <c r="C9" s="2">
        <f>'GERAL 2023'!G34/31*27</f>
        <v>479.03225806451616</v>
      </c>
      <c r="D9" s="2">
        <v>0</v>
      </c>
      <c r="E9" s="2">
        <f t="shared" ref="E9:E35" si="1">C9-D9</f>
        <v>479.03225806451616</v>
      </c>
      <c r="F9" s="5">
        <f>(50*2)/31*27</f>
        <v>87.096774193548384</v>
      </c>
      <c r="G9" s="2">
        <f>((1347.3/27))/31*27</f>
        <v>43.461290322580645</v>
      </c>
      <c r="H9" s="2">
        <f>'GERAL 2023'!I34/31*27</f>
        <v>1.0901509951956072</v>
      </c>
      <c r="I9" s="2">
        <f>((193.5/27)/6)/31*27</f>
        <v>1.0403225806451613</v>
      </c>
      <c r="J9" s="2">
        <f>'GERAL 2023'!K34</f>
        <v>19.650000000000002</v>
      </c>
      <c r="K9" s="109">
        <f t="shared" ref="K9:K45" si="2">SUM(E9:J9)</f>
        <v>631.37079615648588</v>
      </c>
      <c r="L9" s="2">
        <f>7%*K9</f>
        <v>44.195955730954019</v>
      </c>
      <c r="M9" s="2">
        <f>K9-L9</f>
        <v>587.1748404255319</v>
      </c>
      <c r="N9" s="5" t="s">
        <v>768</v>
      </c>
      <c r="O9" s="3">
        <v>10</v>
      </c>
      <c r="P9" s="3">
        <v>11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s="15" customFormat="1" ht="15.75" customHeight="1" x14ac:dyDescent="0.3">
      <c r="A10" s="116" t="s">
        <v>766</v>
      </c>
      <c r="B10" s="90">
        <v>1</v>
      </c>
      <c r="C10" s="2">
        <f>'GERAL 2023'!G34</f>
        <v>550</v>
      </c>
      <c r="D10" s="2">
        <v>0</v>
      </c>
      <c r="E10" s="2">
        <f t="shared" si="1"/>
        <v>550</v>
      </c>
      <c r="F10" s="5">
        <f>(50*2)</f>
        <v>100</v>
      </c>
      <c r="G10" s="2">
        <v>0</v>
      </c>
      <c r="H10" s="2">
        <f>'GERAL 2023'!I34</f>
        <v>1.2516548463356973</v>
      </c>
      <c r="I10" s="2">
        <f>(193.5/27)/6</f>
        <v>1.1944444444444444</v>
      </c>
      <c r="J10" s="2">
        <v>19.64</v>
      </c>
      <c r="K10" s="109">
        <f t="shared" si="2"/>
        <v>672.08609929078011</v>
      </c>
      <c r="L10" s="2">
        <f t="shared" ref="L10:L19" si="3">7%*K10</f>
        <v>47.046026950354616</v>
      </c>
      <c r="M10" s="2">
        <f t="shared" ref="M10:M19" si="4">K10-L10</f>
        <v>625.04007234042547</v>
      </c>
      <c r="N10" s="5" t="s">
        <v>770</v>
      </c>
      <c r="O10" s="3">
        <v>10</v>
      </c>
      <c r="P10" s="3">
        <v>11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spans="1:42" s="15" customFormat="1" ht="15.75" customHeight="1" x14ac:dyDescent="0.3">
      <c r="A11" s="116" t="s">
        <v>766</v>
      </c>
      <c r="B11" s="90">
        <v>1</v>
      </c>
      <c r="C11" s="2">
        <f>'GERAL 2023'!G34</f>
        <v>550</v>
      </c>
      <c r="D11" s="2">
        <v>0</v>
      </c>
      <c r="E11" s="2">
        <f t="shared" si="1"/>
        <v>550</v>
      </c>
      <c r="F11" s="5">
        <f>(50*2)</f>
        <v>100</v>
      </c>
      <c r="G11" s="2">
        <v>0</v>
      </c>
      <c r="H11" s="2">
        <f>'GERAL 2023'!I34</f>
        <v>1.2516548463356973</v>
      </c>
      <c r="I11" s="2">
        <f>(193.5/27)/6</f>
        <v>1.1944444444444444</v>
      </c>
      <c r="J11" s="2">
        <v>19.64</v>
      </c>
      <c r="K11" s="109">
        <f t="shared" si="2"/>
        <v>672.08609929078011</v>
      </c>
      <c r="L11" s="2">
        <f t="shared" si="3"/>
        <v>47.046026950354616</v>
      </c>
      <c r="M11" s="2">
        <f t="shared" si="4"/>
        <v>625.04007234042547</v>
      </c>
      <c r="N11" s="5" t="s">
        <v>771</v>
      </c>
      <c r="O11" s="3">
        <v>10</v>
      </c>
      <c r="P11" s="3">
        <v>11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s="15" customFormat="1" ht="15.75" customHeight="1" x14ac:dyDescent="0.3">
      <c r="A12" s="116" t="s">
        <v>766</v>
      </c>
      <c r="B12" s="90">
        <v>1</v>
      </c>
      <c r="C12" s="2">
        <f>'GERAL 2023'!G34</f>
        <v>550</v>
      </c>
      <c r="D12" s="2">
        <v>0</v>
      </c>
      <c r="E12" s="2">
        <f t="shared" si="1"/>
        <v>550</v>
      </c>
      <c r="F12" s="5">
        <f>(50*2)</f>
        <v>100</v>
      </c>
      <c r="G12" s="2">
        <v>0</v>
      </c>
      <c r="H12" s="2">
        <f>'GERAL 2023'!I34</f>
        <v>1.2516548463356973</v>
      </c>
      <c r="I12" s="2">
        <f>(193.5/27)/6</f>
        <v>1.1944444444444444</v>
      </c>
      <c r="J12" s="2">
        <v>19.64</v>
      </c>
      <c r="K12" s="109">
        <f t="shared" si="2"/>
        <v>672.08609929078011</v>
      </c>
      <c r="L12" s="2">
        <f t="shared" si="3"/>
        <v>47.046026950354616</v>
      </c>
      <c r="M12" s="2">
        <f t="shared" si="4"/>
        <v>625.04007234042547</v>
      </c>
      <c r="N12" s="5" t="s">
        <v>772</v>
      </c>
      <c r="O12" s="3">
        <v>10</v>
      </c>
      <c r="P12" s="4">
        <v>11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s="15" customFormat="1" ht="15.75" customHeight="1" x14ac:dyDescent="0.3">
      <c r="A13" s="116" t="s">
        <v>766</v>
      </c>
      <c r="B13" s="90">
        <v>1</v>
      </c>
      <c r="C13" s="2">
        <f>'GERAL 2023'!G34</f>
        <v>550</v>
      </c>
      <c r="D13" s="2">
        <v>0</v>
      </c>
      <c r="E13" s="2">
        <f t="shared" si="1"/>
        <v>550</v>
      </c>
      <c r="F13" s="5">
        <f t="shared" ref="F13:F19" si="5">(50*2)</f>
        <v>100</v>
      </c>
      <c r="G13" s="2">
        <v>0</v>
      </c>
      <c r="H13" s="2">
        <f>'GERAL 2023'!I34</f>
        <v>1.2516548463356973</v>
      </c>
      <c r="I13" s="2">
        <f>(193.5/27)/6</f>
        <v>1.1944444444444444</v>
      </c>
      <c r="J13" s="2">
        <v>19.64</v>
      </c>
      <c r="K13" s="109">
        <f t="shared" si="2"/>
        <v>672.08609929078011</v>
      </c>
      <c r="L13" s="2">
        <f t="shared" si="3"/>
        <v>47.046026950354616</v>
      </c>
      <c r="M13" s="2">
        <f t="shared" si="4"/>
        <v>625.04007234042547</v>
      </c>
      <c r="N13" s="5" t="s">
        <v>773</v>
      </c>
      <c r="O13" s="3">
        <v>10</v>
      </c>
      <c r="P13" s="3">
        <v>11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s="15" customFormat="1" ht="15.75" customHeight="1" x14ac:dyDescent="0.3">
      <c r="A14" s="116" t="s">
        <v>766</v>
      </c>
      <c r="B14" s="90">
        <v>1</v>
      </c>
      <c r="C14" s="2">
        <f>'GERAL 2023'!G34</f>
        <v>550</v>
      </c>
      <c r="D14" s="2">
        <v>0</v>
      </c>
      <c r="E14" s="2">
        <f t="shared" si="1"/>
        <v>550</v>
      </c>
      <c r="F14" s="5">
        <f t="shared" si="5"/>
        <v>100</v>
      </c>
      <c r="G14" s="2">
        <v>0</v>
      </c>
      <c r="H14" s="2">
        <v>0</v>
      </c>
      <c r="I14" s="2">
        <v>0</v>
      </c>
      <c r="J14" s="2">
        <v>0</v>
      </c>
      <c r="K14" s="109">
        <f t="shared" si="2"/>
        <v>650</v>
      </c>
      <c r="L14" s="2">
        <f t="shared" si="3"/>
        <v>45.500000000000007</v>
      </c>
      <c r="M14" s="2">
        <f t="shared" si="4"/>
        <v>604.5</v>
      </c>
      <c r="N14" s="5" t="s">
        <v>774</v>
      </c>
      <c r="O14" s="3">
        <v>10</v>
      </c>
      <c r="P14" s="3">
        <v>11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2" s="15" customFormat="1" ht="15.75" customHeight="1" x14ac:dyDescent="0.3">
      <c r="A15" s="116" t="s">
        <v>766</v>
      </c>
      <c r="B15" s="90">
        <v>1</v>
      </c>
      <c r="C15" s="2">
        <f>'GERAL 2023'!G34</f>
        <v>550</v>
      </c>
      <c r="D15" s="2">
        <v>0</v>
      </c>
      <c r="E15" s="2">
        <f t="shared" si="1"/>
        <v>550</v>
      </c>
      <c r="F15" s="5">
        <f t="shared" si="5"/>
        <v>100</v>
      </c>
      <c r="G15" s="2">
        <v>0</v>
      </c>
      <c r="H15" s="2">
        <v>0</v>
      </c>
      <c r="I15" s="2">
        <v>0</v>
      </c>
      <c r="J15" s="2">
        <v>0</v>
      </c>
      <c r="K15" s="109">
        <f t="shared" si="2"/>
        <v>650</v>
      </c>
      <c r="L15" s="2">
        <f t="shared" si="3"/>
        <v>45.500000000000007</v>
      </c>
      <c r="M15" s="2">
        <f t="shared" si="4"/>
        <v>604.5</v>
      </c>
      <c r="N15" s="5" t="s">
        <v>775</v>
      </c>
      <c r="O15" s="3">
        <v>10</v>
      </c>
      <c r="P15" s="3">
        <v>11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s="15" customFormat="1" ht="15.75" customHeight="1" x14ac:dyDescent="0.3">
      <c r="A16" s="116" t="s">
        <v>766</v>
      </c>
      <c r="B16" s="90">
        <v>1</v>
      </c>
      <c r="C16" s="2">
        <f>'GERAL 2023'!G34</f>
        <v>550</v>
      </c>
      <c r="D16" s="2">
        <v>0</v>
      </c>
      <c r="E16" s="2">
        <f t="shared" si="1"/>
        <v>550</v>
      </c>
      <c r="F16" s="5">
        <f t="shared" si="5"/>
        <v>100</v>
      </c>
      <c r="G16" s="2">
        <v>0</v>
      </c>
      <c r="H16" s="2">
        <v>0</v>
      </c>
      <c r="I16" s="2">
        <v>0</v>
      </c>
      <c r="J16" s="2">
        <v>0</v>
      </c>
      <c r="K16" s="109">
        <f t="shared" si="2"/>
        <v>650</v>
      </c>
      <c r="L16" s="2">
        <f t="shared" si="3"/>
        <v>45.500000000000007</v>
      </c>
      <c r="M16" s="2">
        <f t="shared" si="4"/>
        <v>604.5</v>
      </c>
      <c r="N16" s="5" t="s">
        <v>776</v>
      </c>
      <c r="O16" s="3">
        <v>10</v>
      </c>
      <c r="P16" s="3">
        <v>11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7" s="15" customFormat="1" ht="15.75" customHeight="1" x14ac:dyDescent="0.3">
      <c r="A17" s="116" t="s">
        <v>766</v>
      </c>
      <c r="B17" s="90">
        <v>1</v>
      </c>
      <c r="C17" s="2">
        <f>'GERAL 2023'!G34</f>
        <v>550</v>
      </c>
      <c r="D17" s="2">
        <v>0</v>
      </c>
      <c r="E17" s="2">
        <f t="shared" si="1"/>
        <v>550</v>
      </c>
      <c r="F17" s="5">
        <f t="shared" si="5"/>
        <v>100</v>
      </c>
      <c r="G17" s="2">
        <v>0</v>
      </c>
      <c r="H17" s="2">
        <v>0</v>
      </c>
      <c r="I17" s="2">
        <v>0</v>
      </c>
      <c r="J17" s="2">
        <v>0</v>
      </c>
      <c r="K17" s="109">
        <f t="shared" si="2"/>
        <v>650</v>
      </c>
      <c r="L17" s="2">
        <f t="shared" si="3"/>
        <v>45.500000000000007</v>
      </c>
      <c r="M17" s="2">
        <f t="shared" si="4"/>
        <v>604.5</v>
      </c>
      <c r="N17" s="5" t="s">
        <v>777</v>
      </c>
      <c r="O17" s="3">
        <v>10</v>
      </c>
      <c r="P17" s="4">
        <v>11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7" s="15" customFormat="1" ht="15.75" customHeight="1" x14ac:dyDescent="0.3">
      <c r="A18" s="116" t="s">
        <v>766</v>
      </c>
      <c r="B18" s="90">
        <v>1</v>
      </c>
      <c r="C18" s="2">
        <f>'GERAL 2023'!G34</f>
        <v>550</v>
      </c>
      <c r="D18" s="2">
        <v>0</v>
      </c>
      <c r="E18" s="2">
        <f t="shared" si="1"/>
        <v>550</v>
      </c>
      <c r="F18" s="5">
        <f t="shared" si="5"/>
        <v>100</v>
      </c>
      <c r="G18" s="2">
        <v>0</v>
      </c>
      <c r="H18" s="2">
        <v>0</v>
      </c>
      <c r="I18" s="2">
        <v>0</v>
      </c>
      <c r="J18" s="2">
        <v>0</v>
      </c>
      <c r="K18" s="109">
        <f t="shared" si="2"/>
        <v>650</v>
      </c>
      <c r="L18" s="2">
        <f t="shared" si="3"/>
        <v>45.500000000000007</v>
      </c>
      <c r="M18" s="2">
        <f t="shared" si="4"/>
        <v>604.5</v>
      </c>
      <c r="N18" s="5" t="s">
        <v>778</v>
      </c>
      <c r="O18" s="3">
        <v>10</v>
      </c>
      <c r="P18" s="3">
        <v>11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7" s="15" customFormat="1" ht="15.75" customHeight="1" x14ac:dyDescent="0.3">
      <c r="A19" s="116" t="s">
        <v>766</v>
      </c>
      <c r="B19" s="90">
        <v>1</v>
      </c>
      <c r="C19" s="2">
        <f>'GERAL 2023'!G34</f>
        <v>550</v>
      </c>
      <c r="D19" s="2">
        <v>0</v>
      </c>
      <c r="E19" s="2">
        <f t="shared" si="1"/>
        <v>550</v>
      </c>
      <c r="F19" s="5">
        <f t="shared" si="5"/>
        <v>100</v>
      </c>
      <c r="G19" s="2">
        <v>0</v>
      </c>
      <c r="H19" s="2">
        <v>0</v>
      </c>
      <c r="I19" s="2">
        <v>0</v>
      </c>
      <c r="J19" s="2">
        <v>0</v>
      </c>
      <c r="K19" s="109">
        <f t="shared" si="2"/>
        <v>650</v>
      </c>
      <c r="L19" s="2">
        <f t="shared" si="3"/>
        <v>45.500000000000007</v>
      </c>
      <c r="M19" s="2">
        <f t="shared" si="4"/>
        <v>604.5</v>
      </c>
      <c r="N19" s="5" t="s">
        <v>779</v>
      </c>
      <c r="O19" s="3">
        <v>10</v>
      </c>
      <c r="P19" s="3">
        <v>11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7" s="96" customFormat="1" x14ac:dyDescent="0.3">
      <c r="A20" s="90" t="s">
        <v>758</v>
      </c>
      <c r="B20" s="4">
        <v>2</v>
      </c>
      <c r="C20" s="5">
        <f>'GERAL 2022'!G4</f>
        <v>580</v>
      </c>
      <c r="D20" s="5">
        <v>0</v>
      </c>
      <c r="E20" s="5">
        <f t="shared" si="1"/>
        <v>580</v>
      </c>
      <c r="F20" s="5">
        <v>50</v>
      </c>
      <c r="G20" s="2">
        <f t="shared" ref="G20:G45" si="6">(1347.3/27)</f>
        <v>49.9</v>
      </c>
      <c r="H20" s="2">
        <f>D62</f>
        <v>1.2516548463356973</v>
      </c>
      <c r="I20" s="2">
        <f>(193.5/27)/6</f>
        <v>1.1944444444444444</v>
      </c>
      <c r="J20" s="5">
        <v>19.68</v>
      </c>
      <c r="K20" s="109">
        <f t="shared" si="2"/>
        <v>702.02609929078005</v>
      </c>
      <c r="L20" s="2">
        <f>7%*K20</f>
        <v>49.141826950354606</v>
      </c>
      <c r="M20" s="2">
        <f t="shared" ref="M20:M44" si="7">K20-L20</f>
        <v>652.88427234042547</v>
      </c>
      <c r="N20" s="90" t="s">
        <v>780</v>
      </c>
      <c r="O20" s="3">
        <v>10</v>
      </c>
      <c r="P20" s="3">
        <v>11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16"/>
      <c r="AM20" s="17"/>
      <c r="AN20" s="17"/>
      <c r="AO20" s="17"/>
      <c r="AP20" s="17"/>
    </row>
    <row r="21" spans="1:47" s="6" customFormat="1" x14ac:dyDescent="0.3">
      <c r="A21" s="90" t="s">
        <v>753</v>
      </c>
      <c r="B21" s="4">
        <v>3</v>
      </c>
      <c r="C21" s="5">
        <f>'GERAL 2022'!G5</f>
        <v>550</v>
      </c>
      <c r="D21" s="5">
        <v>0</v>
      </c>
      <c r="E21" s="5">
        <f t="shared" si="1"/>
        <v>550</v>
      </c>
      <c r="F21" s="5">
        <v>0</v>
      </c>
      <c r="G21" s="2">
        <f t="shared" si="6"/>
        <v>49.9</v>
      </c>
      <c r="H21" s="2">
        <f>D64</f>
        <v>1.2516548463356973</v>
      </c>
      <c r="I21" s="2">
        <f t="shared" ref="I21:I44" si="8">(193.5/27)/6</f>
        <v>1.1944444444444444</v>
      </c>
      <c r="J21" s="5">
        <v>19.649999999999999</v>
      </c>
      <c r="K21" s="109">
        <f t="shared" si="2"/>
        <v>621.99609929078008</v>
      </c>
      <c r="L21" s="2">
        <f t="shared" ref="L21:L45" si="9">7%*K21</f>
        <v>43.539726950354613</v>
      </c>
      <c r="M21" s="2">
        <f t="shared" si="7"/>
        <v>578.45637234042545</v>
      </c>
      <c r="N21" s="90" t="s">
        <v>780</v>
      </c>
      <c r="O21" s="3">
        <v>10</v>
      </c>
      <c r="P21" s="3">
        <v>11</v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</row>
    <row r="22" spans="1:47" s="15" customFormat="1" x14ac:dyDescent="0.3">
      <c r="A22" s="90" t="s">
        <v>743</v>
      </c>
      <c r="B22" s="90">
        <v>4</v>
      </c>
      <c r="C22" s="2">
        <f>550+(3.78823%*550)</f>
        <v>570.83526500000005</v>
      </c>
      <c r="D22" s="2">
        <v>0</v>
      </c>
      <c r="E22" s="2">
        <f t="shared" si="1"/>
        <v>570.83526500000005</v>
      </c>
      <c r="F22" s="2">
        <v>50</v>
      </c>
      <c r="G22" s="2">
        <f>(1347.3/27)</f>
        <v>49.9</v>
      </c>
      <c r="H22" s="2">
        <f>D66</f>
        <v>1.2516548463356973</v>
      </c>
      <c r="I22" s="2">
        <f t="shared" si="8"/>
        <v>1.1944444444444444</v>
      </c>
      <c r="J22" s="2">
        <v>19.64</v>
      </c>
      <c r="K22" s="109">
        <f t="shared" si="2"/>
        <v>692.82136429078014</v>
      </c>
      <c r="L22" s="2">
        <f t="shared" si="9"/>
        <v>48.497495500354617</v>
      </c>
      <c r="M22" s="2">
        <f t="shared" si="7"/>
        <v>644.32386879042554</v>
      </c>
      <c r="N22" s="90" t="s">
        <v>781</v>
      </c>
      <c r="O22" s="3">
        <v>10</v>
      </c>
      <c r="P22" s="4">
        <v>11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spans="1:47" s="15" customFormat="1" x14ac:dyDescent="0.3">
      <c r="A23" s="90" t="s">
        <v>744</v>
      </c>
      <c r="B23" s="90">
        <v>5</v>
      </c>
      <c r="C23" s="2">
        <f>'GERAL 2023'!G7</f>
        <v>580</v>
      </c>
      <c r="D23" s="2">
        <v>0</v>
      </c>
      <c r="E23" s="2">
        <f>C23-D23</f>
        <v>580</v>
      </c>
      <c r="F23" s="2">
        <f>50</f>
        <v>50</v>
      </c>
      <c r="G23" s="2">
        <f t="shared" si="6"/>
        <v>49.9</v>
      </c>
      <c r="H23" s="2">
        <f>D68</f>
        <v>1.2516548463356973</v>
      </c>
      <c r="I23" s="2">
        <f t="shared" si="8"/>
        <v>1.1944444444444444</v>
      </c>
      <c r="J23" s="2">
        <v>0</v>
      </c>
      <c r="K23" s="109">
        <f t="shared" si="2"/>
        <v>682.3460992907801</v>
      </c>
      <c r="L23" s="2">
        <f t="shared" si="9"/>
        <v>47.764226950354612</v>
      </c>
      <c r="M23" s="2">
        <f t="shared" si="7"/>
        <v>634.58187234042543</v>
      </c>
      <c r="N23" s="90" t="s">
        <v>782</v>
      </c>
      <c r="O23" s="3">
        <v>10</v>
      </c>
      <c r="P23" s="3">
        <v>11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7" s="11" customFormat="1" x14ac:dyDescent="0.3">
      <c r="A24" s="90" t="s">
        <v>745</v>
      </c>
      <c r="B24" s="90">
        <v>6</v>
      </c>
      <c r="C24" s="5">
        <f>'GERAL 2023'!G8</f>
        <v>680</v>
      </c>
      <c r="D24" s="5">
        <v>0</v>
      </c>
      <c r="E24" s="2">
        <f>C24-D24</f>
        <v>680</v>
      </c>
      <c r="F24" s="2">
        <f>100</f>
        <v>100</v>
      </c>
      <c r="G24" s="2">
        <f t="shared" si="6"/>
        <v>49.9</v>
      </c>
      <c r="H24" s="2">
        <f>D71</f>
        <v>1.7523167848699763</v>
      </c>
      <c r="I24" s="2">
        <f t="shared" si="8"/>
        <v>1.1944444444444444</v>
      </c>
      <c r="J24" s="2">
        <v>0</v>
      </c>
      <c r="K24" s="109">
        <f t="shared" si="2"/>
        <v>832.84676122931444</v>
      </c>
      <c r="L24" s="2">
        <f t="shared" si="9"/>
        <v>58.299273286052014</v>
      </c>
      <c r="M24" s="2">
        <f>K24-L24</f>
        <v>774.54748794326247</v>
      </c>
      <c r="N24" s="90" t="s">
        <v>782</v>
      </c>
      <c r="O24" s="3">
        <v>10</v>
      </c>
      <c r="P24" s="3">
        <v>11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</row>
    <row r="25" spans="1:47" s="15" customFormat="1" x14ac:dyDescent="0.3">
      <c r="A25" s="95" t="s">
        <v>791</v>
      </c>
      <c r="B25" s="90">
        <v>7</v>
      </c>
      <c r="C25" s="2">
        <f>'GERAL 2023'!G35/31*18</f>
        <v>354.19354838709677</v>
      </c>
      <c r="D25" s="2">
        <v>0</v>
      </c>
      <c r="E25" s="5">
        <f>C25-D25</f>
        <v>354.19354838709677</v>
      </c>
      <c r="F25" s="2">
        <f>50/31*18</f>
        <v>29.032258064516128</v>
      </c>
      <c r="G25" s="2">
        <f>((1347.3/27))/31*18</f>
        <v>28.974193548387095</v>
      </c>
      <c r="H25" s="2">
        <f>'GERAL 2023'!I35/31*18</f>
        <v>0.72676733013040484</v>
      </c>
      <c r="I25" s="2">
        <f>((193.5/27)/6)/31*18</f>
        <v>0.69354838709677413</v>
      </c>
      <c r="J25" s="2">
        <f>'GERAL 2023'!K35</f>
        <v>19.78</v>
      </c>
      <c r="K25" s="109">
        <f t="shared" si="2"/>
        <v>433.40031571722727</v>
      </c>
      <c r="L25" s="2">
        <f t="shared" si="9"/>
        <v>30.338022100205912</v>
      </c>
      <c r="M25" s="2">
        <f t="shared" si="7"/>
        <v>403.06229361702134</v>
      </c>
      <c r="N25" s="90" t="s">
        <v>792</v>
      </c>
      <c r="O25" s="3"/>
      <c r="P25" s="3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spans="1:47" s="15" customFormat="1" x14ac:dyDescent="0.3">
      <c r="A26" s="90" t="s">
        <v>746</v>
      </c>
      <c r="B26" s="90">
        <v>8</v>
      </c>
      <c r="C26" s="2">
        <f>'GERAL 2022'!G37</f>
        <v>580</v>
      </c>
      <c r="D26" s="2">
        <v>0</v>
      </c>
      <c r="E26" s="5">
        <f t="shared" si="1"/>
        <v>580</v>
      </c>
      <c r="F26" s="2">
        <v>50</v>
      </c>
      <c r="G26" s="2">
        <f t="shared" si="6"/>
        <v>49.9</v>
      </c>
      <c r="H26" s="2">
        <f>D75</f>
        <v>1.2516548463356973</v>
      </c>
      <c r="I26" s="2">
        <f t="shared" si="8"/>
        <v>1.1944444444444444</v>
      </c>
      <c r="J26" s="2">
        <v>0</v>
      </c>
      <c r="K26" s="109">
        <f t="shared" si="2"/>
        <v>682.3460992907801</v>
      </c>
      <c r="L26" s="2">
        <f t="shared" si="9"/>
        <v>47.764226950354612</v>
      </c>
      <c r="M26" s="2">
        <f t="shared" si="7"/>
        <v>634.58187234042543</v>
      </c>
      <c r="N26" s="90" t="s">
        <v>782</v>
      </c>
      <c r="O26" s="125">
        <v>10</v>
      </c>
      <c r="P26" s="3">
        <v>11</v>
      </c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7" s="15" customFormat="1" x14ac:dyDescent="0.3">
      <c r="A27" s="90" t="s">
        <v>754</v>
      </c>
      <c r="B27" s="90">
        <v>9</v>
      </c>
      <c r="C27" s="2">
        <f>'GERAL 2022'!G11+(5.45129%*580)</f>
        <v>611.617482</v>
      </c>
      <c r="D27" s="2">
        <v>0</v>
      </c>
      <c r="E27" s="5">
        <f t="shared" si="1"/>
        <v>611.617482</v>
      </c>
      <c r="F27" s="2">
        <f>25</f>
        <v>25</v>
      </c>
      <c r="G27" s="2">
        <f t="shared" si="6"/>
        <v>49.9</v>
      </c>
      <c r="H27" s="2">
        <f>D77</f>
        <v>1.2516548463356973</v>
      </c>
      <c r="I27" s="2">
        <f>(193.5/27)/6</f>
        <v>1.1944444444444444</v>
      </c>
      <c r="J27" s="2">
        <v>0</v>
      </c>
      <c r="K27" s="109">
        <f t="shared" si="2"/>
        <v>688.9635812907801</v>
      </c>
      <c r="L27" s="2">
        <f t="shared" si="9"/>
        <v>48.227450690354608</v>
      </c>
      <c r="M27" s="2">
        <f t="shared" si="7"/>
        <v>640.73613060042544</v>
      </c>
      <c r="N27" s="90" t="s">
        <v>783</v>
      </c>
      <c r="O27" s="125">
        <v>10</v>
      </c>
      <c r="P27" s="3">
        <v>11</v>
      </c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spans="1:47" s="69" customFormat="1" x14ac:dyDescent="0.3">
      <c r="A28" s="4" t="s">
        <v>739</v>
      </c>
      <c r="B28" s="4">
        <v>10</v>
      </c>
      <c r="C28" s="2">
        <f>'GERAL 2022'!G38</f>
        <v>550</v>
      </c>
      <c r="D28" s="2">
        <v>0</v>
      </c>
      <c r="E28" s="5">
        <f t="shared" si="1"/>
        <v>550</v>
      </c>
      <c r="F28" s="2">
        <v>50</v>
      </c>
      <c r="G28" s="2">
        <f t="shared" si="6"/>
        <v>49.9</v>
      </c>
      <c r="H28" s="2">
        <f>D79</f>
        <v>1.2516548463356973</v>
      </c>
      <c r="I28" s="2">
        <f t="shared" si="8"/>
        <v>1.1944444444444444</v>
      </c>
      <c r="J28" s="2">
        <v>19.64</v>
      </c>
      <c r="K28" s="109">
        <f t="shared" si="2"/>
        <v>671.98609929078009</v>
      </c>
      <c r="L28" s="2">
        <f t="shared" si="9"/>
        <v>47.039026950354611</v>
      </c>
      <c r="M28" s="2">
        <f t="shared" si="7"/>
        <v>624.94707234042551</v>
      </c>
      <c r="N28" s="90" t="s">
        <v>765</v>
      </c>
      <c r="O28" s="3">
        <v>10</v>
      </c>
      <c r="P28" s="4">
        <v>11</v>
      </c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</row>
    <row r="29" spans="1:47" s="69" customFormat="1" x14ac:dyDescent="0.3">
      <c r="A29" s="4" t="s">
        <v>755</v>
      </c>
      <c r="B29" s="4">
        <v>11</v>
      </c>
      <c r="C29" s="2">
        <f>'GERAL 2022'!G13+(0.16712%*550)</f>
        <v>550.91916000000003</v>
      </c>
      <c r="D29" s="2">
        <v>0</v>
      </c>
      <c r="E29" s="5">
        <f t="shared" si="1"/>
        <v>550.91916000000003</v>
      </c>
      <c r="F29" s="2">
        <v>0</v>
      </c>
      <c r="G29" s="2">
        <f t="shared" si="6"/>
        <v>49.9</v>
      </c>
      <c r="H29" s="2">
        <f>D81</f>
        <v>1.2516548463356973</v>
      </c>
      <c r="I29" s="2">
        <f t="shared" si="8"/>
        <v>1.1944444444444444</v>
      </c>
      <c r="J29" s="2">
        <v>19.64</v>
      </c>
      <c r="K29" s="109">
        <f t="shared" si="2"/>
        <v>622.90525929078012</v>
      </c>
      <c r="L29" s="2">
        <f>7%*K29</f>
        <v>43.603368150354612</v>
      </c>
      <c r="M29" s="2">
        <f t="shared" si="7"/>
        <v>579.30189114042548</v>
      </c>
      <c r="N29" s="5" t="s">
        <v>795</v>
      </c>
      <c r="O29" s="3">
        <v>10</v>
      </c>
      <c r="P29" s="4">
        <v>11</v>
      </c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</row>
    <row r="30" spans="1:47" s="15" customFormat="1" x14ac:dyDescent="0.3">
      <c r="A30" s="90" t="s">
        <v>740</v>
      </c>
      <c r="B30" s="90">
        <v>12</v>
      </c>
      <c r="C30" s="2">
        <f>'GERAL 2022'!G14</f>
        <v>550</v>
      </c>
      <c r="D30" s="2">
        <v>0</v>
      </c>
      <c r="E30" s="5">
        <f t="shared" si="1"/>
        <v>550</v>
      </c>
      <c r="F30" s="5">
        <v>25</v>
      </c>
      <c r="G30" s="2">
        <f t="shared" si="6"/>
        <v>49.9</v>
      </c>
      <c r="H30" s="2">
        <f>D83</f>
        <v>1.2516548463356973</v>
      </c>
      <c r="I30" s="2">
        <f t="shared" si="8"/>
        <v>1.1944444444444444</v>
      </c>
      <c r="J30" s="5">
        <v>19.64</v>
      </c>
      <c r="K30" s="109">
        <f t="shared" si="2"/>
        <v>646.98609929078009</v>
      </c>
      <c r="L30" s="2">
        <f t="shared" si="9"/>
        <v>45.289026950354611</v>
      </c>
      <c r="M30" s="2">
        <f t="shared" si="7"/>
        <v>601.69707234042551</v>
      </c>
      <c r="N30" s="90" t="s">
        <v>765</v>
      </c>
      <c r="O30" s="3">
        <v>10</v>
      </c>
      <c r="P30" s="3">
        <v>11</v>
      </c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spans="1:47" s="11" customFormat="1" x14ac:dyDescent="0.3">
      <c r="A31" s="90" t="s">
        <v>756</v>
      </c>
      <c r="B31" s="90">
        <v>13</v>
      </c>
      <c r="C31" s="5">
        <f>'GERAL 2022'!G15</f>
        <v>550</v>
      </c>
      <c r="D31" s="5">
        <v>0</v>
      </c>
      <c r="E31" s="5">
        <f t="shared" si="1"/>
        <v>550</v>
      </c>
      <c r="F31" s="2">
        <v>0</v>
      </c>
      <c r="G31" s="2">
        <f t="shared" si="6"/>
        <v>49.9</v>
      </c>
      <c r="H31" s="2">
        <f>D85</f>
        <v>1.2516548463356973</v>
      </c>
      <c r="I31" s="2">
        <f t="shared" si="8"/>
        <v>1.1944444444444444</v>
      </c>
      <c r="J31" s="2">
        <f>D84</f>
        <v>19.641666666666666</v>
      </c>
      <c r="K31" s="109">
        <f t="shared" si="2"/>
        <v>621.98776595744675</v>
      </c>
      <c r="L31" s="2">
        <f t="shared" si="9"/>
        <v>43.539143617021274</v>
      </c>
      <c r="M31" s="2">
        <f t="shared" si="7"/>
        <v>578.44862234042546</v>
      </c>
      <c r="N31" s="90" t="s">
        <v>784</v>
      </c>
      <c r="O31" s="3">
        <v>10</v>
      </c>
      <c r="P31" s="3">
        <v>11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</row>
    <row r="32" spans="1:47" s="69" customFormat="1" x14ac:dyDescent="0.3">
      <c r="A32" s="4" t="s">
        <v>747</v>
      </c>
      <c r="B32" s="4">
        <v>14</v>
      </c>
      <c r="C32" s="2">
        <f>'GERAL 2022'!G39</f>
        <v>580</v>
      </c>
      <c r="D32" s="2">
        <v>0</v>
      </c>
      <c r="E32" s="5">
        <f t="shared" si="1"/>
        <v>580</v>
      </c>
      <c r="F32" s="2">
        <f>50</f>
        <v>50</v>
      </c>
      <c r="G32" s="2">
        <f t="shared" si="6"/>
        <v>49.9</v>
      </c>
      <c r="H32" s="2">
        <f>D87</f>
        <v>1.2516548463356973</v>
      </c>
      <c r="I32" s="2">
        <f t="shared" si="8"/>
        <v>1.1944444444444444</v>
      </c>
      <c r="J32" s="2">
        <v>0</v>
      </c>
      <c r="K32" s="109">
        <f t="shared" si="2"/>
        <v>682.3460992907801</v>
      </c>
      <c r="L32" s="2">
        <f t="shared" si="9"/>
        <v>47.764226950354612</v>
      </c>
      <c r="M32" s="2">
        <f t="shared" si="7"/>
        <v>634.58187234042543</v>
      </c>
      <c r="N32" s="90" t="s">
        <v>782</v>
      </c>
      <c r="O32" s="3">
        <v>10</v>
      </c>
      <c r="P32" s="4">
        <v>11</v>
      </c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</row>
    <row r="33" spans="1:42" s="6" customFormat="1" x14ac:dyDescent="0.3">
      <c r="A33" s="90" t="s">
        <v>748</v>
      </c>
      <c r="B33" s="90">
        <v>15</v>
      </c>
      <c r="C33" s="2">
        <f>'GERAL 2023'!G36</f>
        <v>680</v>
      </c>
      <c r="D33" s="2">
        <v>0</v>
      </c>
      <c r="E33" s="5">
        <f t="shared" si="1"/>
        <v>680</v>
      </c>
      <c r="F33" s="2">
        <v>25</v>
      </c>
      <c r="G33" s="2">
        <f t="shared" si="6"/>
        <v>49.9</v>
      </c>
      <c r="H33" s="2">
        <f>'GERAL 2023'!I36</f>
        <v>1.7523167848699763</v>
      </c>
      <c r="I33" s="2">
        <f t="shared" si="8"/>
        <v>1.1944444444444444</v>
      </c>
      <c r="J33" s="2">
        <f>'GERAL 2023'!K36</f>
        <v>19.836666666666666</v>
      </c>
      <c r="K33" s="109">
        <f t="shared" si="2"/>
        <v>777.68342789598114</v>
      </c>
      <c r="L33" s="2">
        <f t="shared" si="9"/>
        <v>54.437839952718683</v>
      </c>
      <c r="M33" s="2">
        <f t="shared" si="7"/>
        <v>723.24558794326242</v>
      </c>
      <c r="N33" s="90" t="s">
        <v>763</v>
      </c>
      <c r="O33" s="3">
        <v>10</v>
      </c>
      <c r="P33" s="4">
        <v>11</v>
      </c>
      <c r="Q33" s="9"/>
      <c r="R33" s="9"/>
      <c r="S33" s="9"/>
      <c r="T33" s="9"/>
      <c r="U33" s="9"/>
      <c r="V33" s="9"/>
      <c r="W33" s="9"/>
      <c r="X33" s="9"/>
      <c r="Y33" s="9"/>
    </row>
    <row r="34" spans="1:42" s="11" customFormat="1" x14ac:dyDescent="0.3">
      <c r="A34" s="3" t="s">
        <v>757</v>
      </c>
      <c r="B34" s="3">
        <v>16</v>
      </c>
      <c r="C34" s="2">
        <f>'GERAL 2023'!G37</f>
        <v>610</v>
      </c>
      <c r="D34" s="2">
        <v>0</v>
      </c>
      <c r="E34" s="5">
        <f>C34-D34</f>
        <v>610</v>
      </c>
      <c r="F34" s="2">
        <v>0</v>
      </c>
      <c r="G34" s="2">
        <f t="shared" si="6"/>
        <v>49.9</v>
      </c>
      <c r="H34" s="2">
        <f>D91</f>
        <v>1.2516548463356973</v>
      </c>
      <c r="I34" s="2">
        <f t="shared" si="8"/>
        <v>1.1944444444444444</v>
      </c>
      <c r="J34" s="2">
        <v>19.760000000000002</v>
      </c>
      <c r="K34" s="109">
        <f t="shared" si="2"/>
        <v>682.10609929078009</v>
      </c>
      <c r="L34" s="2">
        <f t="shared" si="9"/>
        <v>47.747426950354608</v>
      </c>
      <c r="M34" s="2">
        <f t="shared" si="7"/>
        <v>634.35867234042553</v>
      </c>
      <c r="N34" s="90" t="s">
        <v>785</v>
      </c>
      <c r="O34" s="3">
        <v>10</v>
      </c>
      <c r="P34" s="3">
        <v>11</v>
      </c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 spans="1:42" s="11" customFormat="1" x14ac:dyDescent="0.3">
      <c r="A35" s="88" t="s">
        <v>741</v>
      </c>
      <c r="B35" s="88">
        <v>17</v>
      </c>
      <c r="C35" s="2">
        <f>'GERAL 2022'!G41</f>
        <v>580</v>
      </c>
      <c r="D35" s="2">
        <v>0</v>
      </c>
      <c r="E35" s="5">
        <f t="shared" si="1"/>
        <v>580</v>
      </c>
      <c r="F35" s="2">
        <v>0</v>
      </c>
      <c r="G35" s="2">
        <f t="shared" si="6"/>
        <v>49.9</v>
      </c>
      <c r="H35" s="2">
        <f>D93</f>
        <v>1.2516548463356973</v>
      </c>
      <c r="I35" s="2">
        <f t="shared" si="8"/>
        <v>1.1944444444444444</v>
      </c>
      <c r="J35" s="2">
        <v>19.7</v>
      </c>
      <c r="K35" s="109">
        <f t="shared" si="2"/>
        <v>652.04609929078015</v>
      </c>
      <c r="L35" s="2">
        <f t="shared" si="9"/>
        <v>45.643226950354617</v>
      </c>
      <c r="M35" s="2">
        <f t="shared" si="7"/>
        <v>606.40287234042557</v>
      </c>
      <c r="N35" s="5" t="s">
        <v>765</v>
      </c>
      <c r="O35" s="3">
        <v>10</v>
      </c>
      <c r="P35" s="3">
        <v>11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 spans="1:42" s="11" customFormat="1" x14ac:dyDescent="0.3">
      <c r="A36" s="88" t="s">
        <v>749</v>
      </c>
      <c r="B36" s="90">
        <v>18</v>
      </c>
      <c r="C36" s="2">
        <f>'GERAL 2023'!G20</f>
        <v>640</v>
      </c>
      <c r="D36" s="2">
        <v>0</v>
      </c>
      <c r="E36" s="5">
        <f>C36-D36</f>
        <v>640</v>
      </c>
      <c r="F36" s="2">
        <v>50</v>
      </c>
      <c r="G36" s="2">
        <f t="shared" si="6"/>
        <v>49.9</v>
      </c>
      <c r="H36" s="2">
        <f>D95</f>
        <v>1.2516548463356973</v>
      </c>
      <c r="I36" s="2">
        <f t="shared" si="8"/>
        <v>1.1944444444444444</v>
      </c>
      <c r="J36" s="2">
        <v>0</v>
      </c>
      <c r="K36" s="109">
        <f t="shared" si="2"/>
        <v>742.3460992907801</v>
      </c>
      <c r="L36" s="2">
        <f t="shared" si="9"/>
        <v>51.964226950354615</v>
      </c>
      <c r="M36" s="2">
        <f t="shared" si="7"/>
        <v>690.3818723404255</v>
      </c>
      <c r="N36" s="90" t="s">
        <v>782</v>
      </c>
      <c r="O36" s="3">
        <v>10</v>
      </c>
      <c r="P36" s="3">
        <v>11</v>
      </c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</row>
    <row r="37" spans="1:42" s="11" customFormat="1" x14ac:dyDescent="0.3">
      <c r="A37" s="90" t="s">
        <v>738</v>
      </c>
      <c r="B37" s="90">
        <v>19</v>
      </c>
      <c r="C37" s="2">
        <v>0</v>
      </c>
      <c r="D37" s="2">
        <v>0</v>
      </c>
      <c r="E37" s="5">
        <f>(C37-D37)</f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109">
        <f t="shared" si="2"/>
        <v>0</v>
      </c>
      <c r="L37" s="2">
        <f t="shared" si="9"/>
        <v>0</v>
      </c>
      <c r="M37" s="2">
        <f t="shared" si="7"/>
        <v>0</v>
      </c>
      <c r="N37" s="90" t="s">
        <v>108</v>
      </c>
      <c r="O37" s="3">
        <v>10</v>
      </c>
      <c r="P37" s="3">
        <v>11</v>
      </c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</row>
    <row r="38" spans="1:42" s="11" customFormat="1" x14ac:dyDescent="0.3">
      <c r="A38" s="88"/>
      <c r="B38" s="90">
        <v>20</v>
      </c>
      <c r="C38" s="2">
        <v>0</v>
      </c>
      <c r="D38" s="2">
        <v>0</v>
      </c>
      <c r="E38" s="5">
        <f t="shared" ref="E38:E45" si="10">C38-D38</f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109">
        <f t="shared" si="2"/>
        <v>0</v>
      </c>
      <c r="L38" s="2">
        <f t="shared" si="9"/>
        <v>0</v>
      </c>
      <c r="M38" s="2">
        <f t="shared" si="7"/>
        <v>0</v>
      </c>
      <c r="N38" s="90" t="s">
        <v>525</v>
      </c>
      <c r="O38" s="125"/>
      <c r="P38" s="3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</row>
    <row r="39" spans="1:42" s="11" customFormat="1" x14ac:dyDescent="0.3">
      <c r="A39" s="116" t="s">
        <v>788</v>
      </c>
      <c r="B39" s="90">
        <v>21</v>
      </c>
      <c r="C39" s="2">
        <f>'GERAL 2023'!G39/31*25</f>
        <v>467.74193548387098</v>
      </c>
      <c r="D39" s="2">
        <v>0</v>
      </c>
      <c r="E39" s="5">
        <f t="shared" si="10"/>
        <v>467.74193548387098</v>
      </c>
      <c r="F39" s="2">
        <f>25/31*25</f>
        <v>20.161290322580644</v>
      </c>
      <c r="G39" s="2">
        <f>((1347.3/27))/31*25</f>
        <v>40.241935483870968</v>
      </c>
      <c r="H39" s="2">
        <f>'GERAL 2023'!I39/31*25</f>
        <v>1.0093990696255624</v>
      </c>
      <c r="I39" s="2">
        <f>((193.5/27)/6)/31*25</f>
        <v>0.96326164874551956</v>
      </c>
      <c r="J39" s="2">
        <f>'GERAL 2023'!K39</f>
        <v>19.68</v>
      </c>
      <c r="K39" s="109">
        <f t="shared" si="2"/>
        <v>549.79782200869363</v>
      </c>
      <c r="L39" s="2">
        <f t="shared" si="9"/>
        <v>38.48584754060856</v>
      </c>
      <c r="M39" s="2">
        <f t="shared" si="7"/>
        <v>511.31197446808505</v>
      </c>
      <c r="N39" s="90" t="s">
        <v>789</v>
      </c>
      <c r="O39" s="125">
        <v>10</v>
      </c>
      <c r="P39" s="3">
        <v>11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</row>
    <row r="40" spans="1:42" s="11" customFormat="1" ht="15.75" customHeight="1" x14ac:dyDescent="0.3">
      <c r="A40" s="88" t="s">
        <v>759</v>
      </c>
      <c r="B40" s="90">
        <v>22</v>
      </c>
      <c r="C40" s="2">
        <f>'GERAL 2022'!G24</f>
        <v>500</v>
      </c>
      <c r="D40" s="2">
        <v>0</v>
      </c>
      <c r="E40" s="5">
        <f t="shared" si="10"/>
        <v>500</v>
      </c>
      <c r="F40" s="2">
        <v>25</v>
      </c>
      <c r="G40" s="2">
        <f t="shared" si="6"/>
        <v>49.9</v>
      </c>
      <c r="H40" s="2">
        <f>D103</f>
        <v>1.2516548463356973</v>
      </c>
      <c r="I40" s="2">
        <f t="shared" si="8"/>
        <v>1.1944444444444444</v>
      </c>
      <c r="J40" s="2">
        <f>D102</f>
        <v>19.543333333333333</v>
      </c>
      <c r="K40" s="109">
        <f t="shared" si="2"/>
        <v>596.8894326241134</v>
      </c>
      <c r="L40" s="2">
        <f t="shared" si="9"/>
        <v>41.78226028368794</v>
      </c>
      <c r="M40" s="2">
        <f t="shared" si="7"/>
        <v>555.10717234042545</v>
      </c>
      <c r="N40" s="90" t="s">
        <v>786</v>
      </c>
      <c r="O40" s="125">
        <v>10</v>
      </c>
      <c r="P40" s="3">
        <v>11</v>
      </c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</row>
    <row r="41" spans="1:42" s="11" customFormat="1" x14ac:dyDescent="0.3">
      <c r="A41" s="88" t="s">
        <v>750</v>
      </c>
      <c r="B41" s="90">
        <v>23</v>
      </c>
      <c r="C41" s="2">
        <f>'GERAL 2022'!G25</f>
        <v>550</v>
      </c>
      <c r="D41" s="2">
        <v>0</v>
      </c>
      <c r="E41" s="5">
        <f t="shared" si="10"/>
        <v>550</v>
      </c>
      <c r="F41" s="2">
        <v>0</v>
      </c>
      <c r="G41" s="2">
        <f t="shared" si="6"/>
        <v>49.9</v>
      </c>
      <c r="H41" s="2">
        <f>D105</f>
        <v>1.2516548463356973</v>
      </c>
      <c r="I41" s="2">
        <f t="shared" si="8"/>
        <v>1.1944444444444444</v>
      </c>
      <c r="J41" s="2">
        <f>D104</f>
        <v>19.641666666666666</v>
      </c>
      <c r="K41" s="109">
        <f t="shared" si="2"/>
        <v>621.98776595744675</v>
      </c>
      <c r="L41" s="2">
        <f t="shared" si="9"/>
        <v>43.539143617021274</v>
      </c>
      <c r="M41" s="2">
        <f t="shared" si="7"/>
        <v>578.44862234042546</v>
      </c>
      <c r="N41" s="90" t="s">
        <v>786</v>
      </c>
      <c r="O41" s="3">
        <v>10</v>
      </c>
      <c r="P41" s="3">
        <v>11</v>
      </c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</row>
    <row r="42" spans="1:42" s="6" customFormat="1" x14ac:dyDescent="0.3">
      <c r="A42" s="90"/>
      <c r="B42" s="90">
        <v>24</v>
      </c>
      <c r="C42" s="2">
        <v>0</v>
      </c>
      <c r="D42" s="2">
        <v>0</v>
      </c>
      <c r="E42" s="5">
        <f t="shared" si="10"/>
        <v>0</v>
      </c>
      <c r="F42" s="2">
        <v>0</v>
      </c>
      <c r="G42" s="2">
        <v>0</v>
      </c>
      <c r="H42" s="2">
        <v>0</v>
      </c>
      <c r="I42" s="2"/>
      <c r="J42" s="2">
        <v>0</v>
      </c>
      <c r="K42" s="109">
        <f t="shared" si="2"/>
        <v>0</v>
      </c>
      <c r="L42" s="2">
        <f t="shared" si="9"/>
        <v>0</v>
      </c>
      <c r="M42" s="2">
        <f t="shared" si="7"/>
        <v>0</v>
      </c>
      <c r="N42" s="90" t="s">
        <v>525</v>
      </c>
      <c r="O42" s="125"/>
      <c r="P42" s="3"/>
      <c r="Q42" s="9"/>
      <c r="R42" s="9"/>
      <c r="S42" s="9"/>
      <c r="T42" s="9"/>
      <c r="U42" s="9"/>
      <c r="V42" s="9"/>
      <c r="W42" s="9"/>
      <c r="X42" s="9"/>
      <c r="Y42" s="9"/>
    </row>
    <row r="43" spans="1:42" s="6" customFormat="1" x14ac:dyDescent="0.3">
      <c r="A43" s="11" t="s">
        <v>563</v>
      </c>
      <c r="B43" s="90">
        <v>25</v>
      </c>
      <c r="C43" s="2">
        <f>'GERAL 2022'!G44</f>
        <v>610</v>
      </c>
      <c r="D43" s="2">
        <v>0</v>
      </c>
      <c r="E43" s="5">
        <f t="shared" si="10"/>
        <v>610</v>
      </c>
      <c r="F43" s="2">
        <v>0</v>
      </c>
      <c r="G43" s="2">
        <f t="shared" si="6"/>
        <v>49.9</v>
      </c>
      <c r="H43" s="2">
        <f>D109</f>
        <v>1.2516548463356973</v>
      </c>
      <c r="I43" s="2">
        <f t="shared" si="8"/>
        <v>1.1944444444444444</v>
      </c>
      <c r="J43" s="2">
        <v>0</v>
      </c>
      <c r="K43" s="109">
        <f t="shared" si="2"/>
        <v>662.3460992907801</v>
      </c>
      <c r="L43" s="2">
        <f t="shared" si="9"/>
        <v>46.364226950354613</v>
      </c>
      <c r="M43" s="2">
        <f t="shared" si="7"/>
        <v>615.98187234042553</v>
      </c>
      <c r="N43" s="90" t="s">
        <v>782</v>
      </c>
      <c r="O43" s="125">
        <v>10</v>
      </c>
      <c r="P43" s="3">
        <v>11</v>
      </c>
      <c r="Q43" s="9"/>
      <c r="R43" s="9"/>
      <c r="S43" s="9"/>
      <c r="T43" s="9"/>
      <c r="U43" s="9"/>
      <c r="V43" s="9"/>
      <c r="W43" s="9"/>
      <c r="X43" s="9"/>
      <c r="Y43" s="9"/>
    </row>
    <row r="44" spans="1:42" s="11" customFormat="1" x14ac:dyDescent="0.3">
      <c r="A44" s="88" t="s">
        <v>751</v>
      </c>
      <c r="B44" s="90">
        <v>26</v>
      </c>
      <c r="C44" s="2">
        <f>'GERAL 2022'!G28</f>
        <v>560</v>
      </c>
      <c r="D44" s="2">
        <v>0</v>
      </c>
      <c r="E44" s="5">
        <f t="shared" si="10"/>
        <v>560</v>
      </c>
      <c r="F44" s="2">
        <v>50</v>
      </c>
      <c r="G44" s="2">
        <f t="shared" si="6"/>
        <v>49.9</v>
      </c>
      <c r="H44" s="2">
        <f>D111</f>
        <v>1.2516548463356973</v>
      </c>
      <c r="I44" s="2">
        <f t="shared" si="8"/>
        <v>1.1944444444444444</v>
      </c>
      <c r="J44" s="2">
        <f>D110</f>
        <v>19.658333333333335</v>
      </c>
      <c r="K44" s="109">
        <f t="shared" si="2"/>
        <v>682.00443262411341</v>
      </c>
      <c r="L44" s="2">
        <f t="shared" si="9"/>
        <v>47.74031028368794</v>
      </c>
      <c r="M44" s="2">
        <f t="shared" si="7"/>
        <v>634.2641223404255</v>
      </c>
      <c r="N44" s="90" t="s">
        <v>786</v>
      </c>
      <c r="O44" s="3">
        <v>10</v>
      </c>
      <c r="P44" s="3">
        <v>11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</row>
    <row r="45" spans="1:42" s="11" customFormat="1" x14ac:dyDescent="0.3">
      <c r="A45" s="88" t="s">
        <v>752</v>
      </c>
      <c r="B45" s="90">
        <v>27</v>
      </c>
      <c r="C45" s="72">
        <f>'GERAL 2022'!G45</f>
        <v>580</v>
      </c>
      <c r="D45" s="72">
        <v>0</v>
      </c>
      <c r="E45" s="5">
        <f t="shared" si="10"/>
        <v>580</v>
      </c>
      <c r="F45" s="72">
        <v>0</v>
      </c>
      <c r="G45" s="2">
        <f t="shared" si="6"/>
        <v>49.9</v>
      </c>
      <c r="H45" s="72">
        <f>D113</f>
        <v>1.2516548463356973</v>
      </c>
      <c r="I45" s="2">
        <f>(193.5)/27/6</f>
        <v>1.1944444444444444</v>
      </c>
      <c r="J45" s="72">
        <f>D112</f>
        <v>19.696666666666669</v>
      </c>
      <c r="K45" s="109">
        <f t="shared" si="2"/>
        <v>652.04276595744682</v>
      </c>
      <c r="L45" s="2">
        <f t="shared" si="9"/>
        <v>45.642993617021283</v>
      </c>
      <c r="M45" s="2">
        <f>K45-L45</f>
        <v>606.39977234042556</v>
      </c>
      <c r="N45" s="90" t="s">
        <v>786</v>
      </c>
      <c r="O45" s="3">
        <v>10</v>
      </c>
      <c r="P45" s="3">
        <v>11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</row>
    <row r="46" spans="1:42" s="11" customFormat="1" x14ac:dyDescent="0.3">
      <c r="A46" s="518" t="s">
        <v>4</v>
      </c>
      <c r="B46" s="518"/>
      <c r="C46" s="109">
        <f>SUM(C9:C45)</f>
        <v>19044.339648935485</v>
      </c>
      <c r="D46" s="109">
        <f t="shared" ref="D46:M46" si="11">SUM(D9:D45)</f>
        <v>0</v>
      </c>
      <c r="E46" s="109">
        <f t="shared" si="11"/>
        <v>19044.339648935485</v>
      </c>
      <c r="F46" s="109">
        <f t="shared" si="11"/>
        <v>1736.2903225806451</v>
      </c>
      <c r="G46" s="109">
        <f t="shared" si="11"/>
        <v>1160.5774193548386</v>
      </c>
      <c r="H46" s="109">
        <f t="shared" si="11"/>
        <v>35.11901243041256</v>
      </c>
      <c r="I46" s="109">
        <f t="shared" si="11"/>
        <v>32.558243727598544</v>
      </c>
      <c r="J46" s="109">
        <f t="shared" si="11"/>
        <v>413.0383333333333</v>
      </c>
      <c r="K46" s="109">
        <f t="shared" si="11"/>
        <v>22421.922980362309</v>
      </c>
      <c r="L46" s="109">
        <f t="shared" si="11"/>
        <v>1569.5346086253619</v>
      </c>
      <c r="M46" s="109">
        <f t="shared" si="11"/>
        <v>20852.388371736943</v>
      </c>
      <c r="N46" s="90"/>
      <c r="O46" s="3"/>
      <c r="P46" s="3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</row>
    <row r="47" spans="1:42" s="11" customFormat="1" ht="28.5" customHeight="1" x14ac:dyDescent="0.3">
      <c r="A47" s="521" t="s">
        <v>794</v>
      </c>
      <c r="B47" s="521"/>
      <c r="C47" s="521"/>
      <c r="D47" s="521"/>
      <c r="E47" s="521"/>
      <c r="F47" s="521"/>
      <c r="G47" s="521"/>
      <c r="H47" s="521"/>
      <c r="I47" s="521"/>
      <c r="J47" s="521"/>
      <c r="K47" s="521"/>
      <c r="L47" s="521"/>
      <c r="M47" s="521"/>
      <c r="N47" s="521"/>
      <c r="O47" s="521"/>
      <c r="P47" s="521"/>
      <c r="Q47" s="10"/>
      <c r="R47" s="10"/>
      <c r="S47" s="10"/>
      <c r="T47" s="10"/>
      <c r="U47" s="10"/>
      <c r="V47" s="10"/>
      <c r="W47" s="10"/>
      <c r="X47" s="10"/>
      <c r="Y47" s="10"/>
    </row>
    <row r="48" spans="1:42" s="11" customFormat="1" ht="27.75" customHeight="1" x14ac:dyDescent="0.3">
      <c r="A48" s="127" t="s">
        <v>3</v>
      </c>
      <c r="B48" s="127" t="s">
        <v>0</v>
      </c>
      <c r="C48" s="128" t="s">
        <v>174</v>
      </c>
      <c r="D48" s="555" t="s">
        <v>175</v>
      </c>
      <c r="E48" s="556"/>
      <c r="F48" s="556"/>
      <c r="G48" s="556"/>
      <c r="H48" s="556"/>
      <c r="I48" s="556"/>
      <c r="J48" s="557"/>
      <c r="K48" s="128" t="s">
        <v>4</v>
      </c>
      <c r="L48" s="128" t="s">
        <v>5</v>
      </c>
      <c r="M48" s="128" t="s">
        <v>70</v>
      </c>
      <c r="N48" s="127" t="s">
        <v>59</v>
      </c>
      <c r="O48" s="130" t="s">
        <v>8</v>
      </c>
      <c r="P48" s="130" t="s">
        <v>10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1:60" s="15" customFormat="1" x14ac:dyDescent="0.3">
      <c r="A49" s="90" t="s">
        <v>552</v>
      </c>
      <c r="B49" s="90">
        <v>6</v>
      </c>
      <c r="C49" s="2">
        <v>1475.65</v>
      </c>
      <c r="D49" s="546" t="s">
        <v>605</v>
      </c>
      <c r="E49" s="547"/>
      <c r="F49" s="547"/>
      <c r="G49" s="547"/>
      <c r="H49" s="547"/>
      <c r="I49" s="547"/>
      <c r="J49" s="548"/>
      <c r="K49" s="2">
        <v>184.46</v>
      </c>
      <c r="L49" s="2">
        <f>7%*K49</f>
        <v>12.912200000000002</v>
      </c>
      <c r="M49" s="2">
        <f>K49-L49</f>
        <v>171.5478</v>
      </c>
      <c r="N49" s="90" t="s">
        <v>787</v>
      </c>
      <c r="O49" s="3">
        <v>10</v>
      </c>
      <c r="P49" s="3">
        <v>11</v>
      </c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60" s="11" customFormat="1" x14ac:dyDescent="0.3">
      <c r="A50" s="518" t="s">
        <v>4</v>
      </c>
      <c r="B50" s="518"/>
      <c r="C50" s="518"/>
      <c r="D50" s="518"/>
      <c r="E50" s="518"/>
      <c r="F50" s="518"/>
      <c r="G50" s="518"/>
      <c r="H50" s="518"/>
      <c r="I50" s="518"/>
      <c r="J50" s="518"/>
      <c r="K50" s="109">
        <f>SUM(K49:K49)</f>
        <v>184.46</v>
      </c>
      <c r="L50" s="109">
        <f>SUM(L49:L49)</f>
        <v>12.912200000000002</v>
      </c>
      <c r="M50" s="109">
        <f>SUM(M49:M49)</f>
        <v>171.5478</v>
      </c>
      <c r="N50" s="527"/>
      <c r="O50" s="527"/>
      <c r="P50" s="527"/>
      <c r="Q50" s="10"/>
      <c r="R50" s="10"/>
      <c r="S50" s="10"/>
      <c r="T50" s="10"/>
      <c r="U50" s="10"/>
      <c r="V50" s="10"/>
      <c r="W50" s="10"/>
      <c r="X50" s="10"/>
      <c r="Y50" s="10"/>
    </row>
    <row r="51" spans="1:60" s="11" customFormat="1" x14ac:dyDescent="0.3">
      <c r="A51" s="518"/>
      <c r="B51" s="518"/>
      <c r="C51" s="518"/>
      <c r="D51" s="518"/>
      <c r="E51" s="518"/>
      <c r="F51" s="518"/>
      <c r="G51" s="518"/>
      <c r="H51" s="518"/>
      <c r="I51" s="518"/>
      <c r="J51" s="518"/>
      <c r="K51" s="518"/>
      <c r="L51" s="518"/>
      <c r="M51" s="518"/>
      <c r="N51" s="518"/>
      <c r="O51" s="109"/>
      <c r="P51" s="109"/>
      <c r="Q51" s="10"/>
      <c r="R51" s="10"/>
      <c r="S51" s="10"/>
      <c r="T51" s="10"/>
      <c r="U51" s="10"/>
      <c r="V51" s="10"/>
      <c r="W51" s="10"/>
      <c r="X51" s="10"/>
      <c r="Y51" s="10"/>
    </row>
    <row r="52" spans="1:60" s="11" customFormat="1" ht="28.5" customHeight="1" x14ac:dyDescent="0.3">
      <c r="A52" s="521" t="s">
        <v>177</v>
      </c>
      <c r="B52" s="521"/>
      <c r="C52" s="521"/>
      <c r="D52" s="521"/>
      <c r="E52" s="521"/>
      <c r="F52" s="521"/>
      <c r="G52" s="521"/>
      <c r="H52" s="521"/>
      <c r="I52" s="521"/>
      <c r="J52" s="521"/>
      <c r="K52" s="521"/>
      <c r="L52" s="521"/>
      <c r="M52" s="521"/>
      <c r="N52" s="521"/>
      <c r="O52" s="521"/>
      <c r="P52" s="521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60" s="11" customFormat="1" ht="25.5" customHeight="1" x14ac:dyDescent="0.3">
      <c r="A53" s="126" t="s">
        <v>173</v>
      </c>
      <c r="B53" s="126" t="s">
        <v>0</v>
      </c>
      <c r="C53" s="126" t="s">
        <v>174</v>
      </c>
      <c r="D53" s="521" t="s">
        <v>175</v>
      </c>
      <c r="E53" s="521"/>
      <c r="F53" s="521"/>
      <c r="G53" s="521"/>
      <c r="H53" s="521"/>
      <c r="I53" s="521"/>
      <c r="J53" s="521"/>
      <c r="K53" s="129" t="s">
        <v>4</v>
      </c>
      <c r="L53" s="128"/>
      <c r="M53" s="128"/>
      <c r="N53" s="127" t="s">
        <v>59</v>
      </c>
      <c r="O53" s="130" t="s">
        <v>8</v>
      </c>
      <c r="P53" s="130" t="s">
        <v>10</v>
      </c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60" s="69" customFormat="1" ht="15" customHeight="1" x14ac:dyDescent="0.3">
      <c r="A54" s="4" t="s">
        <v>132</v>
      </c>
      <c r="B54" s="4">
        <v>1</v>
      </c>
      <c r="C54" s="5">
        <f>4977.59-1520</f>
        <v>3457.59</v>
      </c>
      <c r="D54" s="546" t="s">
        <v>284</v>
      </c>
      <c r="E54" s="547"/>
      <c r="F54" s="547"/>
      <c r="G54" s="547"/>
      <c r="H54" s="547"/>
      <c r="I54" s="547"/>
      <c r="J54" s="548"/>
      <c r="K54" s="5">
        <f>4977.59-1520</f>
        <v>3457.59</v>
      </c>
      <c r="L54" s="5"/>
      <c r="M54" s="5"/>
      <c r="N54" s="5" t="s">
        <v>510</v>
      </c>
      <c r="O54" s="140">
        <v>10</v>
      </c>
      <c r="P54" s="4">
        <v>11</v>
      </c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</row>
    <row r="55" spans="1:60" s="11" customFormat="1" x14ac:dyDescent="0.3">
      <c r="A55" s="90" t="s">
        <v>87</v>
      </c>
      <c r="B55" s="90">
        <v>25</v>
      </c>
      <c r="C55" s="5">
        <v>3013.33</v>
      </c>
      <c r="D55" s="546" t="s">
        <v>543</v>
      </c>
      <c r="E55" s="547"/>
      <c r="F55" s="547"/>
      <c r="G55" s="547"/>
      <c r="H55" s="547"/>
      <c r="I55" s="547"/>
      <c r="J55" s="548"/>
      <c r="K55" s="5">
        <v>3040.58</v>
      </c>
      <c r="L55" s="2"/>
      <c r="M55" s="2"/>
      <c r="N55" s="5" t="s">
        <v>545</v>
      </c>
      <c r="O55" s="98">
        <v>10</v>
      </c>
      <c r="P55" s="3">
        <v>11</v>
      </c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 spans="1:60" s="40" customFormat="1" ht="15" customHeight="1" thickBot="1" x14ac:dyDescent="0.35">
      <c r="A56" s="534" t="s">
        <v>4</v>
      </c>
      <c r="B56" s="549"/>
      <c r="C56" s="549"/>
      <c r="D56" s="549"/>
      <c r="E56" s="549"/>
      <c r="F56" s="549"/>
      <c r="G56" s="549"/>
      <c r="H56" s="549"/>
      <c r="I56" s="549"/>
      <c r="J56" s="535"/>
      <c r="K56" s="114">
        <f>SUM(K54:K55)</f>
        <v>6498.17</v>
      </c>
      <c r="L56" s="90"/>
      <c r="M56" s="90"/>
      <c r="N56" s="90"/>
      <c r="O56" s="90"/>
      <c r="P56" s="9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1"/>
      <c r="AU56" s="11"/>
      <c r="AV56" s="11"/>
      <c r="AW56" s="11"/>
    </row>
    <row r="57" spans="1:60" s="19" customFormat="1" x14ac:dyDescent="0.3">
      <c r="A57" s="179"/>
      <c r="B57" s="180"/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1"/>
      <c r="P57" s="182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</row>
    <row r="58" spans="1:60" s="40" customFormat="1" x14ac:dyDescent="0.3">
      <c r="A58" s="575" t="s">
        <v>9</v>
      </c>
      <c r="B58" s="576"/>
      <c r="C58" s="576"/>
      <c r="D58" s="577"/>
      <c r="E58" s="574"/>
      <c r="F58" s="540"/>
      <c r="G58" s="540"/>
      <c r="H58" s="46"/>
      <c r="I58" s="46"/>
      <c r="J58" s="46"/>
      <c r="K58" s="46"/>
      <c r="L58" s="46"/>
      <c r="M58" s="46"/>
      <c r="N58" s="544" t="s">
        <v>315</v>
      </c>
      <c r="O58" s="544"/>
      <c r="P58" s="545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1"/>
      <c r="AU58" s="11"/>
      <c r="AV58" s="11"/>
      <c r="AW58" s="11"/>
    </row>
    <row r="59" spans="1:60" s="40" customFormat="1" x14ac:dyDescent="0.3">
      <c r="A59" s="76" t="s">
        <v>40</v>
      </c>
      <c r="B59" s="77">
        <f>'GERAL 2022'!J35</f>
        <v>118.18</v>
      </c>
      <c r="C59" s="78">
        <v>6</v>
      </c>
      <c r="D59" s="77">
        <f t="shared" ref="D59:D113" si="12">B59/C59</f>
        <v>19.696666666666669</v>
      </c>
      <c r="E59" s="574"/>
      <c r="F59" s="540"/>
      <c r="G59" s="540"/>
      <c r="H59" s="11"/>
      <c r="I59" s="11"/>
      <c r="J59" s="11"/>
      <c r="K59" s="87"/>
      <c r="L59" s="87"/>
      <c r="M59" s="87"/>
      <c r="N59" s="527" t="s">
        <v>94</v>
      </c>
      <c r="O59" s="527"/>
      <c r="P59" s="114">
        <f>L46+L50</f>
        <v>1582.4468086253619</v>
      </c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1"/>
      <c r="AU59" s="11"/>
      <c r="AV59" s="11"/>
      <c r="AW59" s="11"/>
    </row>
    <row r="60" spans="1:60" s="40" customFormat="1" x14ac:dyDescent="0.3">
      <c r="A60" s="12" t="s">
        <v>46</v>
      </c>
      <c r="B60" s="2">
        <f>'GERAL 2023'!H3</f>
        <v>15.019858156028368</v>
      </c>
      <c r="C60" s="88">
        <v>12</v>
      </c>
      <c r="D60" s="2">
        <f t="shared" si="12"/>
        <v>1.2516548463356973</v>
      </c>
      <c r="E60" s="574"/>
      <c r="F60" s="540"/>
      <c r="G60" s="540"/>
      <c r="H60" s="11"/>
      <c r="I60" s="11"/>
      <c r="J60" s="11"/>
      <c r="K60" s="14"/>
      <c r="L60" s="14"/>
      <c r="M60" s="14"/>
      <c r="N60" s="518" t="s">
        <v>260</v>
      </c>
      <c r="O60" s="518"/>
      <c r="P60" s="114">
        <f>L6</f>
        <v>771</v>
      </c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1"/>
      <c r="AU60" s="11"/>
      <c r="AV60" s="11"/>
      <c r="AW60" s="11"/>
    </row>
    <row r="61" spans="1:60" s="40" customFormat="1" x14ac:dyDescent="0.3">
      <c r="A61" s="79" t="s">
        <v>29</v>
      </c>
      <c r="B61" s="80">
        <f>'GERAL 2022'!J4</f>
        <v>118.18</v>
      </c>
      <c r="C61" s="78">
        <v>6</v>
      </c>
      <c r="D61" s="80">
        <f t="shared" si="12"/>
        <v>19.696666666666669</v>
      </c>
      <c r="E61" s="574"/>
      <c r="F61" s="540"/>
      <c r="G61" s="540"/>
      <c r="H61" s="11"/>
      <c r="I61" s="11"/>
      <c r="J61" s="11"/>
      <c r="K61" s="14"/>
      <c r="L61" s="14"/>
      <c r="M61" s="14"/>
      <c r="N61" s="520"/>
      <c r="O61" s="520"/>
      <c r="P61" s="52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1"/>
      <c r="AU61" s="11"/>
      <c r="AV61" s="11"/>
      <c r="AW61" s="11"/>
    </row>
    <row r="62" spans="1:60" s="40" customFormat="1" x14ac:dyDescent="0.3">
      <c r="A62" s="12" t="s">
        <v>30</v>
      </c>
      <c r="B62" s="2">
        <f>'GERAL 2023'!H4</f>
        <v>15.019858156028368</v>
      </c>
      <c r="C62" s="88">
        <v>12</v>
      </c>
      <c r="D62" s="2">
        <f t="shared" si="12"/>
        <v>1.2516548463356973</v>
      </c>
      <c r="E62" s="574"/>
      <c r="F62" s="540"/>
      <c r="G62" s="540"/>
      <c r="H62" s="11"/>
      <c r="I62" s="11"/>
      <c r="J62" s="11"/>
      <c r="K62" s="62"/>
      <c r="L62" s="62"/>
      <c r="M62" s="62"/>
      <c r="N62" s="520"/>
      <c r="O62" s="520"/>
      <c r="P62" s="52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1"/>
      <c r="AU62" s="11"/>
      <c r="AV62" s="11"/>
      <c r="AW62" s="11"/>
    </row>
    <row r="63" spans="1:60" s="40" customFormat="1" ht="14.4" x14ac:dyDescent="0.3">
      <c r="A63" s="79" t="s">
        <v>65</v>
      </c>
      <c r="B63" s="80">
        <f>'GERAL 2022'!J5</f>
        <v>117.85</v>
      </c>
      <c r="C63" s="78">
        <v>6</v>
      </c>
      <c r="D63" s="80">
        <f t="shared" si="12"/>
        <v>19.641666666666666</v>
      </c>
      <c r="E63" s="574"/>
      <c r="F63" s="540"/>
      <c r="G63" s="540"/>
      <c r="H63" s="11"/>
      <c r="I63" s="11"/>
      <c r="J63" s="11"/>
      <c r="K63" s="14"/>
      <c r="L63" s="14"/>
      <c r="M63" s="14"/>
      <c r="N63" s="529" t="s">
        <v>12</v>
      </c>
      <c r="O63" s="529"/>
      <c r="P63" s="529"/>
      <c r="Q63" s="175"/>
      <c r="R63" s="178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1"/>
      <c r="AU63" s="11"/>
      <c r="AV63" s="11"/>
      <c r="AW63" s="11"/>
    </row>
    <row r="64" spans="1:60" s="11" customFormat="1" ht="15" customHeight="1" x14ac:dyDescent="0.3">
      <c r="A64" s="12" t="s">
        <v>62</v>
      </c>
      <c r="B64" s="2">
        <f>'GERAL 2023'!H5</f>
        <v>15.019858156028368</v>
      </c>
      <c r="C64" s="88">
        <v>12</v>
      </c>
      <c r="D64" s="2">
        <f t="shared" si="12"/>
        <v>1.2516548463356973</v>
      </c>
      <c r="E64" s="574"/>
      <c r="F64" s="540"/>
      <c r="G64" s="540"/>
      <c r="K64" s="63"/>
      <c r="L64" s="63"/>
      <c r="M64" s="63"/>
      <c r="N64" s="514" t="s">
        <v>145</v>
      </c>
      <c r="O64" s="514"/>
      <c r="P64" s="2">
        <v>19.649999999999999</v>
      </c>
      <c r="Q64" s="190"/>
      <c r="R64" s="178"/>
    </row>
    <row r="65" spans="1:47" s="11" customFormat="1" ht="14.4" x14ac:dyDescent="0.3">
      <c r="A65" s="79" t="s">
        <v>60</v>
      </c>
      <c r="B65" s="80">
        <f>'GERAL 2022'!J6</f>
        <v>117.85</v>
      </c>
      <c r="C65" s="78">
        <v>6</v>
      </c>
      <c r="D65" s="80">
        <f t="shared" si="12"/>
        <v>19.641666666666666</v>
      </c>
      <c r="E65" s="574"/>
      <c r="F65" s="540"/>
      <c r="G65" s="540"/>
      <c r="K65" s="14"/>
      <c r="L65" s="14"/>
      <c r="M65" s="14"/>
      <c r="N65" s="514" t="s">
        <v>163</v>
      </c>
      <c r="O65" s="514"/>
      <c r="P65" s="2">
        <v>19.64</v>
      </c>
      <c r="Q65" s="175"/>
      <c r="R65" s="178"/>
    </row>
    <row r="66" spans="1:47" s="11" customFormat="1" ht="15" customHeight="1" x14ac:dyDescent="0.3">
      <c r="A66" s="12" t="s">
        <v>61</v>
      </c>
      <c r="B66" s="2">
        <f>'GERAL 2023'!H6</f>
        <v>15.019858156028368</v>
      </c>
      <c r="C66" s="88">
        <v>12</v>
      </c>
      <c r="D66" s="2">
        <f t="shared" si="12"/>
        <v>1.2516548463356973</v>
      </c>
      <c r="E66" s="574"/>
      <c r="F66" s="540"/>
      <c r="G66" s="540"/>
      <c r="K66" s="63"/>
      <c r="L66" s="63"/>
      <c r="M66" s="63"/>
      <c r="N66" s="514" t="s">
        <v>181</v>
      </c>
      <c r="O66" s="514"/>
      <c r="P66" s="2">
        <v>19.64</v>
      </c>
      <c r="Q66" s="190"/>
      <c r="R66" s="178"/>
    </row>
    <row r="67" spans="1:47" s="11" customFormat="1" ht="14.4" x14ac:dyDescent="0.3">
      <c r="A67" s="79" t="s">
        <v>31</v>
      </c>
      <c r="B67" s="80">
        <f>'GERAL 2023'!J7</f>
        <v>118.18</v>
      </c>
      <c r="C67" s="78">
        <v>6</v>
      </c>
      <c r="D67" s="80">
        <f>B67/C67</f>
        <v>19.696666666666669</v>
      </c>
      <c r="E67" s="574"/>
      <c r="F67" s="540"/>
      <c r="G67" s="540"/>
      <c r="K67" s="14"/>
      <c r="L67" s="14"/>
      <c r="M67" s="14"/>
      <c r="N67" s="514" t="s">
        <v>200</v>
      </c>
      <c r="O67" s="514"/>
      <c r="P67" s="2">
        <v>19.64</v>
      </c>
      <c r="Q67" s="175"/>
      <c r="R67" s="178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</row>
    <row r="68" spans="1:47" s="11" customFormat="1" ht="14.4" x14ac:dyDescent="0.3">
      <c r="A68" s="12" t="s">
        <v>32</v>
      </c>
      <c r="B68" s="2">
        <f>'GERAL 2023'!H7</f>
        <v>15.019858156028368</v>
      </c>
      <c r="C68" s="88">
        <v>12</v>
      </c>
      <c r="D68" s="2">
        <f t="shared" si="12"/>
        <v>1.2516548463356973</v>
      </c>
      <c r="E68" s="574"/>
      <c r="F68" s="540"/>
      <c r="G68" s="540"/>
      <c r="K68" s="63"/>
      <c r="L68" s="63"/>
      <c r="M68" s="63"/>
      <c r="N68" s="514" t="s">
        <v>222</v>
      </c>
      <c r="O68" s="514"/>
      <c r="P68" s="2">
        <v>19.64</v>
      </c>
      <c r="Q68" s="175"/>
      <c r="R68" s="178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</row>
    <row r="69" spans="1:47" s="11" customFormat="1" ht="14.4" x14ac:dyDescent="0.3">
      <c r="A69" s="79" t="s">
        <v>57</v>
      </c>
      <c r="B69" s="80">
        <f>'GERAL 2022'!J36</f>
        <v>119.36</v>
      </c>
      <c r="C69" s="78">
        <v>6</v>
      </c>
      <c r="D69" s="80">
        <f t="shared" si="12"/>
        <v>19.893333333333334</v>
      </c>
      <c r="E69" s="574"/>
      <c r="F69" s="540"/>
      <c r="G69" s="540"/>
      <c r="K69" s="14"/>
      <c r="L69" s="14"/>
      <c r="M69" s="14"/>
      <c r="N69" s="514" t="s">
        <v>236</v>
      </c>
      <c r="O69" s="514"/>
      <c r="P69" s="2">
        <v>19.64</v>
      </c>
      <c r="Q69" s="175"/>
      <c r="R69" s="185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</row>
    <row r="70" spans="1:47" s="11" customFormat="1" ht="14.4" x14ac:dyDescent="0.3">
      <c r="A70" s="79"/>
      <c r="B70" s="80"/>
      <c r="C70" s="78"/>
      <c r="D70" s="80"/>
      <c r="E70" s="574"/>
      <c r="F70" s="540"/>
      <c r="G70" s="540"/>
      <c r="K70" s="14"/>
      <c r="L70" s="14"/>
      <c r="M70" s="14"/>
      <c r="N70" s="514" t="s">
        <v>446</v>
      </c>
      <c r="O70" s="514"/>
      <c r="P70" s="2">
        <v>19.68</v>
      </c>
      <c r="Q70" s="175"/>
      <c r="R70" s="185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</row>
    <row r="71" spans="1:47" s="11" customFormat="1" ht="14.4" x14ac:dyDescent="0.3">
      <c r="A71" s="12" t="s">
        <v>58</v>
      </c>
      <c r="B71" s="2">
        <f>'GERAL 2023'!H8</f>
        <v>21.027801418439715</v>
      </c>
      <c r="C71" s="88">
        <v>12</v>
      </c>
      <c r="D71" s="2">
        <f t="shared" si="12"/>
        <v>1.7523167848699763</v>
      </c>
      <c r="E71" s="574"/>
      <c r="F71" s="540"/>
      <c r="G71" s="540"/>
      <c r="K71" s="63"/>
      <c r="L71" s="63"/>
      <c r="M71" s="63"/>
      <c r="N71" s="514" t="s">
        <v>447</v>
      </c>
      <c r="O71" s="514"/>
      <c r="P71" s="2">
        <v>19.649999999999999</v>
      </c>
      <c r="Q71" s="175"/>
      <c r="R71" s="178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</row>
    <row r="72" spans="1:47" s="11" customFormat="1" ht="14.4" x14ac:dyDescent="0.3">
      <c r="A72" s="79" t="s">
        <v>63</v>
      </c>
      <c r="B72" s="80">
        <f>'GERAL 2022'!J9</f>
        <v>118.18</v>
      </c>
      <c r="C72" s="78">
        <v>6</v>
      </c>
      <c r="D72" s="80">
        <f t="shared" si="12"/>
        <v>19.696666666666669</v>
      </c>
      <c r="E72" s="574"/>
      <c r="F72" s="540"/>
      <c r="G72" s="540"/>
      <c r="K72" s="14"/>
      <c r="L72" s="14"/>
      <c r="M72" s="14"/>
      <c r="N72" s="514" t="s">
        <v>448</v>
      </c>
      <c r="O72" s="514"/>
      <c r="P72" s="2">
        <v>19.64</v>
      </c>
      <c r="Q72" s="175"/>
      <c r="R72" s="178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</row>
    <row r="73" spans="1:47" s="11" customFormat="1" ht="15" customHeight="1" x14ac:dyDescent="0.3">
      <c r="A73" s="12" t="s">
        <v>64</v>
      </c>
      <c r="B73" s="2">
        <f>'GERAL 2023'!H9</f>
        <v>15.019858156028368</v>
      </c>
      <c r="C73" s="88">
        <v>12</v>
      </c>
      <c r="D73" s="2">
        <f t="shared" si="12"/>
        <v>1.2516548463356973</v>
      </c>
      <c r="E73" s="574"/>
      <c r="F73" s="540"/>
      <c r="G73" s="540"/>
      <c r="K73" s="63"/>
      <c r="L73" s="63"/>
      <c r="M73" s="63"/>
      <c r="N73" s="514" t="s">
        <v>451</v>
      </c>
      <c r="O73" s="514"/>
      <c r="P73" s="2">
        <v>19.78</v>
      </c>
      <c r="R73" s="14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</row>
    <row r="74" spans="1:47" s="11" customFormat="1" ht="14.4" x14ac:dyDescent="0.3">
      <c r="A74" s="79" t="s">
        <v>33</v>
      </c>
      <c r="B74" s="80">
        <f>'GERAL 2022'!J37</f>
        <v>118.18</v>
      </c>
      <c r="C74" s="78">
        <v>6</v>
      </c>
      <c r="D74" s="80">
        <f t="shared" si="12"/>
        <v>19.696666666666669</v>
      </c>
      <c r="E74" s="574"/>
      <c r="F74" s="540"/>
      <c r="G74" s="540"/>
      <c r="K74" s="14"/>
      <c r="L74" s="14"/>
      <c r="M74" s="14"/>
      <c r="N74" s="514" t="s">
        <v>121</v>
      </c>
      <c r="O74" s="514"/>
      <c r="P74" s="2">
        <v>19.64</v>
      </c>
      <c r="Q74" s="175"/>
      <c r="R74" s="178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</row>
    <row r="75" spans="1:47" s="11" customFormat="1" ht="14.4" x14ac:dyDescent="0.3">
      <c r="A75" s="12" t="s">
        <v>34</v>
      </c>
      <c r="B75" s="2">
        <f>'GERAL 2023'!H10</f>
        <v>15.019858156028368</v>
      </c>
      <c r="C75" s="88">
        <v>12</v>
      </c>
      <c r="D75" s="2">
        <f t="shared" si="12"/>
        <v>1.2516548463356973</v>
      </c>
      <c r="E75" s="574"/>
      <c r="F75" s="540"/>
      <c r="G75" s="540"/>
      <c r="K75" s="63"/>
      <c r="L75" s="63"/>
      <c r="M75" s="63"/>
      <c r="N75" s="514" t="s">
        <v>453</v>
      </c>
      <c r="O75" s="514"/>
      <c r="P75" s="2">
        <v>19.64</v>
      </c>
      <c r="Q75" s="175"/>
      <c r="R75" s="178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</row>
    <row r="76" spans="1:47" s="11" customFormat="1" ht="14.4" x14ac:dyDescent="0.3">
      <c r="A76" s="79" t="s">
        <v>41</v>
      </c>
      <c r="B76" s="80">
        <f>'GERAL 2022'!J11</f>
        <v>118.18</v>
      </c>
      <c r="C76" s="78">
        <v>6</v>
      </c>
      <c r="D76" s="80">
        <f t="shared" si="12"/>
        <v>19.696666666666669</v>
      </c>
      <c r="E76" s="574"/>
      <c r="F76" s="540"/>
      <c r="G76" s="540"/>
      <c r="N76" s="514" t="s">
        <v>454</v>
      </c>
      <c r="O76" s="514"/>
      <c r="P76" s="2">
        <v>19.64</v>
      </c>
      <c r="Q76" s="175"/>
      <c r="R76" s="178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</row>
    <row r="77" spans="1:47" s="11" customFormat="1" ht="14.4" x14ac:dyDescent="0.3">
      <c r="A77" s="12" t="s">
        <v>42</v>
      </c>
      <c r="B77" s="2">
        <f>'GERAL 2023'!H11</f>
        <v>15.019858156028368</v>
      </c>
      <c r="C77" s="88">
        <v>12</v>
      </c>
      <c r="D77" s="2">
        <f t="shared" si="12"/>
        <v>1.2516548463356973</v>
      </c>
      <c r="E77" s="574"/>
      <c r="F77" s="540"/>
      <c r="G77" s="540"/>
      <c r="K77" s="63"/>
      <c r="L77" s="63"/>
      <c r="M77" s="63"/>
      <c r="N77" s="514" t="s">
        <v>455</v>
      </c>
      <c r="O77" s="514"/>
      <c r="P77" s="2">
        <v>19.64</v>
      </c>
      <c r="Q77" s="175"/>
      <c r="R77" s="178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</row>
    <row r="78" spans="1:47" s="11" customFormat="1" ht="14.4" x14ac:dyDescent="0.3">
      <c r="A78" s="79" t="s">
        <v>66</v>
      </c>
      <c r="B78" s="80">
        <f>'GERAL 2022'!J38</f>
        <v>117.85</v>
      </c>
      <c r="C78" s="78">
        <v>6</v>
      </c>
      <c r="D78" s="80">
        <f t="shared" si="12"/>
        <v>19.641666666666666</v>
      </c>
      <c r="E78" s="574"/>
      <c r="F78" s="540"/>
      <c r="G78" s="540"/>
      <c r="K78" s="14"/>
      <c r="L78" s="14"/>
      <c r="M78" s="14"/>
      <c r="N78" s="514" t="s">
        <v>183</v>
      </c>
      <c r="O78" s="514"/>
      <c r="P78" s="2">
        <v>19.84</v>
      </c>
      <c r="Q78" s="175"/>
      <c r="R78" s="185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</row>
    <row r="79" spans="1:47" s="11" customFormat="1" ht="14.4" x14ac:dyDescent="0.3">
      <c r="A79" s="12" t="s">
        <v>67</v>
      </c>
      <c r="B79" s="2">
        <f>'GERAL 2023'!H12</f>
        <v>15.019858156028368</v>
      </c>
      <c r="C79" s="88">
        <v>12</v>
      </c>
      <c r="D79" s="2">
        <f t="shared" si="12"/>
        <v>1.2516548463356973</v>
      </c>
      <c r="E79" s="574"/>
      <c r="F79" s="540"/>
      <c r="G79" s="540"/>
      <c r="K79" s="63"/>
      <c r="L79" s="63"/>
      <c r="M79" s="63"/>
      <c r="N79" s="514" t="s">
        <v>184</v>
      </c>
      <c r="O79" s="514"/>
      <c r="P79" s="2">
        <v>19.760000000000002</v>
      </c>
      <c r="Q79" s="175"/>
      <c r="R79" s="176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</row>
    <row r="80" spans="1:47" s="11" customFormat="1" ht="14.4" x14ac:dyDescent="0.3">
      <c r="A80" s="79" t="s">
        <v>14</v>
      </c>
      <c r="B80" s="80">
        <f>'GERAL 2022'!J13</f>
        <v>117.85</v>
      </c>
      <c r="C80" s="78">
        <v>6</v>
      </c>
      <c r="D80" s="80">
        <f t="shared" si="12"/>
        <v>19.641666666666666</v>
      </c>
      <c r="E80" s="574"/>
      <c r="F80" s="540"/>
      <c r="G80" s="540"/>
      <c r="K80" s="14"/>
      <c r="L80" s="14"/>
      <c r="M80" s="14"/>
      <c r="N80" s="514" t="s">
        <v>149</v>
      </c>
      <c r="O80" s="514"/>
      <c r="P80" s="2">
        <v>19.7</v>
      </c>
      <c r="Q80" s="175"/>
      <c r="R80" s="176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</row>
    <row r="81" spans="1:48" s="11" customFormat="1" ht="14.4" x14ac:dyDescent="0.3">
      <c r="A81" s="12" t="s">
        <v>15</v>
      </c>
      <c r="B81" s="2">
        <f>'GERAL 2023'!H13</f>
        <v>15.019858156028368</v>
      </c>
      <c r="C81" s="88">
        <v>12</v>
      </c>
      <c r="D81" s="2">
        <f t="shared" si="12"/>
        <v>1.2516548463356973</v>
      </c>
      <c r="E81" s="574"/>
      <c r="F81" s="540"/>
      <c r="G81" s="540"/>
      <c r="K81" s="87"/>
      <c r="L81" s="87"/>
      <c r="M81" s="87"/>
      <c r="N81" s="514" t="s">
        <v>169</v>
      </c>
      <c r="O81" s="514"/>
      <c r="P81" s="2">
        <v>19.760000000000002</v>
      </c>
      <c r="Q81" s="175"/>
      <c r="R81" s="176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</row>
    <row r="82" spans="1:48" s="11" customFormat="1" ht="14.4" x14ac:dyDescent="0.3">
      <c r="A82" s="79" t="s">
        <v>55</v>
      </c>
      <c r="B82" s="80">
        <f>'GERAL 2022'!J14</f>
        <v>117.85</v>
      </c>
      <c r="C82" s="78">
        <v>6</v>
      </c>
      <c r="D82" s="80">
        <f t="shared" si="12"/>
        <v>19.641666666666666</v>
      </c>
      <c r="E82" s="574"/>
      <c r="F82" s="540"/>
      <c r="G82" s="540"/>
      <c r="N82" s="514" t="s">
        <v>370</v>
      </c>
      <c r="O82" s="514"/>
      <c r="P82" s="2">
        <v>19.68</v>
      </c>
      <c r="Q82" s="175"/>
      <c r="R82" s="176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</row>
    <row r="83" spans="1:48" s="11" customFormat="1" ht="14.4" x14ac:dyDescent="0.3">
      <c r="A83" s="12" t="s">
        <v>56</v>
      </c>
      <c r="B83" s="2">
        <f>'GERAL 2023'!H14</f>
        <v>15.019858156028368</v>
      </c>
      <c r="C83" s="88">
        <v>12</v>
      </c>
      <c r="D83" s="2">
        <f t="shared" si="12"/>
        <v>1.2516548463356973</v>
      </c>
      <c r="E83" s="574"/>
      <c r="F83" s="540"/>
      <c r="G83" s="540"/>
      <c r="N83" s="514" t="s">
        <v>459</v>
      </c>
      <c r="O83" s="514"/>
      <c r="P83" s="2">
        <v>19.54</v>
      </c>
      <c r="Q83" s="175"/>
      <c r="R83" s="176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</row>
    <row r="84" spans="1:48" s="11" customFormat="1" ht="14.4" x14ac:dyDescent="0.3">
      <c r="A84" s="79" t="s">
        <v>35</v>
      </c>
      <c r="B84" s="80">
        <f>'GERAL 2022'!J15</f>
        <v>117.85</v>
      </c>
      <c r="C84" s="78">
        <v>6</v>
      </c>
      <c r="D84" s="80">
        <f t="shared" si="12"/>
        <v>19.641666666666666</v>
      </c>
      <c r="E84" s="574"/>
      <c r="F84" s="540"/>
      <c r="G84" s="540"/>
      <c r="N84" s="514" t="s">
        <v>460</v>
      </c>
      <c r="O84" s="514"/>
      <c r="P84" s="2">
        <v>19.64</v>
      </c>
      <c r="Q84" s="175"/>
      <c r="R84" s="178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</row>
    <row r="85" spans="1:48" s="11" customFormat="1" ht="14.4" x14ac:dyDescent="0.3">
      <c r="A85" s="12" t="s">
        <v>36</v>
      </c>
      <c r="B85" s="2">
        <f>'GERAL 2023'!H15</f>
        <v>15.019858156028368</v>
      </c>
      <c r="C85" s="88">
        <v>12</v>
      </c>
      <c r="D85" s="2">
        <f t="shared" si="12"/>
        <v>1.2516548463356973</v>
      </c>
      <c r="E85" s="574"/>
      <c r="F85" s="540"/>
      <c r="G85" s="540"/>
      <c r="K85" s="14"/>
      <c r="L85" s="14"/>
      <c r="M85" s="14"/>
      <c r="N85" s="514" t="s">
        <v>462</v>
      </c>
      <c r="O85" s="514"/>
      <c r="P85" s="2">
        <v>19.66</v>
      </c>
      <c r="Q85" s="175"/>
      <c r="R85" s="178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</row>
    <row r="86" spans="1:48" s="11" customFormat="1" ht="14.4" x14ac:dyDescent="0.3">
      <c r="A86" s="79" t="s">
        <v>47</v>
      </c>
      <c r="B86" s="80">
        <f>'GERAL 2022'!J39</f>
        <v>118.18</v>
      </c>
      <c r="C86" s="78">
        <v>6</v>
      </c>
      <c r="D86" s="80">
        <f t="shared" si="12"/>
        <v>19.696666666666669</v>
      </c>
      <c r="E86" s="574"/>
      <c r="F86" s="540"/>
      <c r="G86" s="540"/>
      <c r="K86" s="15"/>
      <c r="L86" s="15"/>
      <c r="M86" s="15"/>
      <c r="N86" s="514" t="s">
        <v>125</v>
      </c>
      <c r="O86" s="514"/>
      <c r="P86" s="2">
        <v>19.7</v>
      </c>
      <c r="Q86" s="175"/>
      <c r="R86" s="178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</row>
    <row r="87" spans="1:48" s="11" customFormat="1" ht="14.4" x14ac:dyDescent="0.3">
      <c r="A87" s="12" t="s">
        <v>48</v>
      </c>
      <c r="B87" s="2">
        <f>'GERAL 2023'!H16</f>
        <v>15.019858156028368</v>
      </c>
      <c r="C87" s="88">
        <v>12</v>
      </c>
      <c r="D87" s="2">
        <f t="shared" si="12"/>
        <v>1.2516548463356973</v>
      </c>
      <c r="E87" s="574"/>
      <c r="F87" s="540"/>
      <c r="G87" s="540"/>
      <c r="K87" s="14"/>
      <c r="L87" s="14"/>
      <c r="M87" s="14"/>
      <c r="N87" s="542" t="s">
        <v>790</v>
      </c>
      <c r="O87" s="542"/>
      <c r="P87" s="2">
        <f>120*5</f>
        <v>600</v>
      </c>
      <c r="Q87" s="175"/>
      <c r="R87" s="178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</row>
    <row r="88" spans="1:48" s="11" customFormat="1" ht="14.4" x14ac:dyDescent="0.3">
      <c r="A88" s="79" t="s">
        <v>16</v>
      </c>
      <c r="B88" s="80">
        <f>'GERAL 2023'!J36</f>
        <v>119.02</v>
      </c>
      <c r="C88" s="78">
        <v>6</v>
      </c>
      <c r="D88" s="80">
        <f t="shared" si="12"/>
        <v>19.836666666666666</v>
      </c>
      <c r="E88" s="574"/>
      <c r="F88" s="540"/>
      <c r="G88" s="540"/>
      <c r="K88" s="14"/>
      <c r="L88" s="14"/>
      <c r="M88" s="14"/>
      <c r="N88" s="520" t="s">
        <v>126</v>
      </c>
      <c r="O88" s="520"/>
      <c r="P88" s="2">
        <v>117.19</v>
      </c>
      <c r="Q88" s="175"/>
      <c r="R88" s="178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</row>
    <row r="89" spans="1:48" s="11" customFormat="1" ht="14.4" x14ac:dyDescent="0.3">
      <c r="A89" s="12" t="s">
        <v>17</v>
      </c>
      <c r="B89" s="2">
        <f>'GERAL 2023'!H36</f>
        <v>21.027801418439715</v>
      </c>
      <c r="C89" s="88">
        <v>12</v>
      </c>
      <c r="D89" s="2">
        <f t="shared" si="12"/>
        <v>1.7523167848699763</v>
      </c>
      <c r="E89" s="574"/>
      <c r="F89" s="540"/>
      <c r="G89" s="540"/>
      <c r="K89" s="14"/>
      <c r="L89" s="14"/>
      <c r="M89" s="14"/>
      <c r="N89" s="563" t="s">
        <v>127</v>
      </c>
      <c r="O89" s="563"/>
      <c r="P89" s="2">
        <v>1347.3</v>
      </c>
      <c r="Q89" s="175"/>
      <c r="R89" s="178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</row>
    <row r="90" spans="1:48" s="11" customFormat="1" x14ac:dyDescent="0.3">
      <c r="A90" s="79" t="s">
        <v>27</v>
      </c>
      <c r="B90" s="80">
        <f>'GERAL 2023'!J37</f>
        <v>118.68</v>
      </c>
      <c r="C90" s="78">
        <v>6</v>
      </c>
      <c r="D90" s="80">
        <f t="shared" si="12"/>
        <v>19.78</v>
      </c>
      <c r="E90" s="574"/>
      <c r="F90" s="540"/>
      <c r="G90" s="540"/>
      <c r="K90" s="14"/>
      <c r="L90" s="14"/>
      <c r="M90" s="14"/>
      <c r="N90" s="520" t="s">
        <v>793</v>
      </c>
      <c r="O90" s="520"/>
      <c r="P90" s="5">
        <v>25.1</v>
      </c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</row>
    <row r="91" spans="1:48" s="69" customFormat="1" ht="14.4" x14ac:dyDescent="0.3">
      <c r="A91" s="12" t="s">
        <v>28</v>
      </c>
      <c r="B91" s="2">
        <f>'GERAL 2023'!H37</f>
        <v>15.019858156028368</v>
      </c>
      <c r="C91" s="88">
        <v>12</v>
      </c>
      <c r="D91" s="2">
        <f t="shared" si="12"/>
        <v>1.2516548463356973</v>
      </c>
      <c r="E91" s="574"/>
      <c r="F91" s="540"/>
      <c r="G91" s="540"/>
      <c r="H91" s="11"/>
      <c r="I91" s="11"/>
      <c r="J91" s="11"/>
      <c r="K91" s="14"/>
      <c r="L91" s="14"/>
      <c r="M91" s="14"/>
      <c r="N91" s="516"/>
      <c r="O91" s="517"/>
      <c r="P91" s="141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</row>
    <row r="92" spans="1:48" s="69" customFormat="1" x14ac:dyDescent="0.3">
      <c r="A92" s="79" t="s">
        <v>18</v>
      </c>
      <c r="B92" s="80">
        <f>'GERAL 2022'!J41</f>
        <v>118.18</v>
      </c>
      <c r="C92" s="78">
        <v>6</v>
      </c>
      <c r="D92" s="80">
        <f t="shared" si="12"/>
        <v>19.696666666666669</v>
      </c>
      <c r="E92" s="574"/>
      <c r="F92" s="540"/>
      <c r="G92" s="540"/>
      <c r="H92" s="11"/>
      <c r="I92" s="11"/>
      <c r="J92" s="11"/>
      <c r="K92" s="14"/>
      <c r="L92" s="14"/>
      <c r="M92" s="14"/>
      <c r="N92" s="520"/>
      <c r="O92" s="520"/>
      <c r="P92" s="5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</row>
    <row r="93" spans="1:48" s="69" customFormat="1" ht="14.4" x14ac:dyDescent="0.3">
      <c r="A93" s="12" t="s">
        <v>19</v>
      </c>
      <c r="B93" s="2">
        <f>'GERAL 2023'!H19</f>
        <v>15.019858156028368</v>
      </c>
      <c r="C93" s="88">
        <v>12</v>
      </c>
      <c r="D93" s="2">
        <f>B93/C93</f>
        <v>1.2516548463356973</v>
      </c>
      <c r="E93" s="574"/>
      <c r="F93" s="540"/>
      <c r="G93" s="540"/>
      <c r="H93" s="11"/>
      <c r="I93" s="11"/>
      <c r="J93" s="11"/>
      <c r="K93" s="14"/>
      <c r="L93" s="14"/>
      <c r="M93" s="14"/>
      <c r="N93" s="563"/>
      <c r="O93" s="563"/>
      <c r="P93" s="141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</row>
    <row r="94" spans="1:48" s="69" customFormat="1" x14ac:dyDescent="0.3">
      <c r="A94" s="79" t="s">
        <v>37</v>
      </c>
      <c r="B94" s="80">
        <f>'GERAL 2022'!J42</f>
        <v>118.92</v>
      </c>
      <c r="C94" s="78">
        <v>6</v>
      </c>
      <c r="D94" s="80">
        <f t="shared" si="12"/>
        <v>19.82</v>
      </c>
      <c r="E94" s="574"/>
      <c r="F94" s="540"/>
      <c r="G94" s="540"/>
      <c r="H94" s="11"/>
      <c r="I94" s="11"/>
      <c r="J94" s="11"/>
      <c r="K94" s="14"/>
      <c r="L94" s="14"/>
      <c r="M94" s="14"/>
      <c r="N94" s="520"/>
      <c r="O94" s="520"/>
      <c r="P94" s="165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</row>
    <row r="95" spans="1:48" s="69" customFormat="1" x14ac:dyDescent="0.3">
      <c r="A95" s="12" t="s">
        <v>38</v>
      </c>
      <c r="B95" s="2">
        <f>'GERAL 2023'!H20</f>
        <v>15.019858156028368</v>
      </c>
      <c r="C95" s="88">
        <v>12</v>
      </c>
      <c r="D95" s="2">
        <f t="shared" si="12"/>
        <v>1.2516548463356973</v>
      </c>
      <c r="E95" s="574"/>
      <c r="F95" s="540"/>
      <c r="G95" s="540"/>
      <c r="H95" s="11"/>
      <c r="I95" s="11"/>
      <c r="J95" s="11"/>
      <c r="K95" s="14"/>
      <c r="L95" s="14"/>
      <c r="M95" s="14"/>
      <c r="N95" s="518" t="s">
        <v>26</v>
      </c>
      <c r="O95" s="518"/>
      <c r="P95" s="109">
        <f>SUM(P59:P94)</f>
        <v>4895.4768086253607</v>
      </c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</row>
    <row r="96" spans="1:48" s="69" customFormat="1" x14ac:dyDescent="0.3">
      <c r="A96" s="79" t="s">
        <v>45</v>
      </c>
      <c r="B96" s="80">
        <f>'GERAL 2022'!J43</f>
        <v>117.85</v>
      </c>
      <c r="C96" s="78">
        <v>6</v>
      </c>
      <c r="D96" s="80">
        <f t="shared" si="12"/>
        <v>19.641666666666666</v>
      </c>
      <c r="E96" s="574"/>
      <c r="F96" s="540"/>
      <c r="G96" s="540"/>
      <c r="H96" s="11"/>
      <c r="I96" s="11"/>
      <c r="J96" s="11"/>
      <c r="K96" s="14"/>
      <c r="L96" s="14"/>
      <c r="M96" s="14"/>
      <c r="N96" s="543"/>
      <c r="O96" s="543"/>
      <c r="P96" s="135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</row>
    <row r="97" spans="1:48" s="69" customFormat="1" x14ac:dyDescent="0.3">
      <c r="A97" s="12" t="s">
        <v>39</v>
      </c>
      <c r="B97" s="2">
        <f>'GERAL 2023'!H21</f>
        <v>15.019858156028368</v>
      </c>
      <c r="C97" s="88">
        <v>12</v>
      </c>
      <c r="D97" s="2">
        <f t="shared" si="12"/>
        <v>1.2516548463356973</v>
      </c>
      <c r="E97" s="574"/>
      <c r="F97" s="540"/>
      <c r="G97" s="540"/>
      <c r="H97" s="11"/>
      <c r="I97" s="11"/>
      <c r="J97" s="11"/>
      <c r="K97" s="14"/>
      <c r="L97" s="14"/>
      <c r="M97" s="14"/>
      <c r="N97" s="564" t="s">
        <v>11</v>
      </c>
      <c r="O97" s="565"/>
      <c r="P97" s="153">
        <f>K6+K46+K50</f>
        <v>23985.575178943869</v>
      </c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</row>
    <row r="98" spans="1:48" s="69" customFormat="1" x14ac:dyDescent="0.3">
      <c r="A98" s="81" t="s">
        <v>49</v>
      </c>
      <c r="B98" s="80">
        <f>'GERAL 2022'!J22</f>
        <v>119.12</v>
      </c>
      <c r="C98" s="78">
        <v>6</v>
      </c>
      <c r="D98" s="80">
        <f t="shared" si="12"/>
        <v>19.853333333333335</v>
      </c>
      <c r="E98" s="574"/>
      <c r="F98" s="540"/>
      <c r="G98" s="540"/>
      <c r="H98" s="11"/>
      <c r="I98" s="11"/>
      <c r="J98" s="11"/>
      <c r="K98" s="14"/>
      <c r="L98" s="14"/>
      <c r="M98" s="14"/>
      <c r="N98" s="518"/>
      <c r="O98" s="518"/>
      <c r="P98" s="519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</row>
    <row r="99" spans="1:48" s="69" customFormat="1" x14ac:dyDescent="0.3">
      <c r="A99" s="90" t="s">
        <v>50</v>
      </c>
      <c r="B99" s="2">
        <f>'GERAL 2023'!H22</f>
        <v>15.019858156028368</v>
      </c>
      <c r="C99" s="88">
        <v>12</v>
      </c>
      <c r="D99" s="2">
        <f t="shared" si="12"/>
        <v>1.2516548463356973</v>
      </c>
      <c r="E99" s="574"/>
      <c r="F99" s="540"/>
      <c r="G99" s="540"/>
      <c r="H99" s="11"/>
      <c r="I99" s="11"/>
      <c r="J99" s="11"/>
      <c r="K99" s="14"/>
      <c r="L99" s="14"/>
      <c r="M99" s="14"/>
      <c r="N99" s="513" t="s">
        <v>13</v>
      </c>
      <c r="O99" s="513"/>
      <c r="P99" s="151">
        <f>P97-P95</f>
        <v>19090.098370318508</v>
      </c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</row>
    <row r="100" spans="1:48" s="69" customFormat="1" x14ac:dyDescent="0.3">
      <c r="A100" s="81" t="s">
        <v>43</v>
      </c>
      <c r="B100" s="80">
        <f>'GERAL 2022'!J23</f>
        <v>117.26</v>
      </c>
      <c r="C100" s="78">
        <v>6</v>
      </c>
      <c r="D100" s="80">
        <f t="shared" si="12"/>
        <v>19.543333333333333</v>
      </c>
      <c r="E100" s="574"/>
      <c r="F100" s="540"/>
      <c r="G100" s="540"/>
      <c r="H100" s="11"/>
      <c r="I100" s="11"/>
      <c r="J100" s="11"/>
      <c r="K100" s="14"/>
      <c r="L100" s="14"/>
      <c r="M100" s="14"/>
      <c r="N100" s="124"/>
      <c r="O100" s="124"/>
      <c r="P100" s="57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</row>
    <row r="101" spans="1:48" s="69" customFormat="1" x14ac:dyDescent="0.3">
      <c r="A101" s="90" t="s">
        <v>44</v>
      </c>
      <c r="B101" s="2">
        <f>'GERAL 2023'!H23</f>
        <v>15.019858156028368</v>
      </c>
      <c r="C101" s="88">
        <v>12</v>
      </c>
      <c r="D101" s="2">
        <f t="shared" si="12"/>
        <v>1.2516548463356973</v>
      </c>
      <c r="E101" s="574"/>
      <c r="F101" s="540"/>
      <c r="G101" s="540"/>
      <c r="H101" s="11"/>
      <c r="I101" s="11"/>
      <c r="J101" s="11"/>
      <c r="K101" s="14"/>
      <c r="L101" s="14"/>
      <c r="M101" s="14"/>
      <c r="N101" s="124"/>
      <c r="O101" s="124"/>
      <c r="P101" s="57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</row>
    <row r="102" spans="1:48" s="69" customFormat="1" x14ac:dyDescent="0.3">
      <c r="A102" s="81" t="s">
        <v>51</v>
      </c>
      <c r="B102" s="80">
        <f>'GERAL 2022'!J24</f>
        <v>117.26</v>
      </c>
      <c r="C102" s="78">
        <v>6</v>
      </c>
      <c r="D102" s="80">
        <f t="shared" si="12"/>
        <v>19.543333333333333</v>
      </c>
      <c r="E102" s="574"/>
      <c r="F102" s="540"/>
      <c r="G102" s="540"/>
      <c r="K102" s="142"/>
      <c r="L102" s="142"/>
      <c r="M102" s="142"/>
      <c r="N102" s="124"/>
      <c r="O102" s="124"/>
      <c r="P102" s="57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</row>
    <row r="103" spans="1:48" s="70" customFormat="1" x14ac:dyDescent="0.3">
      <c r="A103" s="90" t="s">
        <v>52</v>
      </c>
      <c r="B103" s="2">
        <f>'GERAL 2023'!H24</f>
        <v>15.019858156028368</v>
      </c>
      <c r="C103" s="88">
        <v>12</v>
      </c>
      <c r="D103" s="2">
        <f t="shared" si="12"/>
        <v>1.2516548463356973</v>
      </c>
      <c r="E103" s="574"/>
      <c r="F103" s="540"/>
      <c r="G103" s="540"/>
      <c r="H103" s="63"/>
      <c r="I103" s="63"/>
      <c r="J103" s="63"/>
      <c r="K103" s="69"/>
      <c r="L103" s="69"/>
      <c r="M103" s="69"/>
      <c r="N103" s="124"/>
      <c r="O103" s="124"/>
      <c r="P103" s="57"/>
    </row>
    <row r="104" spans="1:48" s="70" customFormat="1" ht="15" customHeight="1" x14ac:dyDescent="0.3">
      <c r="A104" s="81" t="s">
        <v>53</v>
      </c>
      <c r="B104" s="80">
        <f>'GERAL 2022'!J25</f>
        <v>117.85</v>
      </c>
      <c r="C104" s="78">
        <v>6</v>
      </c>
      <c r="D104" s="80">
        <f t="shared" si="12"/>
        <v>19.641666666666666</v>
      </c>
      <c r="E104" s="574"/>
      <c r="F104" s="540"/>
      <c r="G104" s="540"/>
      <c r="H104" s="11"/>
      <c r="I104" s="11"/>
      <c r="J104" s="63"/>
      <c r="K104" s="142"/>
      <c r="L104" s="142"/>
      <c r="M104" s="142"/>
      <c r="N104" s="15"/>
      <c r="O104" s="14"/>
      <c r="P104" s="57"/>
      <c r="AV104" s="69"/>
    </row>
    <row r="105" spans="1:48" s="70" customFormat="1" x14ac:dyDescent="0.3">
      <c r="A105" s="90" t="s">
        <v>54</v>
      </c>
      <c r="B105" s="2">
        <f>'GERAL 2023'!H25</f>
        <v>15.019858156028368</v>
      </c>
      <c r="C105" s="88">
        <v>12</v>
      </c>
      <c r="D105" s="2">
        <f t="shared" si="12"/>
        <v>1.2516548463356973</v>
      </c>
      <c r="E105" s="574"/>
      <c r="F105" s="540"/>
      <c r="G105" s="540"/>
      <c r="H105" s="142"/>
      <c r="I105" s="142"/>
      <c r="J105" s="142"/>
      <c r="K105" s="142"/>
      <c r="L105" s="142"/>
      <c r="M105" s="142"/>
      <c r="N105" s="11"/>
      <c r="O105" s="15"/>
      <c r="P105" s="57"/>
      <c r="AV105" s="69"/>
    </row>
    <row r="106" spans="1:48" s="70" customFormat="1" x14ac:dyDescent="0.3">
      <c r="A106" s="81" t="s">
        <v>78</v>
      </c>
      <c r="B106" s="80">
        <f>'GERAL 2022'!J26</f>
        <v>119.02</v>
      </c>
      <c r="C106" s="78">
        <v>6</v>
      </c>
      <c r="D106" s="80">
        <f t="shared" si="12"/>
        <v>19.836666666666666</v>
      </c>
      <c r="E106" s="574"/>
      <c r="F106" s="540"/>
      <c r="G106" s="540"/>
      <c r="H106" s="11"/>
      <c r="I106" s="11"/>
      <c r="J106" s="63"/>
      <c r="K106" s="142"/>
      <c r="L106" s="142"/>
      <c r="M106" s="142"/>
      <c r="N106" s="11"/>
      <c r="O106" s="11"/>
      <c r="P106" s="57"/>
      <c r="AV106" s="69"/>
    </row>
    <row r="107" spans="1:48" s="70" customFormat="1" x14ac:dyDescent="0.3">
      <c r="A107" s="90" t="s">
        <v>79</v>
      </c>
      <c r="B107" s="2">
        <f>'GERAL 2023'!H26</f>
        <v>21.027801418439715</v>
      </c>
      <c r="C107" s="88">
        <v>12</v>
      </c>
      <c r="D107" s="2">
        <f t="shared" si="12"/>
        <v>1.7523167848699763</v>
      </c>
      <c r="E107" s="574"/>
      <c r="F107" s="540"/>
      <c r="G107" s="540"/>
      <c r="H107" s="142"/>
      <c r="I107" s="142"/>
      <c r="J107" s="142"/>
      <c r="K107" s="142"/>
      <c r="L107" s="142"/>
      <c r="M107" s="142"/>
      <c r="N107" s="14"/>
      <c r="O107" s="14"/>
      <c r="P107" s="57"/>
      <c r="AV107" s="69"/>
    </row>
    <row r="108" spans="1:48" s="70" customFormat="1" x14ac:dyDescent="0.3">
      <c r="A108" s="81" t="s">
        <v>80</v>
      </c>
      <c r="B108" s="80">
        <f>'GERAL 2022'!J44</f>
        <v>118.53</v>
      </c>
      <c r="C108" s="78">
        <v>6</v>
      </c>
      <c r="D108" s="80">
        <f t="shared" si="12"/>
        <v>19.754999999999999</v>
      </c>
      <c r="E108" s="574"/>
      <c r="F108" s="540"/>
      <c r="G108" s="540"/>
      <c r="H108" s="11"/>
      <c r="I108" s="11"/>
      <c r="J108" s="63"/>
      <c r="K108" s="142"/>
      <c r="L108" s="142"/>
      <c r="M108" s="142"/>
      <c r="N108" s="14"/>
      <c r="O108" s="15"/>
      <c r="P108" s="57"/>
      <c r="AV108" s="69"/>
    </row>
    <row r="109" spans="1:48" s="70" customFormat="1" x14ac:dyDescent="0.3">
      <c r="A109" s="90" t="s">
        <v>81</v>
      </c>
      <c r="B109" s="2">
        <f>'GERAL 2023'!H27</f>
        <v>15.019858156028368</v>
      </c>
      <c r="C109" s="88">
        <v>12</v>
      </c>
      <c r="D109" s="2">
        <f t="shared" si="12"/>
        <v>1.2516548463356973</v>
      </c>
      <c r="E109" s="574"/>
      <c r="F109" s="540"/>
      <c r="G109" s="540"/>
      <c r="H109" s="142"/>
      <c r="I109" s="142"/>
      <c r="J109" s="142"/>
      <c r="K109" s="142"/>
      <c r="L109" s="142"/>
      <c r="M109" s="142"/>
      <c r="N109" s="14"/>
      <c r="O109" s="11"/>
      <c r="P109" s="57"/>
      <c r="AV109" s="69"/>
    </row>
    <row r="110" spans="1:48" s="70" customFormat="1" x14ac:dyDescent="0.3">
      <c r="A110" s="81" t="s">
        <v>82</v>
      </c>
      <c r="B110" s="80">
        <f>'GERAL 2022'!J28</f>
        <v>117.95</v>
      </c>
      <c r="C110" s="78">
        <v>6</v>
      </c>
      <c r="D110" s="80">
        <f t="shared" si="12"/>
        <v>19.658333333333335</v>
      </c>
      <c r="E110" s="574"/>
      <c r="F110" s="540"/>
      <c r="G110" s="540"/>
      <c r="H110" s="11"/>
      <c r="I110" s="11"/>
      <c r="J110" s="63"/>
      <c r="K110" s="142"/>
      <c r="L110" s="142"/>
      <c r="M110" s="142"/>
      <c r="N110" s="14"/>
      <c r="O110" s="11"/>
      <c r="P110" s="57"/>
      <c r="AV110" s="69"/>
    </row>
    <row r="111" spans="1:48" s="70" customFormat="1" x14ac:dyDescent="0.3">
      <c r="A111" s="90" t="s">
        <v>83</v>
      </c>
      <c r="B111" s="2">
        <f>'GERAL 2023'!H28</f>
        <v>15.019858156028368</v>
      </c>
      <c r="C111" s="88">
        <v>12</v>
      </c>
      <c r="D111" s="2">
        <f t="shared" si="12"/>
        <v>1.2516548463356973</v>
      </c>
      <c r="E111" s="574"/>
      <c r="F111" s="540"/>
      <c r="G111" s="540"/>
      <c r="H111" s="142"/>
      <c r="I111" s="142"/>
      <c r="J111" s="142"/>
      <c r="K111" s="142"/>
      <c r="L111" s="142"/>
      <c r="M111" s="142"/>
      <c r="N111" s="11"/>
      <c r="O111" s="11"/>
      <c r="P111" s="57"/>
      <c r="AV111" s="69"/>
    </row>
    <row r="112" spans="1:48" s="70" customFormat="1" x14ac:dyDescent="0.3">
      <c r="A112" s="81" t="s">
        <v>84</v>
      </c>
      <c r="B112" s="80">
        <f>'GERAL 2022'!J45</f>
        <v>118.18</v>
      </c>
      <c r="C112" s="78">
        <v>6</v>
      </c>
      <c r="D112" s="80">
        <f t="shared" si="12"/>
        <v>19.696666666666669</v>
      </c>
      <c r="E112" s="574"/>
      <c r="F112" s="540"/>
      <c r="G112" s="540"/>
      <c r="H112" s="11"/>
      <c r="I112" s="11"/>
      <c r="J112" s="63"/>
      <c r="K112" s="142"/>
      <c r="L112" s="142"/>
      <c r="M112" s="142"/>
      <c r="N112" s="11"/>
      <c r="O112" s="14"/>
      <c r="P112" s="57"/>
      <c r="AV112" s="69"/>
    </row>
    <row r="113" spans="1:48" s="70" customFormat="1" x14ac:dyDescent="0.3">
      <c r="A113" s="90" t="s">
        <v>85</v>
      </c>
      <c r="B113" s="2">
        <f>'GERAL 2023'!H29</f>
        <v>15.019858156028368</v>
      </c>
      <c r="C113" s="88">
        <v>12</v>
      </c>
      <c r="D113" s="2">
        <f t="shared" si="12"/>
        <v>1.2516548463356973</v>
      </c>
      <c r="E113" s="574"/>
      <c r="F113" s="540"/>
      <c r="G113" s="540"/>
      <c r="H113" s="142"/>
      <c r="I113" s="142"/>
      <c r="J113" s="142"/>
      <c r="K113" s="142"/>
      <c r="L113" s="142"/>
      <c r="M113" s="142"/>
      <c r="N113" s="11"/>
      <c r="O113" s="14"/>
      <c r="P113" s="57"/>
      <c r="AV113" s="69"/>
    </row>
    <row r="114" spans="1:48" s="70" customFormat="1" x14ac:dyDescent="0.3">
      <c r="A114" s="69"/>
      <c r="B114" s="189"/>
      <c r="C114" s="189"/>
      <c r="D114" s="189"/>
      <c r="E114" s="69"/>
      <c r="F114" s="69"/>
      <c r="G114" s="69"/>
      <c r="H114" s="142"/>
      <c r="I114" s="142"/>
      <c r="J114" s="142"/>
      <c r="K114" s="142"/>
      <c r="L114" s="142"/>
      <c r="M114" s="142"/>
      <c r="N114" s="11"/>
      <c r="O114" s="14"/>
      <c r="P114" s="57"/>
      <c r="AV114" s="69"/>
    </row>
    <row r="115" spans="1:48" s="70" customFormat="1" x14ac:dyDescent="0.3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142"/>
      <c r="L115" s="142"/>
      <c r="M115" s="142"/>
      <c r="N115" s="11"/>
      <c r="O115" s="14"/>
      <c r="P115" s="57"/>
      <c r="AV115" s="69"/>
    </row>
    <row r="116" spans="1:48" s="70" customFormat="1" x14ac:dyDescent="0.3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142"/>
      <c r="L116" s="142"/>
      <c r="M116" s="142"/>
      <c r="N116" s="11"/>
      <c r="O116" s="11"/>
      <c r="P116" s="57"/>
      <c r="AV116" s="69"/>
    </row>
    <row r="117" spans="1:48" s="70" customFormat="1" x14ac:dyDescent="0.3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142"/>
      <c r="L117" s="142"/>
      <c r="M117" s="142"/>
      <c r="N117" s="11"/>
      <c r="O117" s="11"/>
      <c r="P117" s="57"/>
      <c r="AV117" s="69"/>
    </row>
    <row r="118" spans="1:48" s="70" customFormat="1" x14ac:dyDescent="0.3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142"/>
      <c r="L118" s="142"/>
      <c r="M118" s="142"/>
      <c r="N118" s="69"/>
      <c r="O118" s="69"/>
      <c r="P118" s="69"/>
      <c r="AV118" s="69"/>
    </row>
    <row r="119" spans="1:48" s="70" customFormat="1" x14ac:dyDescent="0.3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142"/>
      <c r="L119" s="142"/>
      <c r="M119" s="142"/>
      <c r="N119" s="69"/>
      <c r="O119" s="69"/>
      <c r="P119" s="69"/>
      <c r="AV119" s="69"/>
    </row>
    <row r="120" spans="1:48" s="70" customFormat="1" x14ac:dyDescent="0.3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142"/>
      <c r="L120" s="142"/>
      <c r="M120" s="142"/>
      <c r="N120" s="69"/>
      <c r="O120" s="69"/>
      <c r="P120" s="69"/>
      <c r="AV120" s="69"/>
    </row>
    <row r="121" spans="1:48" s="70" customFormat="1" x14ac:dyDescent="0.3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142"/>
      <c r="L121" s="142"/>
      <c r="M121" s="142"/>
      <c r="N121" s="69"/>
      <c r="O121" s="69"/>
      <c r="P121" s="69"/>
      <c r="AV121" s="69"/>
    </row>
    <row r="122" spans="1:48" s="70" customFormat="1" x14ac:dyDescent="0.3">
      <c r="H122" s="69"/>
      <c r="I122" s="69"/>
      <c r="J122" s="69"/>
      <c r="K122" s="142"/>
      <c r="L122" s="142"/>
      <c r="M122" s="142"/>
      <c r="N122" s="69"/>
      <c r="O122" s="69"/>
      <c r="P122" s="69"/>
      <c r="AV122" s="69"/>
    </row>
    <row r="123" spans="1:48" s="70" customFormat="1" x14ac:dyDescent="0.3">
      <c r="K123" s="142"/>
      <c r="L123" s="142"/>
      <c r="M123" s="142"/>
      <c r="N123" s="69"/>
      <c r="O123" s="69"/>
      <c r="P123" s="69"/>
      <c r="AV123" s="69"/>
    </row>
    <row r="124" spans="1:48" s="70" customFormat="1" x14ac:dyDescent="0.3">
      <c r="K124" s="142"/>
      <c r="L124" s="142"/>
      <c r="M124" s="142"/>
      <c r="N124" s="69"/>
      <c r="O124" s="69"/>
      <c r="P124" s="69"/>
      <c r="AV124" s="69"/>
    </row>
    <row r="125" spans="1:48" s="70" customFormat="1" x14ac:dyDescent="0.3">
      <c r="K125" s="142"/>
      <c r="L125" s="142"/>
      <c r="M125" s="142"/>
      <c r="N125" s="144"/>
      <c r="O125" s="69"/>
      <c r="P125" s="69"/>
      <c r="AV125" s="69"/>
    </row>
    <row r="126" spans="1:48" s="70" customFormat="1" x14ac:dyDescent="0.3">
      <c r="K126" s="142"/>
      <c r="L126" s="142"/>
      <c r="M126" s="142"/>
      <c r="N126" s="144"/>
      <c r="O126" s="69"/>
      <c r="P126" s="69"/>
      <c r="AV126" s="69"/>
    </row>
    <row r="127" spans="1:48" s="70" customFormat="1" x14ac:dyDescent="0.3">
      <c r="K127" s="142"/>
      <c r="L127" s="142"/>
      <c r="M127" s="142"/>
      <c r="N127" s="144"/>
      <c r="O127" s="69"/>
      <c r="AV127" s="69"/>
    </row>
    <row r="128" spans="1:48" s="70" customFormat="1" x14ac:dyDescent="0.3">
      <c r="K128" s="142"/>
      <c r="L128" s="142"/>
      <c r="M128" s="142"/>
      <c r="N128" s="144"/>
      <c r="O128" s="69"/>
      <c r="AV128" s="69"/>
    </row>
    <row r="129" spans="11:48" s="70" customFormat="1" x14ac:dyDescent="0.3">
      <c r="K129" s="142"/>
      <c r="L129" s="142"/>
      <c r="M129" s="142"/>
      <c r="N129" s="144"/>
      <c r="O129" s="69"/>
      <c r="AV129" s="69"/>
    </row>
    <row r="130" spans="11:48" s="70" customFormat="1" x14ac:dyDescent="0.3">
      <c r="K130" s="142"/>
      <c r="L130" s="142"/>
      <c r="M130" s="142"/>
      <c r="N130" s="144"/>
      <c r="O130" s="144"/>
      <c r="AV130" s="69"/>
    </row>
    <row r="131" spans="11:48" s="70" customFormat="1" x14ac:dyDescent="0.3">
      <c r="K131" s="142"/>
      <c r="L131" s="142"/>
      <c r="M131" s="142"/>
      <c r="N131" s="144"/>
      <c r="O131" s="144"/>
      <c r="AV131" s="69"/>
    </row>
    <row r="132" spans="11:48" s="70" customFormat="1" x14ac:dyDescent="0.3">
      <c r="K132" s="142"/>
      <c r="L132" s="142"/>
      <c r="M132" s="142"/>
      <c r="N132" s="144"/>
      <c r="O132" s="144"/>
      <c r="AV132" s="69"/>
    </row>
    <row r="133" spans="11:48" s="70" customFormat="1" x14ac:dyDescent="0.3">
      <c r="K133" s="142"/>
      <c r="L133" s="142"/>
      <c r="M133" s="142"/>
      <c r="N133" s="144"/>
      <c r="O133" s="144"/>
      <c r="AV133" s="69"/>
    </row>
    <row r="134" spans="11:48" s="70" customFormat="1" x14ac:dyDescent="0.3">
      <c r="K134" s="142"/>
      <c r="L134" s="142"/>
      <c r="M134" s="142"/>
      <c r="N134" s="144"/>
      <c r="O134" s="144"/>
      <c r="AV134" s="69"/>
    </row>
    <row r="135" spans="11:48" s="70" customFormat="1" x14ac:dyDescent="0.3">
      <c r="K135" s="142"/>
      <c r="L135" s="142"/>
      <c r="M135" s="142"/>
      <c r="N135" s="144"/>
      <c r="O135" s="144"/>
      <c r="AV135" s="69"/>
    </row>
    <row r="136" spans="11:48" s="70" customFormat="1" x14ac:dyDescent="0.3">
      <c r="K136" s="142"/>
      <c r="L136" s="142"/>
      <c r="M136" s="142"/>
      <c r="N136" s="144"/>
      <c r="O136" s="144"/>
      <c r="AV136" s="69"/>
    </row>
    <row r="137" spans="11:48" s="70" customFormat="1" x14ac:dyDescent="0.3">
      <c r="K137" s="142"/>
      <c r="L137" s="142"/>
      <c r="M137" s="142"/>
      <c r="N137" s="144"/>
      <c r="O137" s="144"/>
      <c r="AV137" s="69"/>
    </row>
    <row r="138" spans="11:48" s="70" customFormat="1" x14ac:dyDescent="0.3">
      <c r="K138" s="142"/>
      <c r="L138" s="142"/>
      <c r="M138" s="142"/>
      <c r="N138" s="144"/>
      <c r="O138" s="144"/>
      <c r="AV138" s="69"/>
    </row>
    <row r="139" spans="11:48" s="70" customFormat="1" x14ac:dyDescent="0.3">
      <c r="K139" s="142"/>
      <c r="L139" s="142"/>
      <c r="M139" s="142"/>
      <c r="N139" s="144"/>
      <c r="O139" s="144"/>
      <c r="AV139" s="69"/>
    </row>
    <row r="140" spans="11:48" s="70" customFormat="1" x14ac:dyDescent="0.3">
      <c r="K140" s="142"/>
      <c r="L140" s="142"/>
      <c r="M140" s="142"/>
      <c r="N140" s="144"/>
      <c r="O140" s="144"/>
      <c r="AV140" s="69"/>
    </row>
    <row r="141" spans="11:48" s="70" customFormat="1" x14ac:dyDescent="0.3">
      <c r="K141" s="142"/>
      <c r="L141" s="142"/>
      <c r="M141" s="142"/>
      <c r="N141" s="144"/>
      <c r="O141" s="144"/>
      <c r="AV141" s="69"/>
    </row>
    <row r="142" spans="11:48" s="70" customFormat="1" x14ac:dyDescent="0.3">
      <c r="K142" s="142"/>
      <c r="L142" s="142"/>
      <c r="M142" s="142"/>
      <c r="N142" s="144"/>
      <c r="O142" s="144"/>
      <c r="AV142" s="69"/>
    </row>
    <row r="143" spans="11:48" s="70" customFormat="1" x14ac:dyDescent="0.3">
      <c r="K143" s="142"/>
      <c r="L143" s="142"/>
      <c r="M143" s="142"/>
      <c r="N143" s="144"/>
      <c r="O143" s="144"/>
      <c r="AV143" s="69"/>
    </row>
    <row r="144" spans="11:48" s="70" customFormat="1" x14ac:dyDescent="0.3">
      <c r="K144" s="142"/>
      <c r="L144" s="142"/>
      <c r="M144" s="142"/>
      <c r="N144" s="144"/>
      <c r="O144" s="144"/>
      <c r="AV144" s="69"/>
    </row>
    <row r="145" spans="11:48" s="70" customFormat="1" x14ac:dyDescent="0.3">
      <c r="K145" s="142"/>
      <c r="L145" s="142"/>
      <c r="M145" s="142"/>
      <c r="N145" s="144"/>
      <c r="O145" s="144"/>
      <c r="AV145" s="69"/>
    </row>
    <row r="146" spans="11:48" s="70" customFormat="1" x14ac:dyDescent="0.3">
      <c r="K146" s="142"/>
      <c r="L146" s="142"/>
      <c r="M146" s="142"/>
      <c r="N146" s="144"/>
      <c r="O146" s="144"/>
      <c r="AV146" s="69"/>
    </row>
    <row r="147" spans="11:48" s="70" customFormat="1" x14ac:dyDescent="0.3">
      <c r="K147" s="142"/>
      <c r="L147" s="142"/>
      <c r="M147" s="142"/>
      <c r="N147" s="144"/>
      <c r="O147" s="144"/>
      <c r="AV147" s="69"/>
    </row>
    <row r="148" spans="11:48" s="70" customFormat="1" x14ac:dyDescent="0.3">
      <c r="K148" s="142"/>
      <c r="L148" s="142"/>
      <c r="M148" s="142"/>
      <c r="N148" s="144"/>
      <c r="O148" s="144"/>
      <c r="AV148" s="69"/>
    </row>
    <row r="149" spans="11:48" s="70" customFormat="1" x14ac:dyDescent="0.3">
      <c r="K149" s="142"/>
      <c r="L149" s="142"/>
      <c r="M149" s="142"/>
      <c r="N149" s="144"/>
      <c r="O149" s="144"/>
      <c r="AV149" s="69"/>
    </row>
    <row r="150" spans="11:48" s="70" customFormat="1" x14ac:dyDescent="0.3">
      <c r="K150" s="142"/>
      <c r="L150" s="142"/>
      <c r="M150" s="142"/>
      <c r="N150" s="144"/>
      <c r="O150" s="144"/>
      <c r="AV150" s="69"/>
    </row>
    <row r="151" spans="11:48" s="70" customFormat="1" x14ac:dyDescent="0.3">
      <c r="K151" s="142"/>
      <c r="L151" s="142"/>
      <c r="M151" s="142"/>
      <c r="N151" s="144"/>
      <c r="O151" s="144"/>
      <c r="AV151" s="69"/>
    </row>
    <row r="152" spans="11:48" s="70" customFormat="1" x14ac:dyDescent="0.3">
      <c r="K152" s="142"/>
      <c r="L152" s="142"/>
      <c r="M152" s="142"/>
      <c r="N152" s="144"/>
      <c r="O152" s="144"/>
      <c r="AV152" s="69"/>
    </row>
    <row r="153" spans="11:48" s="70" customFormat="1" x14ac:dyDescent="0.3">
      <c r="K153" s="142"/>
      <c r="L153" s="142"/>
      <c r="M153" s="142"/>
      <c r="N153" s="144"/>
      <c r="O153" s="144"/>
      <c r="AV153" s="69"/>
    </row>
    <row r="154" spans="11:48" s="70" customFormat="1" x14ac:dyDescent="0.3">
      <c r="K154" s="142"/>
      <c r="L154" s="142"/>
      <c r="M154" s="142"/>
      <c r="N154" s="144"/>
      <c r="O154" s="144"/>
      <c r="AV154" s="69"/>
    </row>
    <row r="155" spans="11:48" s="70" customFormat="1" x14ac:dyDescent="0.3">
      <c r="K155" s="142"/>
      <c r="L155" s="142"/>
      <c r="M155" s="142"/>
      <c r="N155" s="144"/>
      <c r="O155" s="144"/>
      <c r="AV155" s="69"/>
    </row>
    <row r="156" spans="11:48" s="70" customFormat="1" x14ac:dyDescent="0.3">
      <c r="K156" s="142"/>
      <c r="L156" s="142"/>
      <c r="M156" s="142"/>
      <c r="N156" s="144"/>
      <c r="O156" s="144"/>
      <c r="AV156" s="69"/>
    </row>
    <row r="157" spans="11:48" s="70" customFormat="1" x14ac:dyDescent="0.3">
      <c r="K157" s="142"/>
      <c r="L157" s="142"/>
      <c r="M157" s="142"/>
      <c r="N157" s="144"/>
      <c r="O157" s="144"/>
      <c r="AV157" s="69"/>
    </row>
    <row r="158" spans="11:48" s="70" customFormat="1" x14ac:dyDescent="0.3">
      <c r="K158" s="142"/>
      <c r="L158" s="142"/>
      <c r="M158" s="142"/>
      <c r="N158" s="144"/>
      <c r="O158" s="144"/>
      <c r="AV158" s="69"/>
    </row>
    <row r="159" spans="11:48" s="70" customFormat="1" x14ac:dyDescent="0.3">
      <c r="K159" s="142"/>
      <c r="L159" s="142"/>
      <c r="M159" s="142"/>
      <c r="N159" s="144"/>
      <c r="O159" s="144"/>
      <c r="AV159" s="69"/>
    </row>
    <row r="160" spans="11:48" s="70" customFormat="1" x14ac:dyDescent="0.3">
      <c r="K160" s="142"/>
      <c r="L160" s="142"/>
      <c r="M160" s="142"/>
      <c r="N160" s="144"/>
      <c r="O160" s="144"/>
      <c r="AV160" s="69"/>
    </row>
    <row r="161" spans="11:48" s="70" customFormat="1" x14ac:dyDescent="0.3">
      <c r="K161" s="142"/>
      <c r="L161" s="142"/>
      <c r="M161" s="142"/>
      <c r="N161" s="144"/>
      <c r="O161" s="144"/>
      <c r="AV161" s="69"/>
    </row>
    <row r="162" spans="11:48" s="70" customFormat="1" x14ac:dyDescent="0.3">
      <c r="K162" s="142"/>
      <c r="L162" s="142"/>
      <c r="M162" s="142"/>
      <c r="N162" s="144"/>
      <c r="O162" s="144"/>
      <c r="AV162" s="69"/>
    </row>
    <row r="163" spans="11:48" s="70" customFormat="1" x14ac:dyDescent="0.3">
      <c r="K163" s="142"/>
      <c r="L163" s="142"/>
      <c r="M163" s="142"/>
      <c r="N163" s="144"/>
      <c r="O163" s="144"/>
      <c r="AV163" s="69"/>
    </row>
    <row r="164" spans="11:48" s="70" customFormat="1" x14ac:dyDescent="0.3">
      <c r="K164" s="142"/>
      <c r="L164" s="142"/>
      <c r="M164" s="142"/>
      <c r="N164" s="144"/>
      <c r="O164" s="144"/>
      <c r="AV164" s="69"/>
    </row>
    <row r="165" spans="11:48" s="70" customFormat="1" x14ac:dyDescent="0.3">
      <c r="K165" s="142"/>
      <c r="L165" s="142"/>
      <c r="M165" s="142"/>
      <c r="N165" s="144"/>
      <c r="O165" s="144"/>
      <c r="AV165" s="69"/>
    </row>
    <row r="166" spans="11:48" s="70" customFormat="1" x14ac:dyDescent="0.3">
      <c r="K166" s="142"/>
      <c r="L166" s="142"/>
      <c r="M166" s="142"/>
      <c r="N166" s="144"/>
      <c r="O166" s="144"/>
      <c r="AV166" s="69"/>
    </row>
    <row r="167" spans="11:48" s="70" customFormat="1" x14ac:dyDescent="0.3">
      <c r="K167" s="142"/>
      <c r="L167" s="142"/>
      <c r="M167" s="142"/>
      <c r="N167" s="144"/>
      <c r="O167" s="144"/>
      <c r="AV167" s="69"/>
    </row>
    <row r="168" spans="11:48" s="70" customFormat="1" x14ac:dyDescent="0.3">
      <c r="K168" s="142"/>
      <c r="L168" s="142"/>
      <c r="M168" s="142"/>
      <c r="N168" s="144"/>
      <c r="O168" s="144"/>
      <c r="AV168" s="69"/>
    </row>
    <row r="169" spans="11:48" s="70" customFormat="1" x14ac:dyDescent="0.3">
      <c r="K169" s="142"/>
      <c r="L169" s="142"/>
      <c r="M169" s="142"/>
      <c r="N169" s="144"/>
      <c r="O169" s="144"/>
      <c r="AV169" s="69"/>
    </row>
    <row r="170" spans="11:48" s="70" customFormat="1" x14ac:dyDescent="0.3">
      <c r="K170" s="142"/>
      <c r="L170" s="142"/>
      <c r="M170" s="142"/>
      <c r="N170" s="144"/>
      <c r="O170" s="144"/>
      <c r="AV170" s="69"/>
    </row>
    <row r="171" spans="11:48" s="70" customFormat="1" x14ac:dyDescent="0.3">
      <c r="K171" s="142"/>
      <c r="L171" s="142"/>
      <c r="M171" s="142"/>
      <c r="N171" s="144"/>
      <c r="O171" s="144"/>
      <c r="AV171" s="69"/>
    </row>
    <row r="172" spans="11:48" s="70" customFormat="1" x14ac:dyDescent="0.3">
      <c r="K172" s="142"/>
      <c r="L172" s="142"/>
      <c r="M172" s="142"/>
      <c r="N172" s="144"/>
      <c r="O172" s="144"/>
      <c r="AV172" s="69"/>
    </row>
    <row r="173" spans="11:48" s="70" customFormat="1" x14ac:dyDescent="0.3">
      <c r="K173" s="142"/>
      <c r="L173" s="142"/>
      <c r="M173" s="142"/>
      <c r="N173" s="144"/>
      <c r="O173" s="144"/>
      <c r="AV173" s="69"/>
    </row>
    <row r="174" spans="11:48" s="70" customFormat="1" x14ac:dyDescent="0.3">
      <c r="K174" s="142"/>
      <c r="L174" s="142"/>
      <c r="M174" s="142"/>
      <c r="N174" s="144"/>
      <c r="O174" s="144"/>
      <c r="AV174" s="69"/>
    </row>
    <row r="175" spans="11:48" s="70" customFormat="1" x14ac:dyDescent="0.3">
      <c r="K175" s="142"/>
      <c r="L175" s="142"/>
      <c r="M175" s="142"/>
      <c r="N175" s="144"/>
      <c r="O175" s="144"/>
      <c r="AV175" s="69"/>
    </row>
    <row r="176" spans="11:48" s="70" customFormat="1" x14ac:dyDescent="0.3">
      <c r="K176" s="142"/>
      <c r="L176" s="142"/>
      <c r="M176" s="142"/>
      <c r="N176" s="144"/>
      <c r="O176" s="144"/>
      <c r="AV176" s="69"/>
    </row>
    <row r="177" spans="1:49" s="70" customFormat="1" x14ac:dyDescent="0.3">
      <c r="K177" s="142"/>
      <c r="L177" s="142"/>
      <c r="M177" s="142"/>
      <c r="N177" s="144"/>
      <c r="O177" s="144"/>
      <c r="AV177" s="69"/>
    </row>
    <row r="178" spans="1:49" s="145" customFormat="1" x14ac:dyDescent="0.3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142"/>
      <c r="L178" s="142"/>
      <c r="M178" s="142"/>
      <c r="N178" s="144"/>
      <c r="O178" s="144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69"/>
      <c r="AW178" s="70"/>
    </row>
    <row r="179" spans="1:49" s="145" customFormat="1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142"/>
      <c r="L179" s="142"/>
      <c r="M179" s="142"/>
      <c r="N179" s="144"/>
      <c r="O179" s="144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69"/>
      <c r="AW179" s="70"/>
    </row>
    <row r="180" spans="1:49" s="145" customFormat="1" x14ac:dyDescent="0.3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142"/>
      <c r="L180" s="142"/>
      <c r="M180" s="142"/>
      <c r="N180" s="144"/>
      <c r="O180" s="144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69"/>
      <c r="AW180" s="70"/>
    </row>
    <row r="181" spans="1:49" s="145" customFormat="1" x14ac:dyDescent="0.3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142"/>
      <c r="L181" s="142"/>
      <c r="M181" s="142"/>
      <c r="N181" s="144"/>
      <c r="O181" s="144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69"/>
      <c r="AW181" s="70"/>
    </row>
    <row r="182" spans="1:49" s="145" customFormat="1" x14ac:dyDescent="0.3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142"/>
      <c r="L182" s="142"/>
      <c r="M182" s="142"/>
      <c r="N182" s="144"/>
      <c r="O182" s="144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69"/>
      <c r="AW182" s="70"/>
    </row>
    <row r="183" spans="1:49" s="145" customFormat="1" x14ac:dyDescent="0.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142"/>
      <c r="L183" s="142"/>
      <c r="M183" s="142"/>
      <c r="N183" s="144"/>
      <c r="O183" s="144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69"/>
      <c r="AW183" s="70"/>
    </row>
    <row r="184" spans="1:49" s="145" customFormat="1" x14ac:dyDescent="0.3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142"/>
      <c r="L184" s="142"/>
      <c r="M184" s="142"/>
      <c r="N184" s="144"/>
      <c r="O184" s="144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69"/>
      <c r="AW184" s="70"/>
    </row>
    <row r="185" spans="1:49" s="145" customFormat="1" x14ac:dyDescent="0.3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142"/>
      <c r="L185" s="142"/>
      <c r="M185" s="142"/>
      <c r="N185" s="144"/>
      <c r="O185" s="144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69"/>
      <c r="AW185" s="70"/>
    </row>
    <row r="186" spans="1:49" s="145" customFormat="1" x14ac:dyDescent="0.3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142"/>
      <c r="L186" s="142"/>
      <c r="M186" s="142"/>
      <c r="N186" s="144"/>
      <c r="O186" s="144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69"/>
      <c r="AW186" s="70"/>
    </row>
    <row r="187" spans="1:49" s="145" customFormat="1" x14ac:dyDescent="0.3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142"/>
      <c r="L187" s="142"/>
      <c r="M187" s="142"/>
      <c r="N187" s="144"/>
      <c r="O187" s="144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69"/>
      <c r="AW187" s="70"/>
    </row>
    <row r="188" spans="1:49" s="145" customFormat="1" x14ac:dyDescent="0.3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142"/>
      <c r="L188" s="142"/>
      <c r="M188" s="142"/>
      <c r="N188" s="144"/>
      <c r="O188" s="144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69"/>
      <c r="AW188" s="70"/>
    </row>
    <row r="189" spans="1:49" s="145" customFormat="1" x14ac:dyDescent="0.3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142"/>
      <c r="L189" s="142"/>
      <c r="M189" s="142"/>
      <c r="N189" s="144"/>
      <c r="O189" s="144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69"/>
      <c r="AW189" s="70"/>
    </row>
    <row r="190" spans="1:49" s="145" customFormat="1" x14ac:dyDescent="0.3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146"/>
      <c r="L190" s="146"/>
      <c r="M190" s="146"/>
      <c r="N190" s="144"/>
      <c r="O190" s="144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69"/>
      <c r="AW190" s="70"/>
    </row>
    <row r="191" spans="1:49" s="145" customFormat="1" x14ac:dyDescent="0.3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146"/>
      <c r="L191" s="146"/>
      <c r="M191" s="146"/>
      <c r="N191" s="144"/>
      <c r="O191" s="144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69"/>
      <c r="AW191" s="70"/>
    </row>
    <row r="192" spans="1:49" s="145" customFormat="1" x14ac:dyDescent="0.3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146"/>
      <c r="L192" s="146"/>
      <c r="M192" s="146"/>
      <c r="N192" s="144"/>
      <c r="O192" s="144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69"/>
      <c r="AW192" s="70"/>
    </row>
    <row r="193" spans="1:49" s="145" customFormat="1" x14ac:dyDescent="0.3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146"/>
      <c r="L193" s="146"/>
      <c r="M193" s="146"/>
      <c r="N193" s="144"/>
      <c r="O193" s="144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69"/>
      <c r="AW193" s="70"/>
    </row>
    <row r="194" spans="1:49" s="145" customFormat="1" x14ac:dyDescent="0.3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146"/>
      <c r="L194" s="146"/>
      <c r="M194" s="146"/>
      <c r="N194" s="144"/>
      <c r="O194" s="144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69"/>
      <c r="AW194" s="70"/>
    </row>
    <row r="195" spans="1:49" x14ac:dyDescent="0.3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146"/>
      <c r="L195" s="146"/>
      <c r="M195" s="146"/>
      <c r="N195" s="144"/>
      <c r="O195" s="144"/>
      <c r="P195" s="70"/>
      <c r="AV195" s="148"/>
      <c r="AW195" s="148"/>
    </row>
    <row r="196" spans="1:49" x14ac:dyDescent="0.3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146"/>
      <c r="L196" s="146"/>
      <c r="M196" s="146"/>
      <c r="N196" s="144"/>
      <c r="O196" s="144"/>
      <c r="P196" s="70"/>
      <c r="AV196" s="148"/>
      <c r="AW196" s="148"/>
    </row>
    <row r="197" spans="1:49" x14ac:dyDescent="0.3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146"/>
      <c r="L197" s="146"/>
      <c r="M197" s="146"/>
      <c r="N197" s="144"/>
      <c r="O197" s="144"/>
      <c r="P197" s="70"/>
      <c r="AV197" s="148"/>
      <c r="AW197" s="148"/>
    </row>
    <row r="198" spans="1:49" x14ac:dyDescent="0.3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146"/>
      <c r="L198" s="146"/>
      <c r="M198" s="146"/>
      <c r="N198" s="144"/>
      <c r="O198" s="144"/>
      <c r="P198" s="70"/>
      <c r="AV198" s="148"/>
      <c r="AW198" s="148"/>
    </row>
    <row r="199" spans="1:49" x14ac:dyDescent="0.3">
      <c r="A199" s="149"/>
      <c r="B199" s="149"/>
      <c r="C199" s="149"/>
      <c r="D199" s="149"/>
      <c r="E199" s="149"/>
      <c r="F199" s="149"/>
      <c r="G199" s="149"/>
      <c r="H199" s="70"/>
      <c r="I199" s="70"/>
      <c r="J199" s="70"/>
      <c r="K199" s="146"/>
      <c r="L199" s="146"/>
      <c r="M199" s="146"/>
      <c r="N199" s="144"/>
      <c r="O199" s="144"/>
      <c r="P199" s="70"/>
      <c r="AV199" s="148"/>
      <c r="AW199" s="148"/>
    </row>
    <row r="200" spans="1:49" x14ac:dyDescent="0.3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6"/>
      <c r="L200" s="146"/>
      <c r="M200" s="146"/>
      <c r="N200" s="144"/>
      <c r="O200" s="144"/>
      <c r="P200" s="70"/>
      <c r="AV200" s="148"/>
      <c r="AW200" s="148"/>
    </row>
    <row r="201" spans="1:49" x14ac:dyDescent="0.3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6"/>
      <c r="L201" s="146"/>
      <c r="M201" s="146"/>
      <c r="N201" s="144"/>
      <c r="O201" s="144"/>
      <c r="P201" s="70"/>
      <c r="AV201" s="148"/>
      <c r="AW201" s="148"/>
    </row>
    <row r="202" spans="1:49" x14ac:dyDescent="0.3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6"/>
      <c r="L202" s="146"/>
      <c r="M202" s="146"/>
      <c r="N202" s="147"/>
      <c r="O202" s="144"/>
      <c r="P202" s="70"/>
      <c r="AV202" s="148"/>
      <c r="AW202" s="148"/>
    </row>
    <row r="203" spans="1:49" x14ac:dyDescent="0.3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6"/>
      <c r="L203" s="146"/>
      <c r="M203" s="146"/>
      <c r="N203" s="147"/>
      <c r="O203" s="144"/>
      <c r="P203" s="70"/>
      <c r="AV203" s="148"/>
      <c r="AW203" s="148"/>
    </row>
    <row r="204" spans="1:49" x14ac:dyDescent="0.3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  <c r="K204" s="146"/>
      <c r="L204" s="146"/>
      <c r="M204" s="146"/>
      <c r="N204" s="147"/>
      <c r="O204" s="144"/>
      <c r="P204" s="70"/>
      <c r="AV204" s="148"/>
      <c r="AW204" s="148"/>
    </row>
    <row r="205" spans="1:49" x14ac:dyDescent="0.3">
      <c r="A205" s="149"/>
      <c r="B205" s="149"/>
      <c r="C205" s="149"/>
      <c r="D205" s="149"/>
      <c r="E205" s="149"/>
      <c r="F205" s="149"/>
      <c r="G205" s="149"/>
      <c r="H205" s="149"/>
      <c r="I205" s="149"/>
      <c r="J205" s="149"/>
      <c r="K205" s="146"/>
      <c r="L205" s="146"/>
      <c r="M205" s="146"/>
      <c r="N205" s="147"/>
      <c r="O205" s="144"/>
      <c r="P205" s="149"/>
      <c r="AV205" s="148"/>
      <c r="AW205" s="148"/>
    </row>
    <row r="206" spans="1:49" x14ac:dyDescent="0.3">
      <c r="A206" s="149"/>
      <c r="B206" s="149"/>
      <c r="C206" s="149"/>
      <c r="D206" s="149"/>
      <c r="E206" s="149"/>
      <c r="F206" s="149"/>
      <c r="G206" s="149"/>
      <c r="H206" s="149"/>
      <c r="I206" s="149"/>
      <c r="J206" s="149"/>
      <c r="K206" s="146"/>
      <c r="L206" s="146"/>
      <c r="M206" s="146"/>
      <c r="N206" s="147"/>
      <c r="O206" s="144"/>
      <c r="P206" s="149"/>
      <c r="AV206" s="148"/>
      <c r="AW206" s="148"/>
    </row>
    <row r="207" spans="1:49" x14ac:dyDescent="0.3">
      <c r="A207" s="149"/>
      <c r="B207" s="149"/>
      <c r="C207" s="149"/>
      <c r="D207" s="149"/>
      <c r="E207" s="149"/>
      <c r="F207" s="149"/>
      <c r="G207" s="149"/>
      <c r="H207" s="149"/>
      <c r="I207" s="149"/>
      <c r="J207" s="149"/>
      <c r="N207" s="147"/>
      <c r="O207" s="147"/>
      <c r="P207" s="149"/>
    </row>
    <row r="208" spans="1:49" x14ac:dyDescent="0.3">
      <c r="A208" s="149"/>
      <c r="B208" s="149"/>
      <c r="C208" s="149"/>
      <c r="D208" s="149"/>
      <c r="E208" s="149"/>
      <c r="F208" s="149"/>
      <c r="G208" s="149"/>
      <c r="H208" s="149"/>
      <c r="I208" s="149"/>
      <c r="J208" s="149"/>
      <c r="N208" s="147"/>
      <c r="O208" s="147"/>
      <c r="P208" s="14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  <c r="AP208" s="69"/>
      <c r="AQ208" s="69"/>
      <c r="AR208" s="69"/>
      <c r="AS208" s="69"/>
      <c r="AT208" s="69"/>
      <c r="AU208" s="69"/>
      <c r="AV208" s="148"/>
      <c r="AW208" s="148"/>
    </row>
    <row r="209" spans="1:16" x14ac:dyDescent="0.3">
      <c r="A209" s="149"/>
      <c r="B209" s="149"/>
      <c r="C209" s="149"/>
      <c r="D209" s="149"/>
      <c r="E209" s="149"/>
      <c r="F209" s="149"/>
      <c r="G209" s="149"/>
      <c r="H209" s="149"/>
      <c r="I209" s="149"/>
      <c r="J209" s="149"/>
      <c r="N209" s="147"/>
      <c r="O209" s="147"/>
      <c r="P209" s="149"/>
    </row>
    <row r="210" spans="1:16" x14ac:dyDescent="0.3">
      <c r="A210" s="149"/>
      <c r="B210" s="149"/>
      <c r="C210" s="149"/>
      <c r="D210" s="149"/>
      <c r="E210" s="149"/>
      <c r="F210" s="149"/>
      <c r="G210" s="149"/>
      <c r="H210" s="149"/>
      <c r="I210" s="149"/>
      <c r="J210" s="149"/>
      <c r="N210" s="147"/>
      <c r="O210" s="147"/>
      <c r="P210" s="149"/>
    </row>
    <row r="211" spans="1:16" x14ac:dyDescent="0.3">
      <c r="A211" s="149"/>
      <c r="B211" s="149"/>
      <c r="C211" s="149"/>
      <c r="D211" s="149"/>
      <c r="E211" s="149"/>
      <c r="F211" s="149"/>
      <c r="G211" s="149"/>
      <c r="H211" s="149"/>
      <c r="I211" s="149"/>
      <c r="J211" s="149"/>
      <c r="N211" s="147"/>
      <c r="O211" s="147"/>
      <c r="P211" s="149"/>
    </row>
    <row r="212" spans="1:16" x14ac:dyDescent="0.3">
      <c r="A212" s="149"/>
      <c r="B212" s="149"/>
      <c r="C212" s="149"/>
      <c r="D212" s="149"/>
      <c r="E212" s="149"/>
      <c r="F212" s="149"/>
      <c r="G212" s="149"/>
      <c r="H212" s="149"/>
      <c r="I212" s="149"/>
      <c r="J212" s="149"/>
      <c r="N212" s="147"/>
      <c r="O212" s="147"/>
      <c r="P212" s="149"/>
    </row>
    <row r="213" spans="1:16" x14ac:dyDescent="0.3">
      <c r="A213" s="149"/>
      <c r="B213" s="149"/>
      <c r="C213" s="149"/>
      <c r="D213" s="149"/>
      <c r="E213" s="149"/>
      <c r="F213" s="149"/>
      <c r="G213" s="149"/>
      <c r="H213" s="149"/>
      <c r="I213" s="149"/>
      <c r="J213" s="149"/>
      <c r="N213" s="147"/>
      <c r="O213" s="147"/>
      <c r="P213" s="149"/>
    </row>
    <row r="214" spans="1:16" x14ac:dyDescent="0.3">
      <c r="A214" s="149"/>
      <c r="B214" s="149"/>
      <c r="C214" s="149"/>
      <c r="D214" s="149"/>
      <c r="E214" s="149"/>
      <c r="F214" s="149"/>
      <c r="G214" s="149"/>
      <c r="H214" s="149"/>
      <c r="I214" s="149"/>
      <c r="J214" s="149"/>
      <c r="N214" s="147"/>
      <c r="O214" s="147"/>
      <c r="P214" s="149"/>
    </row>
    <row r="215" spans="1:16" x14ac:dyDescent="0.3">
      <c r="A215" s="149"/>
      <c r="B215" s="149"/>
      <c r="C215" s="149"/>
      <c r="D215" s="149"/>
      <c r="E215" s="149"/>
      <c r="F215" s="149"/>
      <c r="G215" s="149"/>
      <c r="H215" s="149"/>
      <c r="I215" s="149"/>
      <c r="J215" s="149"/>
      <c r="N215" s="147"/>
      <c r="O215" s="147"/>
      <c r="P215" s="149"/>
    </row>
    <row r="216" spans="1:16" x14ac:dyDescent="0.3">
      <c r="H216" s="149"/>
      <c r="I216" s="149"/>
      <c r="J216" s="149"/>
      <c r="N216" s="147"/>
      <c r="O216" s="147"/>
      <c r="P216" s="149"/>
    </row>
    <row r="217" spans="1:16" x14ac:dyDescent="0.3">
      <c r="N217" s="147"/>
      <c r="O217" s="147"/>
    </row>
    <row r="218" spans="1:16" x14ac:dyDescent="0.3">
      <c r="N218" s="147"/>
      <c r="O218" s="147"/>
    </row>
    <row r="219" spans="1:16" x14ac:dyDescent="0.3">
      <c r="O219" s="147"/>
    </row>
    <row r="220" spans="1:16" x14ac:dyDescent="0.3">
      <c r="K220" s="148"/>
      <c r="L220" s="148"/>
      <c r="M220" s="148"/>
      <c r="O220" s="147"/>
    </row>
    <row r="221" spans="1:16" x14ac:dyDescent="0.3">
      <c r="O221" s="147"/>
    </row>
    <row r="222" spans="1:16" x14ac:dyDescent="0.3">
      <c r="O222" s="147"/>
    </row>
    <row r="223" spans="1:16" x14ac:dyDescent="0.3">
      <c r="N223" s="148"/>
      <c r="O223" s="147"/>
    </row>
    <row r="1048552" spans="1:60" s="70" customFormat="1" x14ac:dyDescent="0.3">
      <c r="A1048552" s="148"/>
      <c r="B1048552" s="148"/>
      <c r="C1048552" s="148"/>
      <c r="D1048552" s="148"/>
      <c r="E1048552" s="148"/>
      <c r="F1048552" s="148"/>
      <c r="G1048552" s="148"/>
      <c r="H1048552" s="148"/>
      <c r="I1048552" s="148"/>
      <c r="J1048552" s="148"/>
      <c r="K1048552" s="150"/>
      <c r="L1048552" s="150"/>
      <c r="M1048552" s="150"/>
      <c r="N1048552" s="150"/>
      <c r="O1048552" s="150"/>
      <c r="P1048552" s="148"/>
      <c r="AV1048552" s="69"/>
      <c r="AW1048552" s="69"/>
      <c r="AX1048552" s="148"/>
      <c r="AY1048552" s="148"/>
      <c r="AZ1048552" s="148"/>
      <c r="BA1048552" s="148"/>
      <c r="BB1048552" s="148"/>
      <c r="BC1048552" s="148"/>
      <c r="BD1048552" s="148"/>
      <c r="BE1048552" s="148"/>
      <c r="BF1048552" s="148"/>
      <c r="BG1048552" s="148"/>
      <c r="BH1048552" s="148"/>
    </row>
    <row r="1048561" spans="16:16" x14ac:dyDescent="0.3">
      <c r="P1048561" s="57"/>
    </row>
  </sheetData>
  <mergeCells count="59">
    <mergeCell ref="N96:O96"/>
    <mergeCell ref="N97:O97"/>
    <mergeCell ref="N98:P98"/>
    <mergeCell ref="N99:O99"/>
    <mergeCell ref="N90:O90"/>
    <mergeCell ref="N91:O91"/>
    <mergeCell ref="N92:O92"/>
    <mergeCell ref="N93:O93"/>
    <mergeCell ref="N94:O94"/>
    <mergeCell ref="N95:O95"/>
    <mergeCell ref="N78:O78"/>
    <mergeCell ref="N89:O89"/>
    <mergeCell ref="N79:O79"/>
    <mergeCell ref="N80:O80"/>
    <mergeCell ref="N81:O81"/>
    <mergeCell ref="N82:O82"/>
    <mergeCell ref="N83:O83"/>
    <mergeCell ref="N84:O84"/>
    <mergeCell ref="N85:O85"/>
    <mergeCell ref="N86:O86"/>
    <mergeCell ref="N87:O87"/>
    <mergeCell ref="N88:O88"/>
    <mergeCell ref="N73:O73"/>
    <mergeCell ref="N74:O74"/>
    <mergeCell ref="N75:O75"/>
    <mergeCell ref="N76:O76"/>
    <mergeCell ref="N77:O77"/>
    <mergeCell ref="A52:P52"/>
    <mergeCell ref="D53:J53"/>
    <mergeCell ref="D54:J54"/>
    <mergeCell ref="D55:J55"/>
    <mergeCell ref="A56:J56"/>
    <mergeCell ref="A58:D58"/>
    <mergeCell ref="E58:G113"/>
    <mergeCell ref="N58:P58"/>
    <mergeCell ref="N59:O59"/>
    <mergeCell ref="N60:O60"/>
    <mergeCell ref="N65:O65"/>
    <mergeCell ref="N66:O66"/>
    <mergeCell ref="N67:O67"/>
    <mergeCell ref="N68:O68"/>
    <mergeCell ref="N69:O69"/>
    <mergeCell ref="N70:O70"/>
    <mergeCell ref="N71:O71"/>
    <mergeCell ref="N61:P62"/>
    <mergeCell ref="N63:P63"/>
    <mergeCell ref="N64:O64"/>
    <mergeCell ref="N72:O72"/>
    <mergeCell ref="D48:J48"/>
    <mergeCell ref="D49:J49"/>
    <mergeCell ref="A50:J50"/>
    <mergeCell ref="N50:P50"/>
    <mergeCell ref="A51:N51"/>
    <mergeCell ref="A1:P1"/>
    <mergeCell ref="A2:P2"/>
    <mergeCell ref="A6:B6"/>
    <mergeCell ref="A46:B46"/>
    <mergeCell ref="A47:P47"/>
    <mergeCell ref="A7:P7"/>
  </mergeCells>
  <pageMargins left="0" right="0" top="0" bottom="0" header="0.31496062992125984" footer="0.31496062992125984"/>
  <pageSetup paperSize="9" scale="1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DEA12-7917-469B-B6E2-BE1CFC127C97}">
  <sheetPr>
    <pageSetUpPr fitToPage="1"/>
  </sheetPr>
  <dimension ref="A1:BH1048543"/>
  <sheetViews>
    <sheetView topLeftCell="E1" zoomScale="60" zoomScaleNormal="60" workbookViewId="0">
      <selection activeCell="L4" sqref="L4"/>
    </sheetView>
  </sheetViews>
  <sheetFormatPr defaultColWidth="9.109375" defaultRowHeight="13.8" x14ac:dyDescent="0.3"/>
  <cols>
    <col min="1" max="1" width="50.109375" style="148" bestFit="1" customWidth="1"/>
    <col min="2" max="2" width="11.5546875" style="148" customWidth="1"/>
    <col min="3" max="3" width="19.88671875" style="148" customWidth="1"/>
    <col min="4" max="4" width="19.44140625" style="148" customWidth="1"/>
    <col min="5" max="5" width="21.33203125" style="148" customWidth="1"/>
    <col min="6" max="7" width="19.109375" style="148" customWidth="1"/>
    <col min="8" max="9" width="17.5546875" style="148" customWidth="1"/>
    <col min="10" max="10" width="15.5546875" style="148" bestFit="1" customWidth="1"/>
    <col min="11" max="11" width="21.44140625" style="150" customWidth="1"/>
    <col min="12" max="12" width="17.109375" style="150" bestFit="1" customWidth="1"/>
    <col min="13" max="13" width="19.44140625" style="150" bestFit="1" customWidth="1"/>
    <col min="14" max="14" width="130.109375" style="150" bestFit="1" customWidth="1"/>
    <col min="15" max="15" width="9.5546875" style="150" customWidth="1"/>
    <col min="16" max="16" width="18.5546875" style="148" customWidth="1"/>
    <col min="17" max="17" width="40.109375" style="70" bestFit="1" customWidth="1"/>
    <col min="18" max="18" width="13.109375" style="70" bestFit="1" customWidth="1"/>
    <col min="19" max="47" width="9.109375" style="70"/>
    <col min="48" max="49" width="9.109375" style="69"/>
    <col min="50" max="16384" width="9.109375" style="148"/>
  </cols>
  <sheetData>
    <row r="1" spans="1:42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</row>
    <row r="2" spans="1:42" s="10" customFormat="1" ht="28.5" customHeight="1" x14ac:dyDescent="0.3">
      <c r="A2" s="571" t="s">
        <v>796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3"/>
      <c r="Q2" s="211"/>
    </row>
    <row r="3" spans="1:42" s="10" customFormat="1" ht="30.75" customHeight="1" x14ac:dyDescent="0.3">
      <c r="A3" s="83" t="s">
        <v>3</v>
      </c>
      <c r="B3" s="83" t="s">
        <v>0</v>
      </c>
      <c r="C3" s="84" t="s">
        <v>1</v>
      </c>
      <c r="D3" s="84" t="s">
        <v>68</v>
      </c>
      <c r="E3" s="84" t="s">
        <v>69</v>
      </c>
      <c r="F3" s="85" t="s">
        <v>2</v>
      </c>
      <c r="G3" s="85" t="s">
        <v>592</v>
      </c>
      <c r="H3" s="84" t="s">
        <v>6</v>
      </c>
      <c r="I3" s="84" t="s">
        <v>764</v>
      </c>
      <c r="J3" s="84" t="s">
        <v>7</v>
      </c>
      <c r="K3" s="84" t="s">
        <v>4</v>
      </c>
      <c r="L3" s="84" t="s">
        <v>5</v>
      </c>
      <c r="M3" s="84" t="s">
        <v>70</v>
      </c>
      <c r="N3" s="83" t="s">
        <v>59</v>
      </c>
      <c r="O3" s="86" t="s">
        <v>8</v>
      </c>
      <c r="P3" s="86" t="s">
        <v>10</v>
      </c>
    </row>
    <row r="4" spans="1:42" s="204" customFormat="1" x14ac:dyDescent="0.3">
      <c r="A4" s="193" t="s">
        <v>791</v>
      </c>
      <c r="B4" s="193">
        <v>7</v>
      </c>
      <c r="C4" s="192">
        <f>'GERAL 2023'!G35</f>
        <v>610</v>
      </c>
      <c r="D4" s="192">
        <v>0</v>
      </c>
      <c r="E4" s="196">
        <f>C4-D4</f>
        <v>610</v>
      </c>
      <c r="F4" s="192">
        <v>50</v>
      </c>
      <c r="G4" s="192">
        <f>((1347.3/27))</f>
        <v>49.9</v>
      </c>
      <c r="H4" s="192">
        <f>'GERAL 2023'!I35</f>
        <v>1.2516548463356973</v>
      </c>
      <c r="I4" s="192">
        <f>(193.5/27)/6</f>
        <v>1.1944444444444444</v>
      </c>
      <c r="J4" s="192">
        <v>19.760000000000002</v>
      </c>
      <c r="K4" s="191">
        <f>SUM(E4:J4)</f>
        <v>732.10609929078009</v>
      </c>
      <c r="L4" s="192">
        <f>60%*(C4+F4)</f>
        <v>396</v>
      </c>
      <c r="M4" s="192">
        <f>K4-L4</f>
        <v>336.10609929078009</v>
      </c>
      <c r="N4" s="193" t="s">
        <v>801</v>
      </c>
      <c r="O4" s="197">
        <v>10</v>
      </c>
      <c r="P4" s="194">
        <v>11</v>
      </c>
      <c r="Q4" s="200"/>
      <c r="R4" s="200"/>
      <c r="S4" s="200"/>
      <c r="T4" s="200"/>
      <c r="U4" s="200"/>
      <c r="V4" s="200"/>
      <c r="W4" s="200"/>
      <c r="X4" s="200"/>
      <c r="Y4" s="200"/>
    </row>
    <row r="5" spans="1:42" s="199" customFormat="1" x14ac:dyDescent="0.3">
      <c r="A5" s="195" t="s">
        <v>788</v>
      </c>
      <c r="B5" s="193">
        <v>21</v>
      </c>
      <c r="C5" s="192">
        <f>'GERAL 2023'!G39</f>
        <v>580</v>
      </c>
      <c r="D5" s="192">
        <v>0</v>
      </c>
      <c r="E5" s="192">
        <f>C5-D5</f>
        <v>580</v>
      </c>
      <c r="F5" s="196">
        <v>25</v>
      </c>
      <c r="G5" s="192">
        <f>((1347.3/27))</f>
        <v>49.9</v>
      </c>
      <c r="H5" s="192">
        <f>'GERAL 2023'!I39</f>
        <v>1.2516548463356973</v>
      </c>
      <c r="I5" s="192">
        <f>(193.5/27)/6</f>
        <v>1.1944444444444444</v>
      </c>
      <c r="J5" s="192">
        <v>21</v>
      </c>
      <c r="K5" s="191">
        <f>SUM(E5:J5)</f>
        <v>678.3460992907801</v>
      </c>
      <c r="L5" s="192">
        <f>60%*(C5+F5)</f>
        <v>363</v>
      </c>
      <c r="M5" s="192">
        <f>K5-L5</f>
        <v>315.3460992907801</v>
      </c>
      <c r="N5" s="193" t="s">
        <v>801</v>
      </c>
      <c r="O5" s="197">
        <v>10</v>
      </c>
      <c r="P5" s="197">
        <v>11</v>
      </c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8"/>
      <c r="AK5" s="198"/>
      <c r="AL5" s="198"/>
      <c r="AM5" s="198"/>
      <c r="AN5" s="198"/>
      <c r="AO5" s="198"/>
      <c r="AP5" s="198"/>
    </row>
    <row r="6" spans="1:42" s="10" customFormat="1" x14ac:dyDescent="0.3">
      <c r="A6" s="518" t="s">
        <v>4</v>
      </c>
      <c r="B6" s="518"/>
      <c r="C6" s="109">
        <f>SUM(C4:C5)</f>
        <v>1190</v>
      </c>
      <c r="D6" s="109">
        <f t="shared" ref="D6:M6" si="0">SUM(D4:D5)</f>
        <v>0</v>
      </c>
      <c r="E6" s="109">
        <f t="shared" si="0"/>
        <v>1190</v>
      </c>
      <c r="F6" s="109">
        <f t="shared" si="0"/>
        <v>75</v>
      </c>
      <c r="G6" s="109">
        <f t="shared" si="0"/>
        <v>99.8</v>
      </c>
      <c r="H6" s="109">
        <f t="shared" si="0"/>
        <v>2.5033096926713947</v>
      </c>
      <c r="I6" s="109">
        <f t="shared" si="0"/>
        <v>2.3888888888888888</v>
      </c>
      <c r="J6" s="109">
        <f t="shared" si="0"/>
        <v>40.760000000000005</v>
      </c>
      <c r="K6" s="109">
        <f t="shared" si="0"/>
        <v>1410.4521985815602</v>
      </c>
      <c r="L6" s="109">
        <f t="shared" si="0"/>
        <v>759</v>
      </c>
      <c r="M6" s="109">
        <f t="shared" si="0"/>
        <v>651.4521985815602</v>
      </c>
      <c r="N6" s="90"/>
      <c r="O6" s="3"/>
      <c r="P6" s="3"/>
    </row>
    <row r="7" spans="1:42" s="10" customFormat="1" ht="28.5" customHeight="1" x14ac:dyDescent="0.3">
      <c r="A7" s="571" t="s">
        <v>797</v>
      </c>
      <c r="B7" s="572"/>
      <c r="C7" s="572"/>
      <c r="D7" s="572"/>
      <c r="E7" s="572"/>
      <c r="F7" s="572"/>
      <c r="G7" s="572"/>
      <c r="H7" s="572"/>
      <c r="I7" s="572"/>
      <c r="J7" s="572"/>
      <c r="K7" s="572"/>
      <c r="L7" s="572"/>
      <c r="M7" s="572"/>
      <c r="N7" s="572"/>
      <c r="O7" s="572"/>
      <c r="P7" s="573"/>
    </row>
    <row r="8" spans="1:42" s="11" customFormat="1" ht="34.5" customHeight="1" x14ac:dyDescent="0.3">
      <c r="A8" s="83" t="s">
        <v>3</v>
      </c>
      <c r="B8" s="83" t="s">
        <v>0</v>
      </c>
      <c r="C8" s="84" t="s">
        <v>1</v>
      </c>
      <c r="D8" s="84" t="s">
        <v>68</v>
      </c>
      <c r="E8" s="84" t="s">
        <v>69</v>
      </c>
      <c r="F8" s="85" t="s">
        <v>2</v>
      </c>
      <c r="G8" s="85" t="s">
        <v>592</v>
      </c>
      <c r="H8" s="84" t="s">
        <v>6</v>
      </c>
      <c r="I8" s="84" t="s">
        <v>764</v>
      </c>
      <c r="J8" s="84" t="s">
        <v>7</v>
      </c>
      <c r="K8" s="84" t="s">
        <v>4</v>
      </c>
      <c r="L8" s="84" t="s">
        <v>5</v>
      </c>
      <c r="M8" s="84" t="s">
        <v>70</v>
      </c>
      <c r="N8" s="83" t="s">
        <v>59</v>
      </c>
      <c r="O8" s="86" t="s">
        <v>8</v>
      </c>
      <c r="P8" s="86" t="s">
        <v>10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</row>
    <row r="9" spans="1:42" s="199" customFormat="1" ht="15.75" customHeight="1" x14ac:dyDescent="0.3">
      <c r="A9" s="195" t="s">
        <v>766</v>
      </c>
      <c r="B9" s="193">
        <v>1</v>
      </c>
      <c r="C9" s="192">
        <v>0</v>
      </c>
      <c r="D9" s="192">
        <v>0</v>
      </c>
      <c r="E9" s="192">
        <f t="shared" ref="E9:E25" si="1">C9-D9</f>
        <v>0</v>
      </c>
      <c r="F9" s="196">
        <v>0</v>
      </c>
      <c r="G9" s="192">
        <f>((1347.3/27))</f>
        <v>49.9</v>
      </c>
      <c r="H9" s="192">
        <v>0</v>
      </c>
      <c r="I9" s="192">
        <v>0</v>
      </c>
      <c r="J9" s="192">
        <v>0</v>
      </c>
      <c r="K9" s="191">
        <f t="shared" ref="K9:K35" si="2">SUM(E9:J9)</f>
        <v>49.9</v>
      </c>
      <c r="L9" s="192">
        <f>7%*K9</f>
        <v>3.4930000000000003</v>
      </c>
      <c r="M9" s="192">
        <f>K9-L9</f>
        <v>46.406999999999996</v>
      </c>
      <c r="N9" s="196" t="s">
        <v>800</v>
      </c>
      <c r="O9" s="197">
        <v>10</v>
      </c>
      <c r="P9" s="197">
        <v>11</v>
      </c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</row>
    <row r="10" spans="1:42" s="203" customFormat="1" x14ac:dyDescent="0.3">
      <c r="A10" s="193" t="s">
        <v>758</v>
      </c>
      <c r="B10" s="194">
        <v>2</v>
      </c>
      <c r="C10" s="196">
        <f>'GERAL 2022'!G4</f>
        <v>580</v>
      </c>
      <c r="D10" s="196">
        <v>0</v>
      </c>
      <c r="E10" s="196">
        <f t="shared" si="1"/>
        <v>580</v>
      </c>
      <c r="F10" s="196">
        <v>50</v>
      </c>
      <c r="G10" s="192">
        <f t="shared" ref="G10:G35" si="3">(1347.3/27)</f>
        <v>49.9</v>
      </c>
      <c r="H10" s="192">
        <f>D52</f>
        <v>1.2516548463356973</v>
      </c>
      <c r="I10" s="192">
        <f>(193.5/27)/6</f>
        <v>1.1944444444444444</v>
      </c>
      <c r="J10" s="196">
        <v>19.7</v>
      </c>
      <c r="K10" s="191">
        <f t="shared" si="2"/>
        <v>702.04609929078015</v>
      </c>
      <c r="L10" s="192">
        <f>7%*K10</f>
        <v>49.143226950354617</v>
      </c>
      <c r="M10" s="192">
        <f t="shared" ref="M10:M34" si="4">K10-L10</f>
        <v>652.90287234042557</v>
      </c>
      <c r="N10" s="193" t="s">
        <v>801</v>
      </c>
      <c r="O10" s="197">
        <v>10</v>
      </c>
      <c r="P10" s="197">
        <v>11</v>
      </c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1"/>
      <c r="AM10" s="202"/>
      <c r="AN10" s="202"/>
      <c r="AO10" s="202"/>
      <c r="AP10" s="202"/>
    </row>
    <row r="11" spans="1:42" s="204" customFormat="1" x14ac:dyDescent="0.3">
      <c r="A11" s="193" t="s">
        <v>753</v>
      </c>
      <c r="B11" s="194">
        <v>3</v>
      </c>
      <c r="C11" s="196">
        <f>'GERAL 2022'!G5</f>
        <v>550</v>
      </c>
      <c r="D11" s="196">
        <v>0</v>
      </c>
      <c r="E11" s="196">
        <f t="shared" si="1"/>
        <v>550</v>
      </c>
      <c r="F11" s="196">
        <v>0</v>
      </c>
      <c r="G11" s="192">
        <f t="shared" si="3"/>
        <v>49.9</v>
      </c>
      <c r="H11" s="192">
        <f>D54</f>
        <v>1.2516548463356973</v>
      </c>
      <c r="I11" s="192">
        <f t="shared" ref="I11:I34" si="5">(193.5/27)/6</f>
        <v>1.1944444444444444</v>
      </c>
      <c r="J11" s="196">
        <v>19.64</v>
      </c>
      <c r="K11" s="191">
        <f t="shared" si="2"/>
        <v>621.98609929078009</v>
      </c>
      <c r="L11" s="192">
        <f t="shared" ref="L11:L35" si="6">7%*K11</f>
        <v>43.539026950354611</v>
      </c>
      <c r="M11" s="192">
        <f t="shared" si="4"/>
        <v>578.44707234042551</v>
      </c>
      <c r="N11" s="193" t="s">
        <v>801</v>
      </c>
      <c r="O11" s="197">
        <v>10</v>
      </c>
      <c r="P11" s="197">
        <v>11</v>
      </c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</row>
    <row r="12" spans="1:42" s="199" customFormat="1" x14ac:dyDescent="0.3">
      <c r="A12" s="193" t="s">
        <v>743</v>
      </c>
      <c r="B12" s="193">
        <v>4</v>
      </c>
      <c r="C12" s="192">
        <f>(550+(3.78823%*550))/31*17</f>
        <v>313.03869370967743</v>
      </c>
      <c r="D12" s="192">
        <v>0</v>
      </c>
      <c r="E12" s="192">
        <f t="shared" si="1"/>
        <v>313.03869370967743</v>
      </c>
      <c r="F12" s="192">
        <f>50/31*17</f>
        <v>27.419354838709676</v>
      </c>
      <c r="G12" s="192">
        <f>((1347.3/27))/31*17</f>
        <v>27.364516129032257</v>
      </c>
      <c r="H12" s="192">
        <f>D56/31*17</f>
        <v>0.68639136734538242</v>
      </c>
      <c r="I12" s="192">
        <f>((193.5/27)/6)/31*17</f>
        <v>0.65501792114695334</v>
      </c>
      <c r="J12" s="192">
        <v>0</v>
      </c>
      <c r="K12" s="191">
        <f t="shared" si="2"/>
        <v>369.16397396591174</v>
      </c>
      <c r="L12" s="192">
        <f t="shared" si="6"/>
        <v>25.841478177613823</v>
      </c>
      <c r="M12" s="192">
        <f t="shared" si="4"/>
        <v>343.32249578829794</v>
      </c>
      <c r="N12" s="193" t="s">
        <v>808</v>
      </c>
      <c r="O12" s="197">
        <v>10</v>
      </c>
      <c r="P12" s="194">
        <v>11</v>
      </c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</row>
    <row r="13" spans="1:42" s="199" customFormat="1" x14ac:dyDescent="0.3">
      <c r="A13" s="193" t="s">
        <v>744</v>
      </c>
      <c r="B13" s="193">
        <v>5</v>
      </c>
      <c r="C13" s="192">
        <f>'GERAL 2023'!G7</f>
        <v>580</v>
      </c>
      <c r="D13" s="192">
        <v>0</v>
      </c>
      <c r="E13" s="192">
        <f>C13-D13</f>
        <v>580</v>
      </c>
      <c r="F13" s="192">
        <f>50</f>
        <v>50</v>
      </c>
      <c r="G13" s="192">
        <f t="shared" si="3"/>
        <v>49.9</v>
      </c>
      <c r="H13" s="192">
        <f>D58</f>
        <v>1.2516548463356973</v>
      </c>
      <c r="I13" s="192">
        <f t="shared" si="5"/>
        <v>1.1944444444444444</v>
      </c>
      <c r="J13" s="192">
        <v>0</v>
      </c>
      <c r="K13" s="191">
        <f t="shared" si="2"/>
        <v>682.3460992907801</v>
      </c>
      <c r="L13" s="192">
        <f t="shared" si="6"/>
        <v>47.764226950354612</v>
      </c>
      <c r="M13" s="192">
        <f t="shared" si="4"/>
        <v>634.58187234042543</v>
      </c>
      <c r="N13" s="193" t="s">
        <v>802</v>
      </c>
      <c r="O13" s="197">
        <v>10</v>
      </c>
      <c r="P13" s="197">
        <v>11</v>
      </c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</row>
    <row r="14" spans="1:42" s="206" customFormat="1" x14ac:dyDescent="0.3">
      <c r="A14" s="193" t="s">
        <v>745</v>
      </c>
      <c r="B14" s="193">
        <v>6</v>
      </c>
      <c r="C14" s="196">
        <f>'GERAL 2023'!G8</f>
        <v>680</v>
      </c>
      <c r="D14" s="196">
        <v>0</v>
      </c>
      <c r="E14" s="192">
        <f>C14-D14</f>
        <v>680</v>
      </c>
      <c r="F14" s="192">
        <f>100</f>
        <v>100</v>
      </c>
      <c r="G14" s="192">
        <f t="shared" si="3"/>
        <v>49.9</v>
      </c>
      <c r="H14" s="192">
        <f>D60</f>
        <v>1.7523167848699763</v>
      </c>
      <c r="I14" s="192">
        <f t="shared" si="5"/>
        <v>1.1944444444444444</v>
      </c>
      <c r="J14" s="192">
        <v>0</v>
      </c>
      <c r="K14" s="191">
        <f t="shared" si="2"/>
        <v>832.84676122931444</v>
      </c>
      <c r="L14" s="192">
        <f t="shared" si="6"/>
        <v>58.299273286052014</v>
      </c>
      <c r="M14" s="192">
        <f>K14-L14</f>
        <v>774.54748794326247</v>
      </c>
      <c r="N14" s="193" t="s">
        <v>802</v>
      </c>
      <c r="O14" s="197">
        <v>10</v>
      </c>
      <c r="P14" s="197">
        <v>11</v>
      </c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</row>
    <row r="15" spans="1:42" s="199" customFormat="1" x14ac:dyDescent="0.3">
      <c r="A15" s="193" t="s">
        <v>791</v>
      </c>
      <c r="B15" s="193">
        <v>7</v>
      </c>
      <c r="C15" s="192">
        <v>0</v>
      </c>
      <c r="D15" s="192">
        <v>0</v>
      </c>
      <c r="E15" s="196">
        <f>C15-D15</f>
        <v>0</v>
      </c>
      <c r="F15" s="192">
        <v>0</v>
      </c>
      <c r="G15" s="192">
        <v>0</v>
      </c>
      <c r="H15" s="192">
        <v>0</v>
      </c>
      <c r="I15" s="192">
        <v>0</v>
      </c>
      <c r="J15" s="192">
        <v>0</v>
      </c>
      <c r="K15" s="191">
        <f t="shared" si="2"/>
        <v>0</v>
      </c>
      <c r="L15" s="192">
        <f t="shared" si="6"/>
        <v>0</v>
      </c>
      <c r="M15" s="192">
        <f t="shared" si="4"/>
        <v>0</v>
      </c>
      <c r="N15" s="193" t="s">
        <v>108</v>
      </c>
      <c r="O15" s="197"/>
      <c r="P15" s="197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</row>
    <row r="16" spans="1:42" s="199" customFormat="1" x14ac:dyDescent="0.3">
      <c r="A16" s="193" t="s">
        <v>746</v>
      </c>
      <c r="B16" s="193">
        <v>8</v>
      </c>
      <c r="C16" s="192">
        <f>'GERAL 2022'!G37</f>
        <v>580</v>
      </c>
      <c r="D16" s="192">
        <v>0</v>
      </c>
      <c r="E16" s="196">
        <f t="shared" si="1"/>
        <v>580</v>
      </c>
      <c r="F16" s="192">
        <v>50</v>
      </c>
      <c r="G16" s="192">
        <f t="shared" si="3"/>
        <v>49.9</v>
      </c>
      <c r="H16" s="192">
        <f>D64</f>
        <v>1.2516548463356973</v>
      </c>
      <c r="I16" s="192">
        <f t="shared" si="5"/>
        <v>1.1944444444444444</v>
      </c>
      <c r="J16" s="192">
        <v>19.68</v>
      </c>
      <c r="K16" s="191">
        <f t="shared" si="2"/>
        <v>702.02609929078005</v>
      </c>
      <c r="L16" s="192">
        <f t="shared" si="6"/>
        <v>49.141826950354606</v>
      </c>
      <c r="M16" s="192">
        <f t="shared" si="4"/>
        <v>652.88427234042547</v>
      </c>
      <c r="N16" s="193" t="s">
        <v>807</v>
      </c>
      <c r="O16" s="207">
        <v>10</v>
      </c>
      <c r="P16" s="197">
        <v>11</v>
      </c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</row>
    <row r="17" spans="1:47" s="199" customFormat="1" x14ac:dyDescent="0.3">
      <c r="A17" s="193" t="s">
        <v>754</v>
      </c>
      <c r="B17" s="193">
        <v>9</v>
      </c>
      <c r="C17" s="192">
        <f>('GERAL 2022'!G11+(5.45129%*580))/31*10</f>
        <v>197.29596193548386</v>
      </c>
      <c r="D17" s="192">
        <v>0</v>
      </c>
      <c r="E17" s="196">
        <f t="shared" si="1"/>
        <v>197.29596193548386</v>
      </c>
      <c r="F17" s="192">
        <f>25/31*10</f>
        <v>8.064516129032258</v>
      </c>
      <c r="G17" s="192">
        <f>((1347.3/27))/31*10</f>
        <v>16.096774193548388</v>
      </c>
      <c r="H17" s="192">
        <f>D66/31*10</f>
        <v>0.4037596278502249</v>
      </c>
      <c r="I17" s="192">
        <f>((193.5/27)/6)/31*10</f>
        <v>0.38530465949820786</v>
      </c>
      <c r="J17" s="192">
        <v>0</v>
      </c>
      <c r="K17" s="191">
        <f t="shared" si="2"/>
        <v>222.24631654541295</v>
      </c>
      <c r="L17" s="192">
        <f t="shared" si="6"/>
        <v>15.557242158178909</v>
      </c>
      <c r="M17" s="192">
        <f t="shared" si="4"/>
        <v>206.68907438723403</v>
      </c>
      <c r="N17" s="193" t="s">
        <v>810</v>
      </c>
      <c r="O17" s="207">
        <v>10</v>
      </c>
      <c r="P17" s="197">
        <v>11</v>
      </c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</row>
    <row r="18" spans="1:47" s="148" customFormat="1" x14ac:dyDescent="0.3">
      <c r="A18" s="194" t="s">
        <v>739</v>
      </c>
      <c r="B18" s="194">
        <v>10</v>
      </c>
      <c r="C18" s="192">
        <f>'GERAL 2022'!G38</f>
        <v>550</v>
      </c>
      <c r="D18" s="192">
        <v>0</v>
      </c>
      <c r="E18" s="196">
        <f t="shared" si="1"/>
        <v>550</v>
      </c>
      <c r="F18" s="192">
        <v>50</v>
      </c>
      <c r="G18" s="192">
        <f t="shared" si="3"/>
        <v>49.9</v>
      </c>
      <c r="H18" s="192">
        <f>D68</f>
        <v>1.2516548463356973</v>
      </c>
      <c r="I18" s="192">
        <f t="shared" si="5"/>
        <v>1.1944444444444444</v>
      </c>
      <c r="J18" s="192">
        <v>19.64</v>
      </c>
      <c r="K18" s="191">
        <f t="shared" si="2"/>
        <v>671.98609929078009</v>
      </c>
      <c r="L18" s="192">
        <f t="shared" si="6"/>
        <v>47.039026950354611</v>
      </c>
      <c r="M18" s="192">
        <f t="shared" si="4"/>
        <v>624.94707234042551</v>
      </c>
      <c r="N18" s="193" t="s">
        <v>799</v>
      </c>
      <c r="O18" s="197">
        <v>10</v>
      </c>
      <c r="P18" s="194">
        <v>11</v>
      </c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  <c r="AI18" s="208"/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  <c r="AT18" s="208"/>
      <c r="AU18" s="208"/>
    </row>
    <row r="19" spans="1:47" s="148" customFormat="1" x14ac:dyDescent="0.3">
      <c r="A19" s="194"/>
      <c r="B19" s="194">
        <v>11</v>
      </c>
      <c r="C19" s="192">
        <v>0</v>
      </c>
      <c r="D19" s="192">
        <v>0</v>
      </c>
      <c r="E19" s="196">
        <f t="shared" si="1"/>
        <v>0</v>
      </c>
      <c r="F19" s="192">
        <v>0</v>
      </c>
      <c r="G19" s="192">
        <v>0</v>
      </c>
      <c r="H19" s="192">
        <v>0</v>
      </c>
      <c r="I19" s="192">
        <v>0</v>
      </c>
      <c r="J19" s="192">
        <v>0</v>
      </c>
      <c r="K19" s="191">
        <f t="shared" si="2"/>
        <v>0</v>
      </c>
      <c r="L19" s="192">
        <f>7%*K19</f>
        <v>0</v>
      </c>
      <c r="M19" s="192">
        <f t="shared" si="4"/>
        <v>0</v>
      </c>
      <c r="N19" s="196" t="s">
        <v>525</v>
      </c>
      <c r="O19" s="197"/>
      <c r="P19" s="194"/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8"/>
      <c r="AR19" s="208"/>
      <c r="AS19" s="208"/>
      <c r="AT19" s="208"/>
      <c r="AU19" s="208"/>
    </row>
    <row r="20" spans="1:47" s="199" customFormat="1" x14ac:dyDescent="0.3">
      <c r="A20" s="193" t="s">
        <v>740</v>
      </c>
      <c r="B20" s="193">
        <v>12</v>
      </c>
      <c r="C20" s="192">
        <f>'GERAL 2022'!G14</f>
        <v>550</v>
      </c>
      <c r="D20" s="192">
        <v>0</v>
      </c>
      <c r="E20" s="196">
        <f t="shared" si="1"/>
        <v>550</v>
      </c>
      <c r="F20" s="196">
        <v>25</v>
      </c>
      <c r="G20" s="192">
        <f t="shared" si="3"/>
        <v>49.9</v>
      </c>
      <c r="H20" s="192">
        <f>D72</f>
        <v>1.2516548463356973</v>
      </c>
      <c r="I20" s="192">
        <f t="shared" si="5"/>
        <v>1.1944444444444444</v>
      </c>
      <c r="J20" s="196">
        <v>19.64</v>
      </c>
      <c r="K20" s="191">
        <f t="shared" si="2"/>
        <v>646.98609929078009</v>
      </c>
      <c r="L20" s="192">
        <f t="shared" si="6"/>
        <v>45.289026950354611</v>
      </c>
      <c r="M20" s="192">
        <f t="shared" si="4"/>
        <v>601.69707234042551</v>
      </c>
      <c r="N20" s="193" t="s">
        <v>799</v>
      </c>
      <c r="O20" s="197">
        <v>10</v>
      </c>
      <c r="P20" s="197">
        <v>11</v>
      </c>
      <c r="Q20" s="198"/>
      <c r="R20" s="198"/>
      <c r="S20" s="198"/>
      <c r="T20" s="198"/>
      <c r="U20" s="198"/>
      <c r="V20" s="198"/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</row>
    <row r="21" spans="1:47" s="206" customFormat="1" x14ac:dyDescent="0.3">
      <c r="A21" s="193" t="s">
        <v>756</v>
      </c>
      <c r="B21" s="193">
        <v>13</v>
      </c>
      <c r="C21" s="196">
        <f>'GERAL 2022'!G15</f>
        <v>550</v>
      </c>
      <c r="D21" s="196">
        <v>0</v>
      </c>
      <c r="E21" s="196">
        <f t="shared" si="1"/>
        <v>550</v>
      </c>
      <c r="F21" s="192">
        <v>0</v>
      </c>
      <c r="G21" s="192">
        <f t="shared" si="3"/>
        <v>49.9</v>
      </c>
      <c r="H21" s="192">
        <f>D74</f>
        <v>1.2516548463356973</v>
      </c>
      <c r="I21" s="192">
        <f t="shared" si="5"/>
        <v>1.1944444444444444</v>
      </c>
      <c r="J21" s="192">
        <f>D73</f>
        <v>19.641666666666666</v>
      </c>
      <c r="K21" s="191">
        <f t="shared" si="2"/>
        <v>621.98776595744675</v>
      </c>
      <c r="L21" s="192">
        <f t="shared" si="6"/>
        <v>43.539143617021274</v>
      </c>
      <c r="M21" s="192">
        <f t="shared" si="4"/>
        <v>578.44862234042546</v>
      </c>
      <c r="N21" s="193" t="s">
        <v>803</v>
      </c>
      <c r="O21" s="197">
        <v>10</v>
      </c>
      <c r="P21" s="197">
        <v>11</v>
      </c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</row>
    <row r="22" spans="1:47" s="148" customFormat="1" x14ac:dyDescent="0.3">
      <c r="A22" s="194" t="s">
        <v>747</v>
      </c>
      <c r="B22" s="194">
        <v>14</v>
      </c>
      <c r="C22" s="192">
        <f>'GERAL 2022'!G39</f>
        <v>580</v>
      </c>
      <c r="D22" s="192">
        <v>0</v>
      </c>
      <c r="E22" s="196">
        <f t="shared" si="1"/>
        <v>580</v>
      </c>
      <c r="F22" s="192">
        <f>50</f>
        <v>50</v>
      </c>
      <c r="G22" s="192">
        <f t="shared" si="3"/>
        <v>49.9</v>
      </c>
      <c r="H22" s="192">
        <f>D76</f>
        <v>1.2516548463356973</v>
      </c>
      <c r="I22" s="192">
        <f t="shared" si="5"/>
        <v>1.1944444444444444</v>
      </c>
      <c r="J22" s="192">
        <v>0</v>
      </c>
      <c r="K22" s="191">
        <f t="shared" si="2"/>
        <v>682.3460992907801</v>
      </c>
      <c r="L22" s="192">
        <f t="shared" si="6"/>
        <v>47.764226950354612</v>
      </c>
      <c r="M22" s="192">
        <f t="shared" si="4"/>
        <v>634.58187234042543</v>
      </c>
      <c r="N22" s="193" t="s">
        <v>802</v>
      </c>
      <c r="O22" s="197">
        <v>10</v>
      </c>
      <c r="P22" s="194">
        <v>11</v>
      </c>
      <c r="Q22" s="208"/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  <c r="AD22" s="208"/>
      <c r="AE22" s="208"/>
      <c r="AF22" s="208"/>
      <c r="AG22" s="208"/>
      <c r="AH22" s="208"/>
      <c r="AI22" s="208"/>
      <c r="AJ22" s="208"/>
      <c r="AK22" s="208"/>
      <c r="AL22" s="208"/>
      <c r="AM22" s="208"/>
      <c r="AN22" s="208"/>
      <c r="AO22" s="208"/>
      <c r="AP22" s="208"/>
      <c r="AQ22" s="208"/>
      <c r="AR22" s="208"/>
      <c r="AS22" s="208"/>
      <c r="AT22" s="208"/>
      <c r="AU22" s="208"/>
    </row>
    <row r="23" spans="1:47" s="204" customFormat="1" x14ac:dyDescent="0.3">
      <c r="A23" s="193" t="s">
        <v>748</v>
      </c>
      <c r="B23" s="193">
        <v>15</v>
      </c>
      <c r="C23" s="192">
        <f>'GERAL 2023'!G36</f>
        <v>680</v>
      </c>
      <c r="D23" s="192">
        <v>0</v>
      </c>
      <c r="E23" s="196">
        <f t="shared" si="1"/>
        <v>680</v>
      </c>
      <c r="F23" s="192">
        <v>25</v>
      </c>
      <c r="G23" s="192">
        <f t="shared" si="3"/>
        <v>49.9</v>
      </c>
      <c r="H23" s="192">
        <f>'GERAL 2023'!I36</f>
        <v>1.7523167848699763</v>
      </c>
      <c r="I23" s="192">
        <f t="shared" si="5"/>
        <v>1.1944444444444444</v>
      </c>
      <c r="J23" s="192">
        <f>'GERAL 2023'!K36</f>
        <v>19.836666666666666</v>
      </c>
      <c r="K23" s="191">
        <f t="shared" si="2"/>
        <v>777.68342789598114</v>
      </c>
      <c r="L23" s="192">
        <f t="shared" si="6"/>
        <v>54.437839952718683</v>
      </c>
      <c r="M23" s="192">
        <f t="shared" si="4"/>
        <v>723.24558794326242</v>
      </c>
      <c r="N23" s="193" t="s">
        <v>804</v>
      </c>
      <c r="O23" s="197">
        <v>10</v>
      </c>
      <c r="P23" s="194">
        <v>11</v>
      </c>
      <c r="Q23" s="200"/>
      <c r="R23" s="200"/>
      <c r="S23" s="200"/>
      <c r="T23" s="200"/>
      <c r="U23" s="200"/>
      <c r="V23" s="200"/>
      <c r="W23" s="200"/>
      <c r="X23" s="200"/>
      <c r="Y23" s="200"/>
    </row>
    <row r="24" spans="1:47" s="206" customFormat="1" x14ac:dyDescent="0.3">
      <c r="A24" s="197" t="s">
        <v>757</v>
      </c>
      <c r="B24" s="197">
        <v>16</v>
      </c>
      <c r="C24" s="192">
        <f>'GERAL 2023'!G37</f>
        <v>610</v>
      </c>
      <c r="D24" s="192">
        <v>0</v>
      </c>
      <c r="E24" s="196">
        <f>C24-D24</f>
        <v>610</v>
      </c>
      <c r="F24" s="192">
        <v>0</v>
      </c>
      <c r="G24" s="192">
        <f t="shared" si="3"/>
        <v>49.9</v>
      </c>
      <c r="H24" s="192">
        <f>D80</f>
        <v>1.2516548463356973</v>
      </c>
      <c r="I24" s="192">
        <f t="shared" si="5"/>
        <v>1.1944444444444444</v>
      </c>
      <c r="J24" s="192">
        <v>19.75</v>
      </c>
      <c r="K24" s="191">
        <f t="shared" si="2"/>
        <v>682.0960992907801</v>
      </c>
      <c r="L24" s="192">
        <f t="shared" si="6"/>
        <v>47.746726950354613</v>
      </c>
      <c r="M24" s="192">
        <f t="shared" si="4"/>
        <v>634.34937234042548</v>
      </c>
      <c r="N24" s="193" t="s">
        <v>805</v>
      </c>
      <c r="O24" s="197">
        <v>10</v>
      </c>
      <c r="P24" s="197">
        <v>11</v>
      </c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  <c r="AP24" s="205"/>
    </row>
    <row r="25" spans="1:47" s="206" customFormat="1" x14ac:dyDescent="0.3">
      <c r="A25" s="195" t="s">
        <v>741</v>
      </c>
      <c r="B25" s="195">
        <v>17</v>
      </c>
      <c r="C25" s="192">
        <f>'GERAL 2022'!G41</f>
        <v>580</v>
      </c>
      <c r="D25" s="192">
        <v>0</v>
      </c>
      <c r="E25" s="196">
        <f t="shared" si="1"/>
        <v>580</v>
      </c>
      <c r="F25" s="192">
        <v>0</v>
      </c>
      <c r="G25" s="192">
        <f t="shared" si="3"/>
        <v>49.9</v>
      </c>
      <c r="H25" s="192">
        <f>D82</f>
        <v>1.2516548463356973</v>
      </c>
      <c r="I25" s="192">
        <f t="shared" si="5"/>
        <v>1.1944444444444444</v>
      </c>
      <c r="J25" s="192">
        <v>19.7</v>
      </c>
      <c r="K25" s="191">
        <f t="shared" si="2"/>
        <v>652.04609929078015</v>
      </c>
      <c r="L25" s="192">
        <f t="shared" si="6"/>
        <v>45.643226950354617</v>
      </c>
      <c r="M25" s="192">
        <f t="shared" si="4"/>
        <v>606.40287234042557</v>
      </c>
      <c r="N25" s="196" t="s">
        <v>799</v>
      </c>
      <c r="O25" s="197">
        <v>10</v>
      </c>
      <c r="P25" s="197">
        <v>11</v>
      </c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</row>
    <row r="26" spans="1:47" s="206" customFormat="1" x14ac:dyDescent="0.3">
      <c r="A26" s="195" t="s">
        <v>749</v>
      </c>
      <c r="B26" s="193">
        <v>18</v>
      </c>
      <c r="C26" s="192">
        <f>'GERAL 2023'!G20</f>
        <v>640</v>
      </c>
      <c r="D26" s="192">
        <v>0</v>
      </c>
      <c r="E26" s="196">
        <f>C26-D26</f>
        <v>640</v>
      </c>
      <c r="F26" s="192">
        <v>50</v>
      </c>
      <c r="G26" s="192">
        <f t="shared" si="3"/>
        <v>49.9</v>
      </c>
      <c r="H26" s="192">
        <f>D84</f>
        <v>1.2516548463356973</v>
      </c>
      <c r="I26" s="192">
        <f t="shared" si="5"/>
        <v>1.1944444444444444</v>
      </c>
      <c r="J26" s="192">
        <v>0</v>
      </c>
      <c r="K26" s="191">
        <f t="shared" si="2"/>
        <v>742.3460992907801</v>
      </c>
      <c r="L26" s="192">
        <f t="shared" si="6"/>
        <v>51.964226950354615</v>
      </c>
      <c r="M26" s="192">
        <f t="shared" si="4"/>
        <v>690.3818723404255</v>
      </c>
      <c r="N26" s="193" t="s">
        <v>802</v>
      </c>
      <c r="O26" s="197">
        <v>10</v>
      </c>
      <c r="P26" s="197">
        <v>11</v>
      </c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</row>
    <row r="27" spans="1:47" s="206" customFormat="1" x14ac:dyDescent="0.3">
      <c r="A27" s="193" t="s">
        <v>738</v>
      </c>
      <c r="B27" s="193">
        <v>19</v>
      </c>
      <c r="C27" s="192">
        <f>'GERAL 2023'!G38</f>
        <v>610</v>
      </c>
      <c r="D27" s="192">
        <v>0</v>
      </c>
      <c r="E27" s="196">
        <f>(C27-D27)</f>
        <v>610</v>
      </c>
      <c r="F27" s="192">
        <v>0</v>
      </c>
      <c r="G27" s="192">
        <f t="shared" si="3"/>
        <v>49.9</v>
      </c>
      <c r="H27" s="192">
        <f>'GERAL 2023'!I38</f>
        <v>1.2516548463356973</v>
      </c>
      <c r="I27" s="192">
        <f t="shared" si="5"/>
        <v>1.1944444444444444</v>
      </c>
      <c r="J27" s="192">
        <f>'GERAL 2023'!K38</f>
        <v>19.754999999999999</v>
      </c>
      <c r="K27" s="191">
        <f t="shared" si="2"/>
        <v>682.1010992907801</v>
      </c>
      <c r="L27" s="192">
        <f t="shared" si="6"/>
        <v>47.747076950354611</v>
      </c>
      <c r="M27" s="192">
        <f t="shared" si="4"/>
        <v>634.35402234042544</v>
      </c>
      <c r="N27" s="193" t="s">
        <v>799</v>
      </c>
      <c r="O27" s="197">
        <v>10</v>
      </c>
      <c r="P27" s="197">
        <v>11</v>
      </c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</row>
    <row r="28" spans="1:47" s="206" customFormat="1" x14ac:dyDescent="0.3">
      <c r="A28" s="195"/>
      <c r="B28" s="193">
        <v>20</v>
      </c>
      <c r="C28" s="192">
        <v>0</v>
      </c>
      <c r="D28" s="192">
        <v>0</v>
      </c>
      <c r="E28" s="196">
        <f t="shared" ref="E28:E35" si="7">C28-D28</f>
        <v>0</v>
      </c>
      <c r="F28" s="192">
        <v>0</v>
      </c>
      <c r="G28" s="192">
        <v>0</v>
      </c>
      <c r="H28" s="192">
        <v>0</v>
      </c>
      <c r="I28" s="192">
        <v>0</v>
      </c>
      <c r="J28" s="192">
        <v>0</v>
      </c>
      <c r="K28" s="191">
        <f t="shared" si="2"/>
        <v>0</v>
      </c>
      <c r="L28" s="192">
        <f t="shared" si="6"/>
        <v>0</v>
      </c>
      <c r="M28" s="192">
        <f t="shared" si="4"/>
        <v>0</v>
      </c>
      <c r="N28" s="193" t="s">
        <v>525</v>
      </c>
      <c r="O28" s="207"/>
      <c r="P28" s="197"/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</row>
    <row r="29" spans="1:47" s="206" customFormat="1" x14ac:dyDescent="0.3">
      <c r="A29" s="195" t="s">
        <v>788</v>
      </c>
      <c r="B29" s="193">
        <v>21</v>
      </c>
      <c r="C29" s="192">
        <v>0</v>
      </c>
      <c r="D29" s="192">
        <v>0</v>
      </c>
      <c r="E29" s="196">
        <f t="shared" si="7"/>
        <v>0</v>
      </c>
      <c r="F29" s="192">
        <v>0</v>
      </c>
      <c r="G29" s="192">
        <v>0</v>
      </c>
      <c r="H29" s="192">
        <v>0</v>
      </c>
      <c r="I29" s="192">
        <v>0</v>
      </c>
      <c r="J29" s="192">
        <v>0</v>
      </c>
      <c r="K29" s="191">
        <f t="shared" si="2"/>
        <v>0</v>
      </c>
      <c r="L29" s="192">
        <f t="shared" si="6"/>
        <v>0</v>
      </c>
      <c r="M29" s="192">
        <f t="shared" si="4"/>
        <v>0</v>
      </c>
      <c r="N29" s="193" t="s">
        <v>108</v>
      </c>
      <c r="O29" s="207">
        <v>10</v>
      </c>
      <c r="P29" s="197">
        <v>11</v>
      </c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</row>
    <row r="30" spans="1:47" s="206" customFormat="1" ht="15.75" customHeight="1" x14ac:dyDescent="0.3">
      <c r="A30" s="195" t="s">
        <v>759</v>
      </c>
      <c r="B30" s="193">
        <v>22</v>
      </c>
      <c r="C30" s="192">
        <f>'GERAL 2022'!G24</f>
        <v>500</v>
      </c>
      <c r="D30" s="192">
        <v>0</v>
      </c>
      <c r="E30" s="196">
        <f t="shared" si="7"/>
        <v>500</v>
      </c>
      <c r="F30" s="192">
        <v>25</v>
      </c>
      <c r="G30" s="192">
        <f t="shared" si="3"/>
        <v>49.9</v>
      </c>
      <c r="H30" s="192">
        <f>D92</f>
        <v>1.2516548463356973</v>
      </c>
      <c r="I30" s="192">
        <f t="shared" si="5"/>
        <v>1.1944444444444444</v>
      </c>
      <c r="J30" s="192">
        <f>D91</f>
        <v>19.543333333333333</v>
      </c>
      <c r="K30" s="191">
        <f t="shared" si="2"/>
        <v>596.8894326241134</v>
      </c>
      <c r="L30" s="192">
        <f t="shared" si="6"/>
        <v>41.78226028368794</v>
      </c>
      <c r="M30" s="192">
        <f t="shared" si="4"/>
        <v>555.10717234042545</v>
      </c>
      <c r="N30" s="193" t="s">
        <v>806</v>
      </c>
      <c r="O30" s="207">
        <v>10</v>
      </c>
      <c r="P30" s="197">
        <v>11</v>
      </c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</row>
    <row r="31" spans="1:47" s="206" customFormat="1" x14ac:dyDescent="0.3">
      <c r="A31" s="195" t="s">
        <v>750</v>
      </c>
      <c r="B31" s="193">
        <v>23</v>
      </c>
      <c r="C31" s="192">
        <f>'GERAL 2022'!G25</f>
        <v>550</v>
      </c>
      <c r="D31" s="192">
        <v>0</v>
      </c>
      <c r="E31" s="196">
        <f t="shared" si="7"/>
        <v>550</v>
      </c>
      <c r="F31" s="192">
        <v>0</v>
      </c>
      <c r="G31" s="192">
        <f t="shared" si="3"/>
        <v>49.9</v>
      </c>
      <c r="H31" s="192">
        <f>D94</f>
        <v>1.2516548463356973</v>
      </c>
      <c r="I31" s="192">
        <f t="shared" si="5"/>
        <v>1.1944444444444444</v>
      </c>
      <c r="J31" s="192">
        <f>D93</f>
        <v>19.641666666666666</v>
      </c>
      <c r="K31" s="191">
        <f t="shared" si="2"/>
        <v>621.98776595744675</v>
      </c>
      <c r="L31" s="192">
        <f t="shared" si="6"/>
        <v>43.539143617021274</v>
      </c>
      <c r="M31" s="192">
        <f t="shared" si="4"/>
        <v>578.44862234042546</v>
      </c>
      <c r="N31" s="193" t="s">
        <v>806</v>
      </c>
      <c r="O31" s="197">
        <v>10</v>
      </c>
      <c r="P31" s="197">
        <v>11</v>
      </c>
      <c r="Q31" s="205"/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  <c r="AC31" s="205"/>
      <c r="AD31" s="205"/>
      <c r="AE31" s="205"/>
      <c r="AF31" s="205"/>
      <c r="AG31" s="205"/>
      <c r="AH31" s="205"/>
      <c r="AI31" s="205"/>
      <c r="AJ31" s="205"/>
      <c r="AK31" s="205"/>
      <c r="AL31" s="205"/>
      <c r="AM31" s="205"/>
      <c r="AN31" s="205"/>
      <c r="AO31" s="205"/>
      <c r="AP31" s="205"/>
    </row>
    <row r="32" spans="1:47" s="204" customFormat="1" x14ac:dyDescent="0.3">
      <c r="A32" s="193"/>
      <c r="B32" s="193">
        <v>24</v>
      </c>
      <c r="C32" s="192">
        <v>0</v>
      </c>
      <c r="D32" s="192">
        <v>0</v>
      </c>
      <c r="E32" s="196">
        <f t="shared" si="7"/>
        <v>0</v>
      </c>
      <c r="F32" s="192">
        <v>0</v>
      </c>
      <c r="G32" s="192">
        <v>0</v>
      </c>
      <c r="H32" s="192">
        <v>0</v>
      </c>
      <c r="I32" s="192"/>
      <c r="J32" s="192">
        <v>0</v>
      </c>
      <c r="K32" s="191">
        <f t="shared" si="2"/>
        <v>0</v>
      </c>
      <c r="L32" s="192">
        <f t="shared" si="6"/>
        <v>0</v>
      </c>
      <c r="M32" s="192">
        <f t="shared" si="4"/>
        <v>0</v>
      </c>
      <c r="N32" s="193" t="s">
        <v>525</v>
      </c>
      <c r="O32" s="207"/>
      <c r="P32" s="197"/>
      <c r="Q32" s="200"/>
      <c r="R32" s="200"/>
      <c r="S32" s="200"/>
      <c r="T32" s="200"/>
      <c r="U32" s="200"/>
      <c r="V32" s="200"/>
      <c r="W32" s="200"/>
      <c r="X32" s="200"/>
      <c r="Y32" s="200"/>
    </row>
    <row r="33" spans="1:60" s="204" customFormat="1" x14ac:dyDescent="0.3">
      <c r="A33" s="206" t="s">
        <v>809</v>
      </c>
      <c r="B33" s="193">
        <v>25</v>
      </c>
      <c r="C33" s="192">
        <f>'GERAL 2022'!G44</f>
        <v>610</v>
      </c>
      <c r="D33" s="192">
        <v>0</v>
      </c>
      <c r="E33" s="196">
        <f t="shared" si="7"/>
        <v>610</v>
      </c>
      <c r="F33" s="192">
        <v>0</v>
      </c>
      <c r="G33" s="192">
        <f t="shared" si="3"/>
        <v>49.9</v>
      </c>
      <c r="H33" s="192">
        <f>D98</f>
        <v>1.2516548463356973</v>
      </c>
      <c r="I33" s="192">
        <f t="shared" si="5"/>
        <v>1.1944444444444444</v>
      </c>
      <c r="J33" s="192">
        <v>0</v>
      </c>
      <c r="K33" s="191">
        <f t="shared" si="2"/>
        <v>662.3460992907801</v>
      </c>
      <c r="L33" s="192">
        <f t="shared" si="6"/>
        <v>46.364226950354613</v>
      </c>
      <c r="M33" s="192">
        <f t="shared" si="4"/>
        <v>615.98187234042553</v>
      </c>
      <c r="N33" s="193" t="s">
        <v>802</v>
      </c>
      <c r="O33" s="207">
        <v>10</v>
      </c>
      <c r="P33" s="197">
        <v>11</v>
      </c>
      <c r="Q33" s="200"/>
      <c r="R33" s="200"/>
      <c r="S33" s="200"/>
      <c r="T33" s="200"/>
      <c r="U33" s="200"/>
      <c r="V33" s="200"/>
      <c r="W33" s="200"/>
      <c r="X33" s="200"/>
      <c r="Y33" s="200"/>
    </row>
    <row r="34" spans="1:60" s="206" customFormat="1" x14ac:dyDescent="0.3">
      <c r="A34" s="195" t="s">
        <v>751</v>
      </c>
      <c r="B34" s="193">
        <v>26</v>
      </c>
      <c r="C34" s="192">
        <f>'GERAL 2022'!G28</f>
        <v>560</v>
      </c>
      <c r="D34" s="192">
        <v>0</v>
      </c>
      <c r="E34" s="196">
        <f t="shared" si="7"/>
        <v>560</v>
      </c>
      <c r="F34" s="192">
        <v>25</v>
      </c>
      <c r="G34" s="192">
        <f t="shared" si="3"/>
        <v>49.9</v>
      </c>
      <c r="H34" s="192">
        <f>D100</f>
        <v>1.2516548463356973</v>
      </c>
      <c r="I34" s="192">
        <f t="shared" si="5"/>
        <v>1.1944444444444444</v>
      </c>
      <c r="J34" s="192">
        <f>D99</f>
        <v>19.658333333333335</v>
      </c>
      <c r="K34" s="191">
        <f t="shared" si="2"/>
        <v>657.00443262411341</v>
      </c>
      <c r="L34" s="192">
        <f t="shared" si="6"/>
        <v>45.99031028368794</v>
      </c>
      <c r="M34" s="192">
        <f t="shared" si="4"/>
        <v>611.0141223404255</v>
      </c>
      <c r="N34" s="193" t="s">
        <v>806</v>
      </c>
      <c r="O34" s="197">
        <v>10</v>
      </c>
      <c r="P34" s="197">
        <v>11</v>
      </c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</row>
    <row r="35" spans="1:60" s="206" customFormat="1" x14ac:dyDescent="0.3">
      <c r="A35" s="195" t="s">
        <v>752</v>
      </c>
      <c r="B35" s="193">
        <v>27</v>
      </c>
      <c r="C35" s="210">
        <f>'GERAL 2022'!G45</f>
        <v>580</v>
      </c>
      <c r="D35" s="210">
        <v>0</v>
      </c>
      <c r="E35" s="196">
        <f t="shared" si="7"/>
        <v>580</v>
      </c>
      <c r="F35" s="210">
        <v>0</v>
      </c>
      <c r="G35" s="192">
        <f t="shared" si="3"/>
        <v>49.9</v>
      </c>
      <c r="H35" s="210">
        <f>D102</f>
        <v>1.2516548463356973</v>
      </c>
      <c r="I35" s="192">
        <f>(193.5)/27/6</f>
        <v>1.1944444444444444</v>
      </c>
      <c r="J35" s="210">
        <f>D101</f>
        <v>19.696666666666669</v>
      </c>
      <c r="K35" s="191">
        <f t="shared" si="2"/>
        <v>652.04276595744682</v>
      </c>
      <c r="L35" s="192">
        <f t="shared" si="6"/>
        <v>45.642993617021283</v>
      </c>
      <c r="M35" s="192">
        <f>K35-L35</f>
        <v>606.39977234042556</v>
      </c>
      <c r="N35" s="193" t="s">
        <v>806</v>
      </c>
      <c r="O35" s="197">
        <v>10</v>
      </c>
      <c r="P35" s="197">
        <v>11</v>
      </c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</row>
    <row r="36" spans="1:60" s="11" customFormat="1" x14ac:dyDescent="0.3">
      <c r="A36" s="518" t="s">
        <v>4</v>
      </c>
      <c r="B36" s="518"/>
      <c r="C36" s="109">
        <f>SUM(C9:C35)</f>
        <v>11630.334655645162</v>
      </c>
      <c r="D36" s="109">
        <f t="shared" ref="D36:M36" si="8">SUM(D9:D35)</f>
        <v>0</v>
      </c>
      <c r="E36" s="109">
        <f t="shared" si="8"/>
        <v>11630.334655645162</v>
      </c>
      <c r="F36" s="109">
        <f t="shared" si="8"/>
        <v>535.48387096774195</v>
      </c>
      <c r="G36" s="109">
        <f t="shared" si="8"/>
        <v>1041.4612903225805</v>
      </c>
      <c r="H36" s="109">
        <f t="shared" si="8"/>
        <v>25.872916952642409</v>
      </c>
      <c r="I36" s="109">
        <f t="shared" si="8"/>
        <v>23.734767025089596</v>
      </c>
      <c r="J36" s="109">
        <f t="shared" si="8"/>
        <v>275.52333333333331</v>
      </c>
      <c r="K36" s="109">
        <f t="shared" si="8"/>
        <v>13532.41083424655</v>
      </c>
      <c r="L36" s="109">
        <f t="shared" si="8"/>
        <v>947.26875839725835</v>
      </c>
      <c r="M36" s="109">
        <f t="shared" si="8"/>
        <v>12585.142075849293</v>
      </c>
      <c r="N36" s="90"/>
      <c r="O36" s="3"/>
      <c r="P36" s="3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</row>
    <row r="37" spans="1:60" s="11" customFormat="1" ht="28.5" customHeight="1" x14ac:dyDescent="0.3">
      <c r="A37" s="521" t="s">
        <v>798</v>
      </c>
      <c r="B37" s="521"/>
      <c r="C37" s="521"/>
      <c r="D37" s="521"/>
      <c r="E37" s="521"/>
      <c r="F37" s="521"/>
      <c r="G37" s="521"/>
      <c r="H37" s="521"/>
      <c r="I37" s="521"/>
      <c r="J37" s="521"/>
      <c r="K37" s="521"/>
      <c r="L37" s="521"/>
      <c r="M37" s="521"/>
      <c r="N37" s="521"/>
      <c r="O37" s="521"/>
      <c r="P37" s="521"/>
      <c r="Q37" s="10"/>
      <c r="R37" s="10"/>
      <c r="S37" s="10"/>
      <c r="T37" s="10"/>
      <c r="U37" s="10"/>
      <c r="V37" s="10"/>
      <c r="W37" s="10"/>
      <c r="X37" s="10"/>
      <c r="Y37" s="10"/>
    </row>
    <row r="38" spans="1:60" s="11" customFormat="1" ht="27.75" customHeight="1" x14ac:dyDescent="0.3">
      <c r="A38" s="127" t="s">
        <v>3</v>
      </c>
      <c r="B38" s="127" t="s">
        <v>0</v>
      </c>
      <c r="C38" s="128" t="s">
        <v>174</v>
      </c>
      <c r="D38" s="555" t="s">
        <v>175</v>
      </c>
      <c r="E38" s="556"/>
      <c r="F38" s="556"/>
      <c r="G38" s="556"/>
      <c r="H38" s="556"/>
      <c r="I38" s="556"/>
      <c r="J38" s="557"/>
      <c r="K38" s="128" t="s">
        <v>4</v>
      </c>
      <c r="L38" s="128" t="s">
        <v>5</v>
      </c>
      <c r="M38" s="128" t="s">
        <v>70</v>
      </c>
      <c r="N38" s="127" t="s">
        <v>59</v>
      </c>
      <c r="O38" s="130" t="s">
        <v>8</v>
      </c>
      <c r="P38" s="130" t="s">
        <v>10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60" s="199" customFormat="1" x14ac:dyDescent="0.3">
      <c r="A39" s="193" t="s">
        <v>754</v>
      </c>
      <c r="B39" s="193">
        <v>9</v>
      </c>
      <c r="C39" s="192">
        <v>672.78</v>
      </c>
      <c r="D39" s="551" t="s">
        <v>811</v>
      </c>
      <c r="E39" s="580"/>
      <c r="F39" s="580"/>
      <c r="G39" s="580"/>
      <c r="H39" s="580"/>
      <c r="I39" s="580"/>
      <c r="J39" s="552"/>
      <c r="K39" s="192">
        <v>672.78</v>
      </c>
      <c r="L39" s="192">
        <f>7%*K39</f>
        <v>47.0946</v>
      </c>
      <c r="M39" s="192">
        <f>K39-L39</f>
        <v>625.68539999999996</v>
      </c>
      <c r="N39" s="193" t="s">
        <v>812</v>
      </c>
      <c r="O39" s="197">
        <v>10</v>
      </c>
      <c r="P39" s="197">
        <v>11</v>
      </c>
      <c r="Q39" s="198"/>
      <c r="R39" s="198"/>
      <c r="S39" s="198"/>
      <c r="T39" s="198"/>
      <c r="U39" s="198"/>
      <c r="V39" s="198"/>
      <c r="W39" s="198"/>
      <c r="X39" s="198"/>
      <c r="Y39" s="198"/>
      <c r="Z39" s="198"/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</row>
    <row r="40" spans="1:60" s="11" customFormat="1" x14ac:dyDescent="0.3">
      <c r="A40" s="518" t="s">
        <v>4</v>
      </c>
      <c r="B40" s="518"/>
      <c r="C40" s="518"/>
      <c r="D40" s="518"/>
      <c r="E40" s="518"/>
      <c r="F40" s="518"/>
      <c r="G40" s="518"/>
      <c r="H40" s="518"/>
      <c r="I40" s="518"/>
      <c r="J40" s="518"/>
      <c r="K40" s="109">
        <f>SUM(K39:K39)</f>
        <v>672.78</v>
      </c>
      <c r="L40" s="109">
        <f>SUM(L39:L39)</f>
        <v>47.0946</v>
      </c>
      <c r="M40" s="109">
        <f>SUM(M39:M39)</f>
        <v>625.68539999999996</v>
      </c>
      <c r="N40" s="527"/>
      <c r="O40" s="527"/>
      <c r="P40" s="527"/>
      <c r="Q40" s="10"/>
      <c r="R40" s="10"/>
      <c r="S40" s="10"/>
      <c r="T40" s="10"/>
      <c r="U40" s="10"/>
      <c r="V40" s="10"/>
      <c r="W40" s="10"/>
      <c r="X40" s="10"/>
      <c r="Y40" s="10"/>
    </row>
    <row r="41" spans="1:60" s="11" customFormat="1" x14ac:dyDescent="0.3">
      <c r="A41" s="518"/>
      <c r="B41" s="518"/>
      <c r="C41" s="518"/>
      <c r="D41" s="518"/>
      <c r="E41" s="518"/>
      <c r="F41" s="518"/>
      <c r="G41" s="518"/>
      <c r="H41" s="518"/>
      <c r="I41" s="518"/>
      <c r="J41" s="518"/>
      <c r="K41" s="518"/>
      <c r="L41" s="518"/>
      <c r="M41" s="518"/>
      <c r="N41" s="518"/>
      <c r="O41" s="109"/>
      <c r="P41" s="109"/>
      <c r="Q41" s="10"/>
      <c r="R41" s="10"/>
      <c r="S41" s="10"/>
      <c r="T41" s="10"/>
      <c r="U41" s="10"/>
      <c r="V41" s="10"/>
      <c r="W41" s="10"/>
      <c r="X41" s="10"/>
      <c r="Y41" s="10"/>
    </row>
    <row r="42" spans="1:60" s="11" customFormat="1" ht="28.5" customHeight="1" x14ac:dyDescent="0.3">
      <c r="A42" s="521" t="s">
        <v>177</v>
      </c>
      <c r="B42" s="521"/>
      <c r="C42" s="521"/>
      <c r="D42" s="521"/>
      <c r="E42" s="521"/>
      <c r="F42" s="521"/>
      <c r="G42" s="521"/>
      <c r="H42" s="521"/>
      <c r="I42" s="521"/>
      <c r="J42" s="521"/>
      <c r="K42" s="521"/>
      <c r="L42" s="521"/>
      <c r="M42" s="521"/>
      <c r="N42" s="521"/>
      <c r="O42" s="521"/>
      <c r="P42" s="521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60" s="11" customFormat="1" ht="25.5" customHeight="1" x14ac:dyDescent="0.3">
      <c r="A43" s="126" t="s">
        <v>173</v>
      </c>
      <c r="B43" s="126" t="s">
        <v>0</v>
      </c>
      <c r="C43" s="126" t="s">
        <v>174</v>
      </c>
      <c r="D43" s="521" t="s">
        <v>175</v>
      </c>
      <c r="E43" s="521"/>
      <c r="F43" s="521"/>
      <c r="G43" s="521"/>
      <c r="H43" s="521"/>
      <c r="I43" s="521"/>
      <c r="J43" s="521"/>
      <c r="K43" s="129" t="s">
        <v>4</v>
      </c>
      <c r="L43" s="128"/>
      <c r="M43" s="128"/>
      <c r="N43" s="127" t="s">
        <v>59</v>
      </c>
      <c r="O43" s="130" t="s">
        <v>8</v>
      </c>
      <c r="P43" s="130" t="s">
        <v>10</v>
      </c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60" s="69" customFormat="1" ht="15" customHeight="1" x14ac:dyDescent="0.3">
      <c r="A44" s="4" t="s">
        <v>132</v>
      </c>
      <c r="B44" s="4">
        <v>1</v>
      </c>
      <c r="C44" s="5">
        <f>4977.59-1520</f>
        <v>3457.59</v>
      </c>
      <c r="D44" s="546" t="s">
        <v>284</v>
      </c>
      <c r="E44" s="547"/>
      <c r="F44" s="547"/>
      <c r="G44" s="547"/>
      <c r="H44" s="547"/>
      <c r="I44" s="547"/>
      <c r="J44" s="548"/>
      <c r="K44" s="5">
        <f>4977.59-1520</f>
        <v>3457.59</v>
      </c>
      <c r="L44" s="5"/>
      <c r="M44" s="5"/>
      <c r="N44" s="5" t="s">
        <v>510</v>
      </c>
      <c r="O44" s="140">
        <v>10</v>
      </c>
      <c r="P44" s="4">
        <v>11</v>
      </c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</row>
    <row r="45" spans="1:60" s="11" customFormat="1" x14ac:dyDescent="0.3">
      <c r="A45" s="90" t="s">
        <v>87</v>
      </c>
      <c r="B45" s="90">
        <v>25</v>
      </c>
      <c r="C45" s="5">
        <v>3013.33</v>
      </c>
      <c r="D45" s="546" t="s">
        <v>543</v>
      </c>
      <c r="E45" s="547"/>
      <c r="F45" s="547"/>
      <c r="G45" s="547"/>
      <c r="H45" s="547"/>
      <c r="I45" s="547"/>
      <c r="J45" s="548"/>
      <c r="K45" s="5">
        <v>3040.58</v>
      </c>
      <c r="L45" s="2"/>
      <c r="M45" s="2"/>
      <c r="N45" s="5" t="s">
        <v>545</v>
      </c>
      <c r="O45" s="98">
        <v>10</v>
      </c>
      <c r="P45" s="3">
        <v>11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</row>
    <row r="46" spans="1:60" s="40" customFormat="1" ht="15" customHeight="1" thickBot="1" x14ac:dyDescent="0.35">
      <c r="A46" s="534" t="s">
        <v>4</v>
      </c>
      <c r="B46" s="549"/>
      <c r="C46" s="549"/>
      <c r="D46" s="549"/>
      <c r="E46" s="549"/>
      <c r="F46" s="549"/>
      <c r="G46" s="549"/>
      <c r="H46" s="549"/>
      <c r="I46" s="549"/>
      <c r="J46" s="535"/>
      <c r="K46" s="114">
        <f>SUM(K44:K45)</f>
        <v>6498.17</v>
      </c>
      <c r="L46" s="90"/>
      <c r="M46" s="90"/>
      <c r="N46" s="90"/>
      <c r="O46" s="90"/>
      <c r="P46" s="9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1"/>
      <c r="AU46" s="11"/>
      <c r="AV46" s="11"/>
      <c r="AW46" s="11"/>
    </row>
    <row r="47" spans="1:60" s="19" customFormat="1" x14ac:dyDescent="0.3">
      <c r="A47" s="179"/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1"/>
      <c r="P47" s="182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</row>
    <row r="48" spans="1:60" s="40" customFormat="1" x14ac:dyDescent="0.3">
      <c r="A48" s="575" t="s">
        <v>9</v>
      </c>
      <c r="B48" s="576"/>
      <c r="C48" s="576"/>
      <c r="D48" s="577"/>
      <c r="E48" s="574"/>
      <c r="F48" s="540"/>
      <c r="G48" s="540"/>
      <c r="H48" s="46"/>
      <c r="I48" s="46"/>
      <c r="J48" s="46"/>
      <c r="K48" s="46"/>
      <c r="L48" s="46"/>
      <c r="M48" s="46"/>
      <c r="N48" s="544" t="s">
        <v>315</v>
      </c>
      <c r="O48" s="544"/>
      <c r="P48" s="545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1"/>
      <c r="AU48" s="11"/>
      <c r="AV48" s="11"/>
      <c r="AW48" s="11"/>
    </row>
    <row r="49" spans="1:49" s="40" customFormat="1" x14ac:dyDescent="0.3">
      <c r="A49" s="76" t="s">
        <v>40</v>
      </c>
      <c r="B49" s="77">
        <f>'GERAL 2022'!J35</f>
        <v>118.18</v>
      </c>
      <c r="C49" s="78">
        <v>6</v>
      </c>
      <c r="D49" s="77">
        <f t="shared" ref="D49:D102" si="9">B49/C49</f>
        <v>19.696666666666669</v>
      </c>
      <c r="E49" s="574"/>
      <c r="F49" s="540"/>
      <c r="G49" s="540"/>
      <c r="H49" s="11"/>
      <c r="I49" s="11"/>
      <c r="J49" s="11"/>
      <c r="K49" s="87"/>
      <c r="L49" s="87"/>
      <c r="M49" s="87"/>
      <c r="N49" s="527" t="s">
        <v>94</v>
      </c>
      <c r="O49" s="527"/>
      <c r="P49" s="114">
        <f>L36+L40</f>
        <v>994.36335839725837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1"/>
      <c r="AU49" s="11"/>
      <c r="AV49" s="11"/>
      <c r="AW49" s="11"/>
    </row>
    <row r="50" spans="1:49" s="40" customFormat="1" x14ac:dyDescent="0.3">
      <c r="A50" s="12" t="s">
        <v>46</v>
      </c>
      <c r="B50" s="2">
        <f>'GERAL 2023'!H3</f>
        <v>15.019858156028368</v>
      </c>
      <c r="C50" s="88">
        <v>12</v>
      </c>
      <c r="D50" s="2">
        <f t="shared" si="9"/>
        <v>1.2516548463356973</v>
      </c>
      <c r="E50" s="574"/>
      <c r="F50" s="540"/>
      <c r="G50" s="540"/>
      <c r="H50" s="11"/>
      <c r="I50" s="11"/>
      <c r="J50" s="11"/>
      <c r="K50" s="14"/>
      <c r="L50" s="14"/>
      <c r="M50" s="14"/>
      <c r="N50" s="518" t="s">
        <v>260</v>
      </c>
      <c r="O50" s="518"/>
      <c r="P50" s="114">
        <f>L6</f>
        <v>759</v>
      </c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1"/>
      <c r="AU50" s="11"/>
      <c r="AV50" s="11"/>
      <c r="AW50" s="11"/>
    </row>
    <row r="51" spans="1:49" s="40" customFormat="1" x14ac:dyDescent="0.3">
      <c r="A51" s="79" t="s">
        <v>29</v>
      </c>
      <c r="B51" s="80">
        <f>'GERAL 2022'!J4</f>
        <v>118.18</v>
      </c>
      <c r="C51" s="78">
        <v>6</v>
      </c>
      <c r="D51" s="80">
        <f t="shared" si="9"/>
        <v>19.696666666666669</v>
      </c>
      <c r="E51" s="574"/>
      <c r="F51" s="540"/>
      <c r="G51" s="540"/>
      <c r="H51" s="11"/>
      <c r="I51" s="11"/>
      <c r="J51" s="11"/>
      <c r="K51" s="14"/>
      <c r="L51" s="14"/>
      <c r="M51" s="14"/>
      <c r="N51" s="520"/>
      <c r="O51" s="520"/>
      <c r="P51" s="52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1"/>
      <c r="AU51" s="11"/>
      <c r="AV51" s="11"/>
      <c r="AW51" s="11"/>
    </row>
    <row r="52" spans="1:49" s="40" customFormat="1" x14ac:dyDescent="0.3">
      <c r="A52" s="12" t="s">
        <v>30</v>
      </c>
      <c r="B52" s="2">
        <f>'GERAL 2023'!H4</f>
        <v>15.019858156028368</v>
      </c>
      <c r="C52" s="88">
        <v>12</v>
      </c>
      <c r="D52" s="2">
        <f t="shared" si="9"/>
        <v>1.2516548463356973</v>
      </c>
      <c r="E52" s="574"/>
      <c r="F52" s="540"/>
      <c r="G52" s="540"/>
      <c r="H52" s="11"/>
      <c r="I52" s="11"/>
      <c r="J52" s="11"/>
      <c r="K52" s="62"/>
      <c r="L52" s="62"/>
      <c r="M52" s="62"/>
      <c r="N52" s="520"/>
      <c r="O52" s="520"/>
      <c r="P52" s="52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1"/>
      <c r="AU52" s="11"/>
      <c r="AV52" s="11"/>
      <c r="AW52" s="11"/>
    </row>
    <row r="53" spans="1:49" s="40" customFormat="1" ht="14.4" x14ac:dyDescent="0.3">
      <c r="A53" s="79" t="s">
        <v>65</v>
      </c>
      <c r="B53" s="80">
        <f>'GERAL 2022'!J5</f>
        <v>117.85</v>
      </c>
      <c r="C53" s="78">
        <v>6</v>
      </c>
      <c r="D53" s="80">
        <f t="shared" si="9"/>
        <v>19.641666666666666</v>
      </c>
      <c r="E53" s="574"/>
      <c r="F53" s="540"/>
      <c r="G53" s="540"/>
      <c r="H53" s="11"/>
      <c r="I53" s="11"/>
      <c r="J53" s="11"/>
      <c r="K53" s="14"/>
      <c r="L53" s="14"/>
      <c r="M53" s="14"/>
      <c r="N53" s="529" t="s">
        <v>12</v>
      </c>
      <c r="O53" s="529"/>
      <c r="P53" s="529"/>
      <c r="Q53" s="175"/>
      <c r="R53" s="178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1"/>
      <c r="AU53" s="11"/>
      <c r="AV53" s="11"/>
      <c r="AW53" s="11"/>
    </row>
    <row r="54" spans="1:49" s="11" customFormat="1" ht="15" customHeight="1" x14ac:dyDescent="0.3">
      <c r="A54" s="12" t="s">
        <v>62</v>
      </c>
      <c r="B54" s="2">
        <f>'GERAL 2023'!H5</f>
        <v>15.019858156028368</v>
      </c>
      <c r="C54" s="88">
        <v>12</v>
      </c>
      <c r="D54" s="2">
        <f t="shared" si="9"/>
        <v>1.2516548463356973</v>
      </c>
      <c r="E54" s="574"/>
      <c r="F54" s="540"/>
      <c r="G54" s="540"/>
      <c r="K54" s="63"/>
      <c r="L54" s="63"/>
      <c r="M54" s="63"/>
      <c r="N54" s="514" t="s">
        <v>475</v>
      </c>
      <c r="O54" s="514"/>
      <c r="P54" s="2">
        <v>19.7</v>
      </c>
      <c r="Q54" s="190"/>
      <c r="R54" s="178"/>
    </row>
    <row r="55" spans="1:49" s="11" customFormat="1" ht="14.4" x14ac:dyDescent="0.3">
      <c r="A55" s="79" t="s">
        <v>60</v>
      </c>
      <c r="B55" s="80">
        <f>'GERAL 2022'!J6</f>
        <v>117.85</v>
      </c>
      <c r="C55" s="78">
        <v>6</v>
      </c>
      <c r="D55" s="80">
        <f t="shared" si="9"/>
        <v>19.641666666666666</v>
      </c>
      <c r="E55" s="574"/>
      <c r="F55" s="540"/>
      <c r="G55" s="540"/>
      <c r="K55" s="14"/>
      <c r="L55" s="14"/>
      <c r="M55" s="14"/>
      <c r="N55" s="514" t="s">
        <v>476</v>
      </c>
      <c r="O55" s="514"/>
      <c r="P55" s="2">
        <v>19.64</v>
      </c>
      <c r="Q55" s="175"/>
      <c r="R55" s="178"/>
    </row>
    <row r="56" spans="1:49" s="11" customFormat="1" ht="15" customHeight="1" x14ac:dyDescent="0.3">
      <c r="A56" s="12" t="s">
        <v>61</v>
      </c>
      <c r="B56" s="2">
        <f>'GERAL 2023'!H6</f>
        <v>15.019858156028368</v>
      </c>
      <c r="C56" s="88">
        <v>12</v>
      </c>
      <c r="D56" s="2">
        <f t="shared" si="9"/>
        <v>1.2516548463356973</v>
      </c>
      <c r="E56" s="574"/>
      <c r="F56" s="540"/>
      <c r="G56" s="540"/>
      <c r="K56" s="63"/>
      <c r="L56" s="63"/>
      <c r="M56" s="63"/>
      <c r="N56" s="514" t="s">
        <v>479</v>
      </c>
      <c r="O56" s="514"/>
      <c r="P56" s="2">
        <v>19.760000000000002</v>
      </c>
      <c r="Q56" s="190"/>
      <c r="R56" s="178"/>
    </row>
    <row r="57" spans="1:49" s="11" customFormat="1" ht="14.4" x14ac:dyDescent="0.3">
      <c r="A57" s="79" t="s">
        <v>31</v>
      </c>
      <c r="B57" s="80">
        <f>'GERAL 2023'!J7</f>
        <v>118.18</v>
      </c>
      <c r="C57" s="78">
        <v>6</v>
      </c>
      <c r="D57" s="80">
        <f>B57/C57</f>
        <v>19.696666666666669</v>
      </c>
      <c r="E57" s="574"/>
      <c r="F57" s="540"/>
      <c r="G57" s="540"/>
      <c r="K57" s="14"/>
      <c r="L57" s="14"/>
      <c r="M57" s="14"/>
      <c r="N57" s="514" t="s">
        <v>270</v>
      </c>
      <c r="O57" s="514"/>
      <c r="P57" s="192">
        <v>19.68</v>
      </c>
      <c r="Q57" s="175"/>
      <c r="R57" s="178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</row>
    <row r="58" spans="1:49" s="11" customFormat="1" ht="14.4" x14ac:dyDescent="0.3">
      <c r="A58" s="12" t="s">
        <v>32</v>
      </c>
      <c r="B58" s="2">
        <f>'GERAL 2023'!H7</f>
        <v>15.019858156028368</v>
      </c>
      <c r="C58" s="88">
        <v>12</v>
      </c>
      <c r="D58" s="2">
        <f t="shared" si="9"/>
        <v>1.2516548463356973</v>
      </c>
      <c r="E58" s="574"/>
      <c r="F58" s="540"/>
      <c r="G58" s="540"/>
      <c r="K58" s="63"/>
      <c r="L58" s="63"/>
      <c r="M58" s="63"/>
      <c r="N58" s="514" t="s">
        <v>146</v>
      </c>
      <c r="O58" s="514"/>
      <c r="P58" s="2">
        <v>19.64</v>
      </c>
      <c r="Q58" s="175"/>
      <c r="R58" s="178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</row>
    <row r="59" spans="1:49" s="11" customFormat="1" ht="14.4" x14ac:dyDescent="0.3">
      <c r="A59" s="79" t="s">
        <v>57</v>
      </c>
      <c r="B59" s="80">
        <f>'GERAL 2022'!J36</f>
        <v>119.36</v>
      </c>
      <c r="C59" s="78">
        <v>6</v>
      </c>
      <c r="D59" s="80">
        <f t="shared" si="9"/>
        <v>19.893333333333334</v>
      </c>
      <c r="E59" s="574"/>
      <c r="F59" s="540"/>
      <c r="G59" s="540"/>
      <c r="K59" s="14"/>
      <c r="L59" s="14"/>
      <c r="M59" s="14"/>
      <c r="N59" s="514" t="s">
        <v>481</v>
      </c>
      <c r="O59" s="514"/>
      <c r="P59" s="2">
        <v>19.64</v>
      </c>
      <c r="Q59" s="175"/>
      <c r="R59" s="185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</row>
    <row r="60" spans="1:49" s="11" customFormat="1" ht="14.4" x14ac:dyDescent="0.3">
      <c r="A60" s="12" t="s">
        <v>58</v>
      </c>
      <c r="B60" s="2">
        <f>'GERAL 2023'!H8</f>
        <v>21.027801418439715</v>
      </c>
      <c r="C60" s="88">
        <v>12</v>
      </c>
      <c r="D60" s="2">
        <f t="shared" si="9"/>
        <v>1.7523167848699763</v>
      </c>
      <c r="E60" s="574"/>
      <c r="F60" s="540"/>
      <c r="G60" s="540"/>
      <c r="K60" s="14"/>
      <c r="L60" s="14"/>
      <c r="M60" s="14"/>
      <c r="N60" s="514" t="s">
        <v>482</v>
      </c>
      <c r="O60" s="514"/>
      <c r="P60" s="2">
        <v>19.64</v>
      </c>
      <c r="Q60" s="175"/>
      <c r="R60" s="185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</row>
    <row r="61" spans="1:49" s="11" customFormat="1" ht="14.4" x14ac:dyDescent="0.3">
      <c r="A61" s="79" t="s">
        <v>63</v>
      </c>
      <c r="B61" s="80">
        <f>'GERAL 2022'!J9</f>
        <v>118.18</v>
      </c>
      <c r="C61" s="78">
        <v>6</v>
      </c>
      <c r="D61" s="80">
        <f t="shared" si="9"/>
        <v>19.696666666666669</v>
      </c>
      <c r="E61" s="574"/>
      <c r="F61" s="540"/>
      <c r="G61" s="540"/>
      <c r="K61" s="63"/>
      <c r="L61" s="63"/>
      <c r="M61" s="63"/>
      <c r="N61" s="514" t="s">
        <v>202</v>
      </c>
      <c r="O61" s="514"/>
      <c r="P61" s="2">
        <v>19.84</v>
      </c>
      <c r="Q61" s="175"/>
      <c r="R61" s="178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</row>
    <row r="62" spans="1:49" s="11" customFormat="1" ht="14.4" x14ac:dyDescent="0.3">
      <c r="A62" s="12" t="s">
        <v>64</v>
      </c>
      <c r="B62" s="2">
        <f>'GERAL 2023'!H9</f>
        <v>15.019858156028368</v>
      </c>
      <c r="C62" s="88">
        <v>12</v>
      </c>
      <c r="D62" s="2">
        <f t="shared" si="9"/>
        <v>1.2516548463356973</v>
      </c>
      <c r="E62" s="574"/>
      <c r="F62" s="540"/>
      <c r="G62" s="540"/>
      <c r="K62" s="14"/>
      <c r="L62" s="14"/>
      <c r="M62" s="14"/>
      <c r="N62" s="514" t="s">
        <v>203</v>
      </c>
      <c r="O62" s="514"/>
      <c r="P62" s="2">
        <v>19.75</v>
      </c>
      <c r="Q62" s="175"/>
      <c r="R62" s="178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</row>
    <row r="63" spans="1:49" s="11" customFormat="1" ht="15" customHeight="1" x14ac:dyDescent="0.3">
      <c r="A63" s="79" t="s">
        <v>33</v>
      </c>
      <c r="B63" s="80">
        <f>'GERAL 2022'!J37</f>
        <v>118.18</v>
      </c>
      <c r="C63" s="78">
        <v>6</v>
      </c>
      <c r="D63" s="80">
        <f t="shared" si="9"/>
        <v>19.696666666666669</v>
      </c>
      <c r="E63" s="574"/>
      <c r="F63" s="540"/>
      <c r="G63" s="540"/>
      <c r="K63" s="63"/>
      <c r="L63" s="63"/>
      <c r="M63" s="63"/>
      <c r="N63" s="514" t="s">
        <v>167</v>
      </c>
      <c r="O63" s="514"/>
      <c r="P63" s="2">
        <v>19.7</v>
      </c>
      <c r="R63" s="14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</row>
    <row r="64" spans="1:49" s="11" customFormat="1" ht="14.4" x14ac:dyDescent="0.3">
      <c r="A64" s="12" t="s">
        <v>34</v>
      </c>
      <c r="B64" s="2">
        <f>'GERAL 2023'!H10</f>
        <v>15.019858156028368</v>
      </c>
      <c r="C64" s="88">
        <v>12</v>
      </c>
      <c r="D64" s="2">
        <f t="shared" si="9"/>
        <v>1.2516548463356973</v>
      </c>
      <c r="E64" s="574"/>
      <c r="F64" s="540"/>
      <c r="G64" s="540"/>
      <c r="K64" s="14"/>
      <c r="L64" s="14"/>
      <c r="M64" s="14"/>
      <c r="N64" s="514" t="s">
        <v>187</v>
      </c>
      <c r="O64" s="514"/>
      <c r="P64" s="192">
        <v>19.760000000000002</v>
      </c>
      <c r="Q64" s="175"/>
      <c r="R64" s="178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</row>
    <row r="65" spans="1:48" s="11" customFormat="1" ht="14.4" x14ac:dyDescent="0.3">
      <c r="A65" s="79" t="s">
        <v>41</v>
      </c>
      <c r="B65" s="80">
        <f>'GERAL 2022'!J11</f>
        <v>118.18</v>
      </c>
      <c r="C65" s="78">
        <v>6</v>
      </c>
      <c r="D65" s="80">
        <f t="shared" si="9"/>
        <v>19.696666666666669</v>
      </c>
      <c r="E65" s="574"/>
      <c r="F65" s="540"/>
      <c r="G65" s="540"/>
      <c r="K65" s="63"/>
      <c r="L65" s="63"/>
      <c r="M65" s="63"/>
      <c r="N65" s="514" t="s">
        <v>417</v>
      </c>
      <c r="O65" s="514"/>
      <c r="P65" s="192">
        <v>21</v>
      </c>
      <c r="Q65" s="175"/>
      <c r="R65" s="178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</row>
    <row r="66" spans="1:48" s="11" customFormat="1" ht="14.4" x14ac:dyDescent="0.3">
      <c r="A66" s="12" t="s">
        <v>42</v>
      </c>
      <c r="B66" s="2">
        <f>'GERAL 2023'!H11</f>
        <v>15.019858156028368</v>
      </c>
      <c r="C66" s="88">
        <v>12</v>
      </c>
      <c r="D66" s="2">
        <f t="shared" si="9"/>
        <v>1.2516548463356973</v>
      </c>
      <c r="E66" s="574"/>
      <c r="F66" s="540"/>
      <c r="G66" s="540"/>
      <c r="N66" s="514" t="s">
        <v>486</v>
      </c>
      <c r="O66" s="514"/>
      <c r="P66" s="192">
        <v>19.54</v>
      </c>
      <c r="Q66" s="175"/>
      <c r="R66" s="178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</row>
    <row r="67" spans="1:48" s="11" customFormat="1" ht="14.4" x14ac:dyDescent="0.3">
      <c r="A67" s="79" t="s">
        <v>66</v>
      </c>
      <c r="B67" s="80">
        <f>'GERAL 2022'!J38</f>
        <v>117.85</v>
      </c>
      <c r="C67" s="78">
        <v>6</v>
      </c>
      <c r="D67" s="80">
        <f t="shared" si="9"/>
        <v>19.641666666666666</v>
      </c>
      <c r="E67" s="574"/>
      <c r="F67" s="540"/>
      <c r="G67" s="540"/>
      <c r="K67" s="63"/>
      <c r="L67" s="63"/>
      <c r="M67" s="63"/>
      <c r="N67" s="514" t="s">
        <v>487</v>
      </c>
      <c r="O67" s="514"/>
      <c r="P67" s="192">
        <v>19.64</v>
      </c>
      <c r="Q67" s="175"/>
      <c r="R67" s="178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</row>
    <row r="68" spans="1:48" s="11" customFormat="1" ht="14.4" x14ac:dyDescent="0.3">
      <c r="A68" s="12" t="s">
        <v>67</v>
      </c>
      <c r="B68" s="2">
        <f>'GERAL 2023'!H12</f>
        <v>15.019858156028368</v>
      </c>
      <c r="C68" s="88">
        <v>12</v>
      </c>
      <c r="D68" s="2">
        <f t="shared" si="9"/>
        <v>1.2516548463356973</v>
      </c>
      <c r="E68" s="574"/>
      <c r="F68" s="540"/>
      <c r="G68" s="540"/>
      <c r="K68" s="14"/>
      <c r="L68" s="14"/>
      <c r="M68" s="14"/>
      <c r="N68" s="514" t="s">
        <v>488</v>
      </c>
      <c r="O68" s="514"/>
      <c r="P68" s="192">
        <v>19.66</v>
      </c>
      <c r="Q68" s="175"/>
      <c r="R68" s="185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</row>
    <row r="69" spans="1:48" s="11" customFormat="1" ht="14.4" x14ac:dyDescent="0.3">
      <c r="A69" s="79" t="s">
        <v>14</v>
      </c>
      <c r="B69" s="80">
        <f>'GERAL 2022'!J13</f>
        <v>117.85</v>
      </c>
      <c r="C69" s="78">
        <v>6</v>
      </c>
      <c r="D69" s="80">
        <f t="shared" si="9"/>
        <v>19.641666666666666</v>
      </c>
      <c r="E69" s="574"/>
      <c r="F69" s="540"/>
      <c r="G69" s="540"/>
      <c r="K69" s="63"/>
      <c r="L69" s="63"/>
      <c r="M69" s="63"/>
      <c r="N69" s="514" t="s">
        <v>153</v>
      </c>
      <c r="O69" s="514"/>
      <c r="P69" s="192">
        <v>19.7</v>
      </c>
      <c r="Q69" s="175"/>
      <c r="R69" s="176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</row>
    <row r="70" spans="1:48" s="11" customFormat="1" ht="14.4" x14ac:dyDescent="0.3">
      <c r="A70" s="12" t="s">
        <v>15</v>
      </c>
      <c r="B70" s="2">
        <f>'GERAL 2023'!H13</f>
        <v>15.019858156028368</v>
      </c>
      <c r="C70" s="88">
        <v>12</v>
      </c>
      <c r="D70" s="2">
        <f t="shared" si="9"/>
        <v>1.2516548463356973</v>
      </c>
      <c r="E70" s="574"/>
      <c r="F70" s="540"/>
      <c r="G70" s="540"/>
      <c r="K70" s="14"/>
      <c r="L70" s="14"/>
      <c r="M70" s="14"/>
      <c r="N70" s="514" t="s">
        <v>126</v>
      </c>
      <c r="O70" s="514"/>
      <c r="P70" s="192">
        <v>98.7</v>
      </c>
      <c r="Q70" s="175"/>
      <c r="R70" s="176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</row>
    <row r="71" spans="1:48" s="11" customFormat="1" ht="14.4" x14ac:dyDescent="0.3">
      <c r="A71" s="79" t="s">
        <v>55</v>
      </c>
      <c r="B71" s="80">
        <f>'GERAL 2022'!J14</f>
        <v>117.85</v>
      </c>
      <c r="C71" s="78">
        <v>6</v>
      </c>
      <c r="D71" s="80">
        <f t="shared" si="9"/>
        <v>19.641666666666666</v>
      </c>
      <c r="E71" s="574"/>
      <c r="F71" s="540"/>
      <c r="G71" s="540"/>
      <c r="K71" s="87"/>
      <c r="L71" s="87"/>
      <c r="M71" s="87"/>
      <c r="N71" s="583" t="s">
        <v>127</v>
      </c>
      <c r="O71" s="583"/>
      <c r="P71" s="192">
        <v>1347.3</v>
      </c>
      <c r="Q71" s="175"/>
      <c r="R71" s="176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</row>
    <row r="72" spans="1:48" s="11" customFormat="1" ht="14.4" x14ac:dyDescent="0.3">
      <c r="A72" s="12" t="s">
        <v>56</v>
      </c>
      <c r="B72" s="2">
        <f>'GERAL 2023'!H14</f>
        <v>15.019858156028368</v>
      </c>
      <c r="C72" s="88">
        <v>12</v>
      </c>
      <c r="D72" s="2">
        <f t="shared" si="9"/>
        <v>1.2516548463356973</v>
      </c>
      <c r="E72" s="574"/>
      <c r="F72" s="540"/>
      <c r="G72" s="540"/>
      <c r="N72" s="514" t="s">
        <v>793</v>
      </c>
      <c r="O72" s="514"/>
      <c r="P72" s="196">
        <v>25.08</v>
      </c>
      <c r="Q72" s="175"/>
      <c r="R72" s="176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</row>
    <row r="73" spans="1:48" s="11" customFormat="1" ht="14.4" x14ac:dyDescent="0.3">
      <c r="A73" s="79" t="s">
        <v>35</v>
      </c>
      <c r="B73" s="80">
        <f>'GERAL 2022'!J15</f>
        <v>117.85</v>
      </c>
      <c r="C73" s="78">
        <v>6</v>
      </c>
      <c r="D73" s="80">
        <f t="shared" si="9"/>
        <v>19.641666666666666</v>
      </c>
      <c r="E73" s="574"/>
      <c r="F73" s="540"/>
      <c r="G73" s="540"/>
      <c r="N73" s="581" t="s">
        <v>544</v>
      </c>
      <c r="O73" s="582"/>
      <c r="P73" s="212">
        <v>150</v>
      </c>
      <c r="Q73" s="175"/>
      <c r="R73" s="176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</row>
    <row r="74" spans="1:48" s="11" customFormat="1" ht="14.4" x14ac:dyDescent="0.3">
      <c r="A74" s="12" t="s">
        <v>36</v>
      </c>
      <c r="B74" s="2">
        <f>'GERAL 2023'!H15</f>
        <v>15.019858156028368</v>
      </c>
      <c r="C74" s="88">
        <v>12</v>
      </c>
      <c r="D74" s="2">
        <f t="shared" si="9"/>
        <v>1.2516548463356973</v>
      </c>
      <c r="E74" s="574"/>
      <c r="F74" s="540"/>
      <c r="G74" s="540"/>
      <c r="N74" s="520" t="s">
        <v>716</v>
      </c>
      <c r="O74" s="520"/>
      <c r="P74" s="5">
        <v>61.39</v>
      </c>
      <c r="Q74" s="175"/>
      <c r="R74" s="178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</row>
    <row r="75" spans="1:48" s="11" customFormat="1" ht="14.4" x14ac:dyDescent="0.3">
      <c r="A75" s="79" t="s">
        <v>47</v>
      </c>
      <c r="B75" s="80">
        <f>'GERAL 2022'!J39</f>
        <v>118.18</v>
      </c>
      <c r="C75" s="78">
        <v>6</v>
      </c>
      <c r="D75" s="80">
        <f t="shared" si="9"/>
        <v>19.696666666666669</v>
      </c>
      <c r="E75" s="574"/>
      <c r="F75" s="540"/>
      <c r="G75" s="540"/>
      <c r="K75" s="14"/>
      <c r="L75" s="14"/>
      <c r="M75" s="14"/>
      <c r="N75" s="563"/>
      <c r="O75" s="563"/>
      <c r="P75" s="141"/>
      <c r="Q75" s="175"/>
      <c r="R75" s="178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</row>
    <row r="76" spans="1:48" s="11" customFormat="1" ht="14.4" x14ac:dyDescent="0.3">
      <c r="A76" s="12" t="s">
        <v>48</v>
      </c>
      <c r="B76" s="2">
        <f>'GERAL 2023'!H16</f>
        <v>15.019858156028368</v>
      </c>
      <c r="C76" s="88">
        <v>12</v>
      </c>
      <c r="D76" s="2">
        <f t="shared" si="9"/>
        <v>1.2516548463356973</v>
      </c>
      <c r="E76" s="574"/>
      <c r="F76" s="540"/>
      <c r="G76" s="540"/>
      <c r="K76" s="15"/>
      <c r="L76" s="15"/>
      <c r="M76" s="15"/>
      <c r="N76" s="520"/>
      <c r="O76" s="520"/>
      <c r="P76" s="165"/>
      <c r="Q76" s="175"/>
      <c r="R76" s="178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</row>
    <row r="77" spans="1:48" s="11" customFormat="1" ht="14.4" x14ac:dyDescent="0.3">
      <c r="A77" s="79" t="s">
        <v>16</v>
      </c>
      <c r="B77" s="80">
        <f>'GERAL 2023'!J36</f>
        <v>119.02</v>
      </c>
      <c r="C77" s="78">
        <v>6</v>
      </c>
      <c r="D77" s="80">
        <f t="shared" si="9"/>
        <v>19.836666666666666</v>
      </c>
      <c r="E77" s="574"/>
      <c r="F77" s="540"/>
      <c r="G77" s="540"/>
      <c r="K77" s="14"/>
      <c r="L77" s="14"/>
      <c r="M77" s="14"/>
      <c r="N77" s="518" t="s">
        <v>26</v>
      </c>
      <c r="O77" s="518"/>
      <c r="P77" s="109">
        <f>SUM(P49:P76)</f>
        <v>3752.1233583972585</v>
      </c>
      <c r="Q77" s="175"/>
      <c r="R77" s="178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</row>
    <row r="78" spans="1:48" s="11" customFormat="1" ht="14.4" x14ac:dyDescent="0.3">
      <c r="A78" s="12" t="s">
        <v>17</v>
      </c>
      <c r="B78" s="2">
        <f>'GERAL 2023'!H36</f>
        <v>21.027801418439715</v>
      </c>
      <c r="C78" s="88">
        <v>12</v>
      </c>
      <c r="D78" s="2">
        <f t="shared" si="9"/>
        <v>1.7523167848699763</v>
      </c>
      <c r="E78" s="574"/>
      <c r="F78" s="540"/>
      <c r="G78" s="540"/>
      <c r="K78" s="14"/>
      <c r="L78" s="14"/>
      <c r="M78" s="14"/>
      <c r="N78" s="543"/>
      <c r="O78" s="543"/>
      <c r="P78" s="135"/>
      <c r="Q78" s="175"/>
      <c r="R78" s="178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</row>
    <row r="79" spans="1:48" s="11" customFormat="1" ht="14.4" x14ac:dyDescent="0.3">
      <c r="A79" s="79" t="s">
        <v>27</v>
      </c>
      <c r="B79" s="80">
        <f>'GERAL 2023'!J37</f>
        <v>118.68</v>
      </c>
      <c r="C79" s="78">
        <v>6</v>
      </c>
      <c r="D79" s="80">
        <f t="shared" si="9"/>
        <v>19.78</v>
      </c>
      <c r="E79" s="574"/>
      <c r="F79" s="540"/>
      <c r="G79" s="540"/>
      <c r="K79" s="14"/>
      <c r="L79" s="14"/>
      <c r="M79" s="14"/>
      <c r="N79" s="564" t="s">
        <v>11</v>
      </c>
      <c r="O79" s="565"/>
      <c r="P79" s="153">
        <f>K6+K36+K40</f>
        <v>15615.643032828111</v>
      </c>
      <c r="Q79" s="175"/>
      <c r="R79" s="178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</row>
    <row r="80" spans="1:48" s="11" customFormat="1" x14ac:dyDescent="0.3">
      <c r="A80" s="12" t="s">
        <v>28</v>
      </c>
      <c r="B80" s="2">
        <f>'GERAL 2023'!H37</f>
        <v>15.019858156028368</v>
      </c>
      <c r="C80" s="88">
        <v>12</v>
      </c>
      <c r="D80" s="2">
        <f t="shared" si="9"/>
        <v>1.2516548463356973</v>
      </c>
      <c r="E80" s="574"/>
      <c r="F80" s="540"/>
      <c r="G80" s="540"/>
      <c r="K80" s="14"/>
      <c r="L80" s="14"/>
      <c r="M80" s="14"/>
      <c r="N80" s="518"/>
      <c r="O80" s="518"/>
      <c r="P80" s="519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</row>
    <row r="81" spans="1:48" s="69" customFormat="1" x14ac:dyDescent="0.3">
      <c r="A81" s="79" t="s">
        <v>18</v>
      </c>
      <c r="B81" s="80">
        <f>'GERAL 2022'!J41</f>
        <v>118.18</v>
      </c>
      <c r="C81" s="78">
        <v>6</v>
      </c>
      <c r="D81" s="80">
        <f t="shared" si="9"/>
        <v>19.696666666666669</v>
      </c>
      <c r="E81" s="574"/>
      <c r="F81" s="540"/>
      <c r="G81" s="540"/>
      <c r="H81" s="11"/>
      <c r="I81" s="11"/>
      <c r="J81" s="11"/>
      <c r="K81" s="14"/>
      <c r="L81" s="14"/>
      <c r="M81" s="14"/>
      <c r="N81" s="513" t="s">
        <v>13</v>
      </c>
      <c r="O81" s="513"/>
      <c r="P81" s="151">
        <f>P79-P77</f>
        <v>11863.519674430852</v>
      </c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</row>
    <row r="82" spans="1:48" s="69" customFormat="1" x14ac:dyDescent="0.3">
      <c r="A82" s="12" t="s">
        <v>19</v>
      </c>
      <c r="B82" s="2">
        <f>'GERAL 2023'!H19</f>
        <v>15.019858156028368</v>
      </c>
      <c r="C82" s="88">
        <v>12</v>
      </c>
      <c r="D82" s="2">
        <f>B82/C82</f>
        <v>1.2516548463356973</v>
      </c>
      <c r="E82" s="574"/>
      <c r="F82" s="540"/>
      <c r="G82" s="540"/>
      <c r="H82" s="11"/>
      <c r="I82" s="11"/>
      <c r="J82" s="11"/>
      <c r="K82" s="14"/>
      <c r="L82" s="14"/>
      <c r="M82" s="14"/>
      <c r="N82" s="124"/>
      <c r="O82" s="124"/>
      <c r="P82" s="57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</row>
    <row r="83" spans="1:48" s="69" customFormat="1" x14ac:dyDescent="0.3">
      <c r="A83" s="79" t="s">
        <v>37</v>
      </c>
      <c r="B83" s="80">
        <f>'GERAL 2022'!J42</f>
        <v>118.92</v>
      </c>
      <c r="C83" s="78">
        <v>6</v>
      </c>
      <c r="D83" s="80">
        <f t="shared" si="9"/>
        <v>19.82</v>
      </c>
      <c r="E83" s="574"/>
      <c r="F83" s="540"/>
      <c r="G83" s="540"/>
      <c r="H83" s="11"/>
      <c r="I83" s="11"/>
      <c r="J83" s="11"/>
      <c r="K83" s="14"/>
      <c r="L83" s="14"/>
      <c r="M83" s="14"/>
      <c r="N83" s="124"/>
      <c r="O83" s="124"/>
      <c r="P83" s="57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</row>
    <row r="84" spans="1:48" s="69" customFormat="1" x14ac:dyDescent="0.3">
      <c r="A84" s="12" t="s">
        <v>38</v>
      </c>
      <c r="B84" s="2">
        <f>'GERAL 2023'!H20</f>
        <v>15.019858156028368</v>
      </c>
      <c r="C84" s="88">
        <v>12</v>
      </c>
      <c r="D84" s="2">
        <f t="shared" si="9"/>
        <v>1.2516548463356973</v>
      </c>
      <c r="E84" s="574"/>
      <c r="F84" s="540"/>
      <c r="G84" s="540"/>
      <c r="H84" s="11"/>
      <c r="I84" s="11"/>
      <c r="J84" s="11"/>
      <c r="K84" s="14"/>
      <c r="L84" s="14"/>
      <c r="M84" s="14"/>
      <c r="N84" s="124"/>
      <c r="O84" s="124"/>
      <c r="P84" s="57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</row>
    <row r="85" spans="1:48" s="69" customFormat="1" x14ac:dyDescent="0.3">
      <c r="A85" s="79" t="s">
        <v>45</v>
      </c>
      <c r="B85" s="80">
        <f>'GERAL 2022'!J43</f>
        <v>117.85</v>
      </c>
      <c r="C85" s="78">
        <v>6</v>
      </c>
      <c r="D85" s="80">
        <f t="shared" si="9"/>
        <v>19.641666666666666</v>
      </c>
      <c r="E85" s="574"/>
      <c r="F85" s="540"/>
      <c r="G85" s="540"/>
      <c r="H85" s="11"/>
      <c r="I85" s="11"/>
      <c r="J85" s="11"/>
      <c r="K85" s="14"/>
      <c r="L85" s="14"/>
      <c r="M85" s="14"/>
      <c r="N85" s="124"/>
      <c r="O85" s="124"/>
      <c r="P85" s="57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</row>
    <row r="86" spans="1:48" s="69" customFormat="1" x14ac:dyDescent="0.3">
      <c r="A86" s="12" t="s">
        <v>39</v>
      </c>
      <c r="B86" s="2">
        <f>'GERAL 2023'!H21</f>
        <v>15.019858156028368</v>
      </c>
      <c r="C86" s="88">
        <v>12</v>
      </c>
      <c r="D86" s="2">
        <f t="shared" si="9"/>
        <v>1.2516548463356973</v>
      </c>
      <c r="E86" s="574"/>
      <c r="F86" s="540"/>
      <c r="G86" s="540"/>
      <c r="H86" s="11"/>
      <c r="I86" s="11"/>
      <c r="J86" s="11"/>
      <c r="K86" s="14"/>
      <c r="L86" s="14"/>
      <c r="M86" s="14"/>
      <c r="N86" s="15"/>
      <c r="O86" s="14"/>
      <c r="P86" s="57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</row>
    <row r="87" spans="1:48" s="69" customFormat="1" x14ac:dyDescent="0.3">
      <c r="A87" s="81" t="s">
        <v>49</v>
      </c>
      <c r="B87" s="80">
        <f>'GERAL 2022'!J22</f>
        <v>119.12</v>
      </c>
      <c r="C87" s="78">
        <v>6</v>
      </c>
      <c r="D87" s="80">
        <f t="shared" si="9"/>
        <v>19.853333333333335</v>
      </c>
      <c r="E87" s="574"/>
      <c r="F87" s="540"/>
      <c r="G87" s="540"/>
      <c r="H87" s="11"/>
      <c r="I87" s="11"/>
      <c r="J87" s="11"/>
      <c r="K87" s="14"/>
      <c r="L87" s="14"/>
      <c r="M87" s="14"/>
      <c r="N87" s="11"/>
      <c r="O87" s="15"/>
      <c r="P87" s="57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</row>
    <row r="88" spans="1:48" s="69" customFormat="1" x14ac:dyDescent="0.3">
      <c r="A88" s="90" t="s">
        <v>50</v>
      </c>
      <c r="B88" s="2">
        <f>'GERAL 2023'!H22</f>
        <v>15.019858156028368</v>
      </c>
      <c r="C88" s="88">
        <v>12</v>
      </c>
      <c r="D88" s="2">
        <f t="shared" si="9"/>
        <v>1.2516548463356973</v>
      </c>
      <c r="E88" s="574"/>
      <c r="F88" s="540"/>
      <c r="G88" s="540"/>
      <c r="H88" s="11"/>
      <c r="I88" s="11"/>
      <c r="J88" s="11"/>
      <c r="K88" s="14"/>
      <c r="L88" s="14"/>
      <c r="M88" s="14"/>
      <c r="N88" s="11"/>
      <c r="O88" s="11"/>
      <c r="P88" s="57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</row>
    <row r="89" spans="1:48" s="69" customFormat="1" x14ac:dyDescent="0.3">
      <c r="A89" s="81" t="s">
        <v>43</v>
      </c>
      <c r="B89" s="80">
        <f>'GERAL 2022'!J23</f>
        <v>117.26</v>
      </c>
      <c r="C89" s="78">
        <v>6</v>
      </c>
      <c r="D89" s="80">
        <f t="shared" si="9"/>
        <v>19.543333333333333</v>
      </c>
      <c r="E89" s="574"/>
      <c r="F89" s="540"/>
      <c r="G89" s="540"/>
      <c r="H89" s="11"/>
      <c r="I89" s="11"/>
      <c r="J89" s="11"/>
      <c r="K89" s="14"/>
      <c r="L89" s="14"/>
      <c r="M89" s="14"/>
      <c r="N89" s="14"/>
      <c r="O89" s="14"/>
      <c r="P89" s="57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</row>
    <row r="90" spans="1:48" s="69" customFormat="1" x14ac:dyDescent="0.3">
      <c r="A90" s="90" t="s">
        <v>44</v>
      </c>
      <c r="B90" s="2">
        <f>'GERAL 2023'!H23</f>
        <v>15.019858156028368</v>
      </c>
      <c r="C90" s="88">
        <v>12</v>
      </c>
      <c r="D90" s="2">
        <f t="shared" si="9"/>
        <v>1.2516548463356973</v>
      </c>
      <c r="E90" s="574"/>
      <c r="F90" s="540"/>
      <c r="G90" s="540"/>
      <c r="H90" s="11"/>
      <c r="I90" s="11"/>
      <c r="J90" s="11"/>
      <c r="K90" s="14"/>
      <c r="L90" s="14"/>
      <c r="M90" s="14"/>
      <c r="N90" s="14"/>
      <c r="O90" s="15"/>
      <c r="P90" s="57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</row>
    <row r="91" spans="1:48" s="69" customFormat="1" x14ac:dyDescent="0.3">
      <c r="A91" s="81" t="s">
        <v>51</v>
      </c>
      <c r="B91" s="80">
        <f>'GERAL 2022'!J24</f>
        <v>117.26</v>
      </c>
      <c r="C91" s="78">
        <v>6</v>
      </c>
      <c r="D91" s="80">
        <f t="shared" si="9"/>
        <v>19.543333333333333</v>
      </c>
      <c r="E91" s="574"/>
      <c r="F91" s="540"/>
      <c r="G91" s="540"/>
      <c r="H91" s="11"/>
      <c r="I91" s="11"/>
      <c r="J91" s="11"/>
      <c r="K91" s="14"/>
      <c r="L91" s="14"/>
      <c r="M91" s="14"/>
      <c r="N91" s="14"/>
      <c r="O91" s="11"/>
      <c r="P91" s="57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</row>
    <row r="92" spans="1:48" s="69" customFormat="1" x14ac:dyDescent="0.3">
      <c r="A92" s="90" t="s">
        <v>52</v>
      </c>
      <c r="B92" s="2">
        <f>'GERAL 2023'!H24</f>
        <v>15.019858156028368</v>
      </c>
      <c r="C92" s="88">
        <v>12</v>
      </c>
      <c r="D92" s="2">
        <f t="shared" si="9"/>
        <v>1.2516548463356973</v>
      </c>
      <c r="E92" s="574"/>
      <c r="F92" s="540"/>
      <c r="G92" s="540"/>
      <c r="K92" s="142"/>
      <c r="L92" s="142"/>
      <c r="M92" s="142"/>
      <c r="N92" s="14"/>
      <c r="O92" s="11"/>
      <c r="P92" s="57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</row>
    <row r="93" spans="1:48" s="70" customFormat="1" x14ac:dyDescent="0.3">
      <c r="A93" s="81" t="s">
        <v>53</v>
      </c>
      <c r="B93" s="80">
        <f>'GERAL 2022'!J25</f>
        <v>117.85</v>
      </c>
      <c r="C93" s="78">
        <v>6</v>
      </c>
      <c r="D93" s="80">
        <f t="shared" si="9"/>
        <v>19.641666666666666</v>
      </c>
      <c r="E93" s="574"/>
      <c r="F93" s="540"/>
      <c r="G93" s="540"/>
      <c r="H93" s="63"/>
      <c r="I93" s="63"/>
      <c r="J93" s="63"/>
      <c r="K93" s="69"/>
      <c r="L93" s="69"/>
      <c r="M93" s="69"/>
      <c r="N93" s="11"/>
      <c r="O93" s="11"/>
      <c r="P93" s="57"/>
    </row>
    <row r="94" spans="1:48" s="70" customFormat="1" ht="15" customHeight="1" x14ac:dyDescent="0.3">
      <c r="A94" s="90" t="s">
        <v>54</v>
      </c>
      <c r="B94" s="2">
        <f>'GERAL 2023'!H25</f>
        <v>15.019858156028368</v>
      </c>
      <c r="C94" s="88">
        <v>12</v>
      </c>
      <c r="D94" s="2">
        <f t="shared" si="9"/>
        <v>1.2516548463356973</v>
      </c>
      <c r="E94" s="574"/>
      <c r="F94" s="540"/>
      <c r="G94" s="540"/>
      <c r="H94" s="11"/>
      <c r="I94" s="11"/>
      <c r="J94" s="63"/>
      <c r="K94" s="142"/>
      <c r="L94" s="142"/>
      <c r="M94" s="142"/>
      <c r="N94" s="11"/>
      <c r="O94" s="14"/>
      <c r="P94" s="57"/>
      <c r="AV94" s="69"/>
    </row>
    <row r="95" spans="1:48" s="70" customFormat="1" x14ac:dyDescent="0.3">
      <c r="A95" s="81" t="s">
        <v>78</v>
      </c>
      <c r="B95" s="80">
        <f>'GERAL 2022'!J26</f>
        <v>119.02</v>
      </c>
      <c r="C95" s="78">
        <v>6</v>
      </c>
      <c r="D95" s="80">
        <f t="shared" si="9"/>
        <v>19.836666666666666</v>
      </c>
      <c r="E95" s="574"/>
      <c r="F95" s="540"/>
      <c r="G95" s="540"/>
      <c r="H95" s="142"/>
      <c r="I95" s="142"/>
      <c r="J95" s="142"/>
      <c r="K95" s="142"/>
      <c r="L95" s="142"/>
      <c r="M95" s="142"/>
      <c r="N95" s="11"/>
      <c r="O95" s="14"/>
      <c r="P95" s="57"/>
      <c r="AV95" s="69"/>
    </row>
    <row r="96" spans="1:48" s="70" customFormat="1" x14ac:dyDescent="0.3">
      <c r="A96" s="90" t="s">
        <v>79</v>
      </c>
      <c r="B96" s="2">
        <f>'GERAL 2023'!H26</f>
        <v>21.027801418439715</v>
      </c>
      <c r="C96" s="88">
        <v>12</v>
      </c>
      <c r="D96" s="2">
        <f t="shared" si="9"/>
        <v>1.7523167848699763</v>
      </c>
      <c r="E96" s="574"/>
      <c r="F96" s="540"/>
      <c r="G96" s="540"/>
      <c r="H96" s="11"/>
      <c r="I96" s="11"/>
      <c r="J96" s="63"/>
      <c r="K96" s="142"/>
      <c r="L96" s="142"/>
      <c r="M96" s="142"/>
      <c r="N96" s="11"/>
      <c r="O96" s="14"/>
      <c r="P96" s="57"/>
      <c r="AV96" s="69"/>
    </row>
    <row r="97" spans="1:48" s="70" customFormat="1" x14ac:dyDescent="0.3">
      <c r="A97" s="81" t="s">
        <v>80</v>
      </c>
      <c r="B97" s="80">
        <f>'GERAL 2022'!J44</f>
        <v>118.53</v>
      </c>
      <c r="C97" s="78">
        <v>6</v>
      </c>
      <c r="D97" s="80">
        <f t="shared" si="9"/>
        <v>19.754999999999999</v>
      </c>
      <c r="E97" s="574"/>
      <c r="F97" s="540"/>
      <c r="G97" s="540"/>
      <c r="H97" s="142"/>
      <c r="I97" s="142"/>
      <c r="J97" s="142"/>
      <c r="K97" s="142"/>
      <c r="L97" s="142"/>
      <c r="M97" s="142"/>
      <c r="N97" s="11"/>
      <c r="O97" s="14"/>
      <c r="P97" s="57"/>
      <c r="AV97" s="69"/>
    </row>
    <row r="98" spans="1:48" s="70" customFormat="1" x14ac:dyDescent="0.3">
      <c r="A98" s="90" t="s">
        <v>81</v>
      </c>
      <c r="B98" s="2">
        <f>'GERAL 2023'!H27</f>
        <v>15.019858156028368</v>
      </c>
      <c r="C98" s="88">
        <v>12</v>
      </c>
      <c r="D98" s="2">
        <f t="shared" si="9"/>
        <v>1.2516548463356973</v>
      </c>
      <c r="E98" s="574"/>
      <c r="F98" s="540"/>
      <c r="G98" s="540"/>
      <c r="H98" s="11"/>
      <c r="I98" s="11"/>
      <c r="J98" s="63"/>
      <c r="K98" s="142"/>
      <c r="L98" s="142"/>
      <c r="M98" s="142"/>
      <c r="N98" s="11"/>
      <c r="O98" s="11"/>
      <c r="P98" s="57"/>
      <c r="AV98" s="69"/>
    </row>
    <row r="99" spans="1:48" s="70" customFormat="1" x14ac:dyDescent="0.3">
      <c r="A99" s="81" t="s">
        <v>82</v>
      </c>
      <c r="B99" s="80">
        <f>'GERAL 2022'!J28</f>
        <v>117.95</v>
      </c>
      <c r="C99" s="78">
        <v>6</v>
      </c>
      <c r="D99" s="80">
        <f t="shared" si="9"/>
        <v>19.658333333333335</v>
      </c>
      <c r="E99" s="574"/>
      <c r="F99" s="540"/>
      <c r="G99" s="540"/>
      <c r="H99" s="142"/>
      <c r="I99" s="142"/>
      <c r="J99" s="142"/>
      <c r="K99" s="142"/>
      <c r="L99" s="142"/>
      <c r="M99" s="142"/>
      <c r="N99" s="11"/>
      <c r="O99" s="11"/>
      <c r="P99" s="57"/>
      <c r="AV99" s="69"/>
    </row>
    <row r="100" spans="1:48" s="70" customFormat="1" x14ac:dyDescent="0.3">
      <c r="A100" s="90" t="s">
        <v>83</v>
      </c>
      <c r="B100" s="2">
        <f>'GERAL 2023'!H28</f>
        <v>15.019858156028368</v>
      </c>
      <c r="C100" s="88">
        <v>12</v>
      </c>
      <c r="D100" s="2">
        <f t="shared" si="9"/>
        <v>1.2516548463356973</v>
      </c>
      <c r="E100" s="574"/>
      <c r="F100" s="540"/>
      <c r="G100" s="540"/>
      <c r="H100" s="11"/>
      <c r="I100" s="11"/>
      <c r="J100" s="63"/>
      <c r="K100" s="142"/>
      <c r="L100" s="142"/>
      <c r="M100" s="142"/>
      <c r="N100" s="69"/>
      <c r="O100" s="69"/>
      <c r="P100" s="69"/>
      <c r="AV100" s="69"/>
    </row>
    <row r="101" spans="1:48" s="70" customFormat="1" x14ac:dyDescent="0.3">
      <c r="A101" s="81" t="s">
        <v>84</v>
      </c>
      <c r="B101" s="80">
        <f>'GERAL 2022'!J45</f>
        <v>118.18</v>
      </c>
      <c r="C101" s="78">
        <v>6</v>
      </c>
      <c r="D101" s="80">
        <f t="shared" si="9"/>
        <v>19.696666666666669</v>
      </c>
      <c r="E101" s="574"/>
      <c r="F101" s="540"/>
      <c r="G101" s="540"/>
      <c r="H101" s="142"/>
      <c r="I101" s="142"/>
      <c r="J101" s="142"/>
      <c r="K101" s="142"/>
      <c r="L101" s="142"/>
      <c r="M101" s="142"/>
      <c r="N101" s="69"/>
      <c r="O101" s="69"/>
      <c r="P101" s="69"/>
      <c r="AV101" s="69"/>
    </row>
    <row r="102" spans="1:48" s="70" customFormat="1" x14ac:dyDescent="0.3">
      <c r="A102" s="90" t="s">
        <v>85</v>
      </c>
      <c r="B102" s="2">
        <f>'GERAL 2023'!H29</f>
        <v>15.019858156028368</v>
      </c>
      <c r="C102" s="88">
        <v>12</v>
      </c>
      <c r="D102" s="2">
        <f t="shared" si="9"/>
        <v>1.2516548463356973</v>
      </c>
      <c r="E102" s="574"/>
      <c r="F102" s="540"/>
      <c r="G102" s="540"/>
      <c r="H102" s="11"/>
      <c r="I102" s="11"/>
      <c r="J102" s="63"/>
      <c r="K102" s="142"/>
      <c r="L102" s="142"/>
      <c r="M102" s="142"/>
      <c r="N102" s="69"/>
      <c r="O102" s="69"/>
      <c r="P102" s="69"/>
      <c r="AV102" s="69"/>
    </row>
    <row r="103" spans="1:48" s="70" customFormat="1" x14ac:dyDescent="0.3">
      <c r="A103" s="69"/>
      <c r="B103" s="189"/>
      <c r="C103" s="189"/>
      <c r="D103" s="189"/>
      <c r="E103" s="574"/>
      <c r="F103" s="540"/>
      <c r="G103" s="540"/>
      <c r="H103" s="142"/>
      <c r="I103" s="142"/>
      <c r="J103" s="142"/>
      <c r="K103" s="142"/>
      <c r="L103" s="142"/>
      <c r="M103" s="142"/>
      <c r="N103" s="69"/>
      <c r="O103" s="69"/>
      <c r="P103" s="69"/>
      <c r="AV103" s="69"/>
    </row>
    <row r="104" spans="1:48" s="70" customFormat="1" x14ac:dyDescent="0.3">
      <c r="A104" s="69"/>
      <c r="B104" s="69"/>
      <c r="C104" s="69"/>
      <c r="D104" s="69"/>
      <c r="E104" s="69"/>
      <c r="F104" s="69"/>
      <c r="G104" s="69"/>
      <c r="H104" s="142"/>
      <c r="I104" s="142"/>
      <c r="J104" s="142"/>
      <c r="K104" s="142"/>
      <c r="L104" s="142"/>
      <c r="M104" s="142"/>
      <c r="N104" s="69"/>
      <c r="O104" s="69"/>
      <c r="P104" s="69"/>
      <c r="AV104" s="69"/>
    </row>
    <row r="105" spans="1:48" s="70" customFormat="1" x14ac:dyDescent="0.3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142"/>
      <c r="L105" s="142"/>
      <c r="M105" s="142"/>
      <c r="N105" s="69"/>
      <c r="O105" s="69"/>
      <c r="P105" s="69"/>
      <c r="AV105" s="69"/>
    </row>
    <row r="106" spans="1:48" s="70" customFormat="1" x14ac:dyDescent="0.3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142"/>
      <c r="L106" s="142"/>
      <c r="M106" s="142"/>
      <c r="N106" s="69"/>
      <c r="O106" s="69"/>
      <c r="P106" s="69"/>
      <c r="AV106" s="69"/>
    </row>
    <row r="107" spans="1:48" s="70" customFormat="1" x14ac:dyDescent="0.3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142"/>
      <c r="L107" s="142"/>
      <c r="M107" s="142"/>
      <c r="N107" s="144"/>
      <c r="O107" s="69"/>
      <c r="P107" s="69"/>
      <c r="AV107" s="69"/>
    </row>
    <row r="108" spans="1:48" s="70" customFormat="1" x14ac:dyDescent="0.3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142"/>
      <c r="L108" s="142"/>
      <c r="M108" s="142"/>
      <c r="N108" s="144"/>
      <c r="O108" s="69"/>
      <c r="P108" s="69"/>
      <c r="AV108" s="69"/>
    </row>
    <row r="109" spans="1:48" s="70" customFormat="1" x14ac:dyDescent="0.3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142"/>
      <c r="L109" s="142"/>
      <c r="M109" s="142"/>
      <c r="N109" s="144"/>
      <c r="O109" s="69"/>
      <c r="AV109" s="69"/>
    </row>
    <row r="110" spans="1:48" s="70" customFormat="1" x14ac:dyDescent="0.3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142"/>
      <c r="L110" s="142"/>
      <c r="M110" s="142"/>
      <c r="N110" s="144"/>
      <c r="O110" s="69"/>
      <c r="AV110" s="69"/>
    </row>
    <row r="111" spans="1:48" s="70" customFormat="1" x14ac:dyDescent="0.3">
      <c r="E111" s="69"/>
      <c r="F111" s="69"/>
      <c r="G111" s="69"/>
      <c r="H111" s="69"/>
      <c r="I111" s="69"/>
      <c r="J111" s="69"/>
      <c r="K111" s="142"/>
      <c r="L111" s="142"/>
      <c r="M111" s="142"/>
      <c r="N111" s="144"/>
      <c r="O111" s="69"/>
      <c r="AV111" s="69"/>
    </row>
    <row r="112" spans="1:48" s="70" customFormat="1" x14ac:dyDescent="0.3">
      <c r="H112" s="69"/>
      <c r="I112" s="69"/>
      <c r="J112" s="69"/>
      <c r="K112" s="142"/>
      <c r="L112" s="142"/>
      <c r="M112" s="142"/>
      <c r="N112" s="144"/>
      <c r="O112" s="144"/>
      <c r="AV112" s="69"/>
    </row>
    <row r="113" spans="11:48" s="70" customFormat="1" x14ac:dyDescent="0.3">
      <c r="K113" s="142"/>
      <c r="L113" s="142"/>
      <c r="M113" s="142"/>
      <c r="N113" s="144"/>
      <c r="O113" s="144"/>
      <c r="AV113" s="69"/>
    </row>
    <row r="114" spans="11:48" s="70" customFormat="1" x14ac:dyDescent="0.3">
      <c r="K114" s="142"/>
      <c r="L114" s="142"/>
      <c r="M114" s="142"/>
      <c r="N114" s="144"/>
      <c r="O114" s="144"/>
      <c r="AV114" s="69"/>
    </row>
    <row r="115" spans="11:48" s="70" customFormat="1" x14ac:dyDescent="0.3">
      <c r="K115" s="142"/>
      <c r="L115" s="142"/>
      <c r="M115" s="142"/>
      <c r="N115" s="144"/>
      <c r="O115" s="144"/>
      <c r="AV115" s="69"/>
    </row>
    <row r="116" spans="11:48" s="70" customFormat="1" x14ac:dyDescent="0.3">
      <c r="K116" s="142"/>
      <c r="L116" s="142"/>
      <c r="M116" s="142"/>
      <c r="N116" s="144"/>
      <c r="O116" s="144"/>
      <c r="AV116" s="69"/>
    </row>
    <row r="117" spans="11:48" s="70" customFormat="1" x14ac:dyDescent="0.3">
      <c r="K117" s="142"/>
      <c r="L117" s="142"/>
      <c r="M117" s="142"/>
      <c r="N117" s="144"/>
      <c r="O117" s="144"/>
      <c r="AV117" s="69"/>
    </row>
    <row r="118" spans="11:48" s="70" customFormat="1" x14ac:dyDescent="0.3">
      <c r="K118" s="142"/>
      <c r="L118" s="142"/>
      <c r="M118" s="142"/>
      <c r="N118" s="144"/>
      <c r="O118" s="144"/>
      <c r="AV118" s="69"/>
    </row>
    <row r="119" spans="11:48" s="70" customFormat="1" x14ac:dyDescent="0.3">
      <c r="K119" s="142"/>
      <c r="L119" s="142"/>
      <c r="M119" s="142"/>
      <c r="N119" s="144"/>
      <c r="O119" s="144"/>
      <c r="AV119" s="69"/>
    </row>
    <row r="120" spans="11:48" s="70" customFormat="1" x14ac:dyDescent="0.3">
      <c r="K120" s="142"/>
      <c r="L120" s="142"/>
      <c r="M120" s="142"/>
      <c r="N120" s="144"/>
      <c r="O120" s="144"/>
      <c r="AV120" s="69"/>
    </row>
    <row r="121" spans="11:48" s="70" customFormat="1" x14ac:dyDescent="0.3">
      <c r="K121" s="142"/>
      <c r="L121" s="142"/>
      <c r="M121" s="142"/>
      <c r="N121" s="144"/>
      <c r="O121" s="144"/>
      <c r="AV121" s="69"/>
    </row>
    <row r="122" spans="11:48" s="70" customFormat="1" x14ac:dyDescent="0.3">
      <c r="K122" s="142"/>
      <c r="L122" s="142"/>
      <c r="M122" s="142"/>
      <c r="N122" s="144"/>
      <c r="O122" s="144"/>
      <c r="AV122" s="69"/>
    </row>
    <row r="123" spans="11:48" s="70" customFormat="1" x14ac:dyDescent="0.3">
      <c r="K123" s="142"/>
      <c r="L123" s="142"/>
      <c r="M123" s="142"/>
      <c r="N123" s="144"/>
      <c r="O123" s="144"/>
      <c r="AV123" s="69"/>
    </row>
    <row r="124" spans="11:48" s="70" customFormat="1" x14ac:dyDescent="0.3">
      <c r="K124" s="142"/>
      <c r="L124" s="142"/>
      <c r="M124" s="142"/>
      <c r="N124" s="144"/>
      <c r="O124" s="144"/>
      <c r="AV124" s="69"/>
    </row>
    <row r="125" spans="11:48" s="70" customFormat="1" x14ac:dyDescent="0.3">
      <c r="K125" s="142"/>
      <c r="L125" s="142"/>
      <c r="M125" s="142"/>
      <c r="N125" s="144"/>
      <c r="O125" s="144"/>
      <c r="AV125" s="69"/>
    </row>
    <row r="126" spans="11:48" s="70" customFormat="1" x14ac:dyDescent="0.3">
      <c r="K126" s="142"/>
      <c r="L126" s="142"/>
      <c r="M126" s="142"/>
      <c r="N126" s="144"/>
      <c r="O126" s="144"/>
      <c r="AV126" s="69"/>
    </row>
    <row r="127" spans="11:48" s="70" customFormat="1" x14ac:dyDescent="0.3">
      <c r="K127" s="142"/>
      <c r="L127" s="142"/>
      <c r="M127" s="142"/>
      <c r="N127" s="144"/>
      <c r="O127" s="144"/>
      <c r="AV127" s="69"/>
    </row>
    <row r="128" spans="11:48" s="70" customFormat="1" x14ac:dyDescent="0.3">
      <c r="K128" s="142"/>
      <c r="L128" s="142"/>
      <c r="M128" s="142"/>
      <c r="N128" s="144"/>
      <c r="O128" s="144"/>
      <c r="AV128" s="69"/>
    </row>
    <row r="129" spans="11:48" s="70" customFormat="1" x14ac:dyDescent="0.3">
      <c r="K129" s="142"/>
      <c r="L129" s="142"/>
      <c r="M129" s="142"/>
      <c r="N129" s="144"/>
      <c r="O129" s="144"/>
      <c r="AV129" s="69"/>
    </row>
    <row r="130" spans="11:48" s="70" customFormat="1" x14ac:dyDescent="0.3">
      <c r="K130" s="142"/>
      <c r="L130" s="142"/>
      <c r="M130" s="142"/>
      <c r="N130" s="144"/>
      <c r="O130" s="144"/>
      <c r="AV130" s="69"/>
    </row>
    <row r="131" spans="11:48" s="70" customFormat="1" x14ac:dyDescent="0.3">
      <c r="K131" s="142"/>
      <c r="L131" s="142"/>
      <c r="M131" s="142"/>
      <c r="N131" s="144"/>
      <c r="O131" s="144"/>
      <c r="AV131" s="69"/>
    </row>
    <row r="132" spans="11:48" s="70" customFormat="1" x14ac:dyDescent="0.3">
      <c r="K132" s="142"/>
      <c r="L132" s="142"/>
      <c r="M132" s="142"/>
      <c r="N132" s="144"/>
      <c r="O132" s="144"/>
      <c r="AV132" s="69"/>
    </row>
    <row r="133" spans="11:48" s="70" customFormat="1" x14ac:dyDescent="0.3">
      <c r="K133" s="142"/>
      <c r="L133" s="142"/>
      <c r="M133" s="142"/>
      <c r="N133" s="144"/>
      <c r="O133" s="144"/>
      <c r="AV133" s="69"/>
    </row>
    <row r="134" spans="11:48" s="70" customFormat="1" x14ac:dyDescent="0.3">
      <c r="K134" s="142"/>
      <c r="L134" s="142"/>
      <c r="M134" s="142"/>
      <c r="N134" s="144"/>
      <c r="O134" s="144"/>
      <c r="AV134" s="69"/>
    </row>
    <row r="135" spans="11:48" s="70" customFormat="1" x14ac:dyDescent="0.3">
      <c r="K135" s="142"/>
      <c r="L135" s="142"/>
      <c r="M135" s="142"/>
      <c r="N135" s="144"/>
      <c r="O135" s="144"/>
      <c r="AV135" s="69"/>
    </row>
    <row r="136" spans="11:48" s="70" customFormat="1" x14ac:dyDescent="0.3">
      <c r="K136" s="142"/>
      <c r="L136" s="142"/>
      <c r="M136" s="142"/>
      <c r="N136" s="144"/>
      <c r="O136" s="144"/>
      <c r="AV136" s="69"/>
    </row>
    <row r="137" spans="11:48" s="70" customFormat="1" x14ac:dyDescent="0.3">
      <c r="K137" s="142"/>
      <c r="L137" s="142"/>
      <c r="M137" s="142"/>
      <c r="N137" s="144"/>
      <c r="O137" s="144"/>
      <c r="AV137" s="69"/>
    </row>
    <row r="138" spans="11:48" s="70" customFormat="1" x14ac:dyDescent="0.3">
      <c r="K138" s="142"/>
      <c r="L138" s="142"/>
      <c r="M138" s="142"/>
      <c r="N138" s="144"/>
      <c r="O138" s="144"/>
      <c r="AV138" s="69"/>
    </row>
    <row r="139" spans="11:48" s="70" customFormat="1" x14ac:dyDescent="0.3">
      <c r="K139" s="142"/>
      <c r="L139" s="142"/>
      <c r="M139" s="142"/>
      <c r="N139" s="144"/>
      <c r="O139" s="144"/>
      <c r="AV139" s="69"/>
    </row>
    <row r="140" spans="11:48" s="70" customFormat="1" x14ac:dyDescent="0.3">
      <c r="K140" s="142"/>
      <c r="L140" s="142"/>
      <c r="M140" s="142"/>
      <c r="N140" s="144"/>
      <c r="O140" s="144"/>
      <c r="AV140" s="69"/>
    </row>
    <row r="141" spans="11:48" s="70" customFormat="1" x14ac:dyDescent="0.3">
      <c r="K141" s="142"/>
      <c r="L141" s="142"/>
      <c r="M141" s="142"/>
      <c r="N141" s="144"/>
      <c r="O141" s="144"/>
      <c r="AV141" s="69"/>
    </row>
    <row r="142" spans="11:48" s="70" customFormat="1" x14ac:dyDescent="0.3">
      <c r="K142" s="142"/>
      <c r="L142" s="142"/>
      <c r="M142" s="142"/>
      <c r="N142" s="144"/>
      <c r="O142" s="144"/>
      <c r="AV142" s="69"/>
    </row>
    <row r="143" spans="11:48" s="70" customFormat="1" x14ac:dyDescent="0.3">
      <c r="K143" s="142"/>
      <c r="L143" s="142"/>
      <c r="M143" s="142"/>
      <c r="N143" s="144"/>
      <c r="O143" s="144"/>
      <c r="AV143" s="69"/>
    </row>
    <row r="144" spans="11:48" s="70" customFormat="1" x14ac:dyDescent="0.3">
      <c r="K144" s="142"/>
      <c r="L144" s="142"/>
      <c r="M144" s="142"/>
      <c r="N144" s="144"/>
      <c r="O144" s="144"/>
      <c r="AV144" s="69"/>
    </row>
    <row r="145" spans="11:48" s="70" customFormat="1" x14ac:dyDescent="0.3">
      <c r="K145" s="142"/>
      <c r="L145" s="142"/>
      <c r="M145" s="142"/>
      <c r="N145" s="144"/>
      <c r="O145" s="144"/>
      <c r="AV145" s="69"/>
    </row>
    <row r="146" spans="11:48" s="70" customFormat="1" x14ac:dyDescent="0.3">
      <c r="K146" s="142"/>
      <c r="L146" s="142"/>
      <c r="M146" s="142"/>
      <c r="N146" s="144"/>
      <c r="O146" s="144"/>
      <c r="AV146" s="69"/>
    </row>
    <row r="147" spans="11:48" s="70" customFormat="1" x14ac:dyDescent="0.3">
      <c r="K147" s="142"/>
      <c r="L147" s="142"/>
      <c r="M147" s="142"/>
      <c r="N147" s="144"/>
      <c r="O147" s="144"/>
      <c r="AV147" s="69"/>
    </row>
    <row r="148" spans="11:48" s="70" customFormat="1" x14ac:dyDescent="0.3">
      <c r="K148" s="142"/>
      <c r="L148" s="142"/>
      <c r="M148" s="142"/>
      <c r="N148" s="144"/>
      <c r="O148" s="144"/>
      <c r="AV148" s="69"/>
    </row>
    <row r="149" spans="11:48" s="70" customFormat="1" x14ac:dyDescent="0.3">
      <c r="K149" s="142"/>
      <c r="L149" s="142"/>
      <c r="M149" s="142"/>
      <c r="N149" s="144"/>
      <c r="O149" s="144"/>
      <c r="AV149" s="69"/>
    </row>
    <row r="150" spans="11:48" s="70" customFormat="1" x14ac:dyDescent="0.3">
      <c r="K150" s="142"/>
      <c r="L150" s="142"/>
      <c r="M150" s="142"/>
      <c r="N150" s="144"/>
      <c r="O150" s="144"/>
      <c r="AV150" s="69"/>
    </row>
    <row r="151" spans="11:48" s="70" customFormat="1" x14ac:dyDescent="0.3">
      <c r="K151" s="142"/>
      <c r="L151" s="142"/>
      <c r="M151" s="142"/>
      <c r="N151" s="144"/>
      <c r="O151" s="144"/>
      <c r="AV151" s="69"/>
    </row>
    <row r="152" spans="11:48" s="70" customFormat="1" x14ac:dyDescent="0.3">
      <c r="K152" s="142"/>
      <c r="L152" s="142"/>
      <c r="M152" s="142"/>
      <c r="N152" s="144"/>
      <c r="O152" s="144"/>
      <c r="AV152" s="69"/>
    </row>
    <row r="153" spans="11:48" s="70" customFormat="1" x14ac:dyDescent="0.3">
      <c r="K153" s="142"/>
      <c r="L153" s="142"/>
      <c r="M153" s="142"/>
      <c r="N153" s="144"/>
      <c r="O153" s="144"/>
      <c r="AV153" s="69"/>
    </row>
    <row r="154" spans="11:48" s="70" customFormat="1" x14ac:dyDescent="0.3">
      <c r="K154" s="142"/>
      <c r="L154" s="142"/>
      <c r="M154" s="142"/>
      <c r="N154" s="144"/>
      <c r="O154" s="144"/>
      <c r="AV154" s="69"/>
    </row>
    <row r="155" spans="11:48" s="70" customFormat="1" x14ac:dyDescent="0.3">
      <c r="K155" s="142"/>
      <c r="L155" s="142"/>
      <c r="M155" s="142"/>
      <c r="N155" s="144"/>
      <c r="O155" s="144"/>
      <c r="AV155" s="69"/>
    </row>
    <row r="156" spans="11:48" s="70" customFormat="1" x14ac:dyDescent="0.3">
      <c r="K156" s="142"/>
      <c r="L156" s="142"/>
      <c r="M156" s="142"/>
      <c r="N156" s="144"/>
      <c r="O156" s="144"/>
      <c r="AV156" s="69"/>
    </row>
    <row r="157" spans="11:48" s="70" customFormat="1" x14ac:dyDescent="0.3">
      <c r="K157" s="142"/>
      <c r="L157" s="142"/>
      <c r="M157" s="142"/>
      <c r="N157" s="144"/>
      <c r="O157" s="144"/>
      <c r="AV157" s="69"/>
    </row>
    <row r="158" spans="11:48" s="70" customFormat="1" x14ac:dyDescent="0.3">
      <c r="K158" s="142"/>
      <c r="L158" s="142"/>
      <c r="M158" s="142"/>
      <c r="N158" s="144"/>
      <c r="O158" s="144"/>
      <c r="AV158" s="69"/>
    </row>
    <row r="159" spans="11:48" s="70" customFormat="1" x14ac:dyDescent="0.3">
      <c r="K159" s="142"/>
      <c r="L159" s="142"/>
      <c r="M159" s="142"/>
      <c r="N159" s="144"/>
      <c r="O159" s="144"/>
      <c r="AV159" s="69"/>
    </row>
    <row r="160" spans="11:48" s="70" customFormat="1" x14ac:dyDescent="0.3">
      <c r="K160" s="142"/>
      <c r="L160" s="142"/>
      <c r="M160" s="142"/>
      <c r="N160" s="144"/>
      <c r="O160" s="144"/>
      <c r="AV160" s="69"/>
    </row>
    <row r="161" spans="1:49" s="70" customFormat="1" x14ac:dyDescent="0.3">
      <c r="K161" s="142"/>
      <c r="L161" s="142"/>
      <c r="M161" s="142"/>
      <c r="N161" s="144"/>
      <c r="O161" s="144"/>
      <c r="AV161" s="69"/>
    </row>
    <row r="162" spans="1:49" s="70" customFormat="1" x14ac:dyDescent="0.3">
      <c r="K162" s="142"/>
      <c r="L162" s="142"/>
      <c r="M162" s="142"/>
      <c r="N162" s="144"/>
      <c r="O162" s="144"/>
      <c r="AV162" s="69"/>
    </row>
    <row r="163" spans="1:49" s="70" customFormat="1" x14ac:dyDescent="0.3">
      <c r="K163" s="142"/>
      <c r="L163" s="142"/>
      <c r="M163" s="142"/>
      <c r="N163" s="144"/>
      <c r="O163" s="144"/>
      <c r="AV163" s="69"/>
    </row>
    <row r="164" spans="1:49" s="70" customFormat="1" x14ac:dyDescent="0.3">
      <c r="K164" s="142"/>
      <c r="L164" s="142"/>
      <c r="M164" s="142"/>
      <c r="N164" s="144"/>
      <c r="O164" s="144"/>
      <c r="AV164" s="69"/>
    </row>
    <row r="165" spans="1:49" s="70" customFormat="1" x14ac:dyDescent="0.3">
      <c r="K165" s="142"/>
      <c r="L165" s="142"/>
      <c r="M165" s="142"/>
      <c r="N165" s="144"/>
      <c r="O165" s="144"/>
      <c r="AV165" s="69"/>
    </row>
    <row r="166" spans="1:49" s="70" customFormat="1" x14ac:dyDescent="0.3">
      <c r="K166" s="142"/>
      <c r="L166" s="142"/>
      <c r="M166" s="142"/>
      <c r="N166" s="144"/>
      <c r="O166" s="144"/>
      <c r="AV166" s="69"/>
    </row>
    <row r="167" spans="1:49" s="70" customFormat="1" x14ac:dyDescent="0.3">
      <c r="K167" s="142"/>
      <c r="L167" s="142"/>
      <c r="M167" s="142"/>
      <c r="N167" s="144"/>
      <c r="O167" s="144"/>
      <c r="AV167" s="69"/>
    </row>
    <row r="168" spans="1:49" s="145" customFormat="1" x14ac:dyDescent="0.3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142"/>
      <c r="L168" s="142"/>
      <c r="M168" s="142"/>
      <c r="N168" s="144"/>
      <c r="O168" s="144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69"/>
      <c r="AW168" s="70"/>
    </row>
    <row r="169" spans="1:49" s="145" customFormat="1" x14ac:dyDescent="0.3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142"/>
      <c r="L169" s="142"/>
      <c r="M169" s="142"/>
      <c r="N169" s="144"/>
      <c r="O169" s="144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69"/>
      <c r="AW169" s="70"/>
    </row>
    <row r="170" spans="1:49" s="145" customFormat="1" x14ac:dyDescent="0.3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142"/>
      <c r="L170" s="142"/>
      <c r="M170" s="142"/>
      <c r="N170" s="144"/>
      <c r="O170" s="144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69"/>
      <c r="AW170" s="70"/>
    </row>
    <row r="171" spans="1:49" s="145" customFormat="1" x14ac:dyDescent="0.3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142"/>
      <c r="L171" s="142"/>
      <c r="M171" s="142"/>
      <c r="N171" s="144"/>
      <c r="O171" s="144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69"/>
      <c r="AW171" s="70"/>
    </row>
    <row r="172" spans="1:49" s="145" customFormat="1" x14ac:dyDescent="0.3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142"/>
      <c r="L172" s="142"/>
      <c r="M172" s="142"/>
      <c r="N172" s="144"/>
      <c r="O172" s="144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69"/>
      <c r="AW172" s="70"/>
    </row>
    <row r="173" spans="1:49" s="145" customFormat="1" x14ac:dyDescent="0.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142"/>
      <c r="L173" s="142"/>
      <c r="M173" s="142"/>
      <c r="N173" s="144"/>
      <c r="O173" s="144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69"/>
      <c r="AW173" s="70"/>
    </row>
    <row r="174" spans="1:49" s="145" customFormat="1" x14ac:dyDescent="0.3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142"/>
      <c r="L174" s="142"/>
      <c r="M174" s="142"/>
      <c r="N174" s="144"/>
      <c r="O174" s="144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69"/>
      <c r="AW174" s="70"/>
    </row>
    <row r="175" spans="1:49" s="145" customFormat="1" x14ac:dyDescent="0.3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142"/>
      <c r="L175" s="142"/>
      <c r="M175" s="142"/>
      <c r="N175" s="144"/>
      <c r="O175" s="144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69"/>
      <c r="AW175" s="70"/>
    </row>
    <row r="176" spans="1:49" s="145" customFormat="1" x14ac:dyDescent="0.3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142"/>
      <c r="L176" s="142"/>
      <c r="M176" s="142"/>
      <c r="N176" s="144"/>
      <c r="O176" s="144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69"/>
      <c r="AW176" s="70"/>
    </row>
    <row r="177" spans="1:49" s="145" customFormat="1" x14ac:dyDescent="0.3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142"/>
      <c r="L177" s="142"/>
      <c r="M177" s="142"/>
      <c r="N177" s="144"/>
      <c r="O177" s="144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69"/>
      <c r="AW177" s="70"/>
    </row>
    <row r="178" spans="1:49" s="145" customFormat="1" x14ac:dyDescent="0.3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142"/>
      <c r="L178" s="142"/>
      <c r="M178" s="142"/>
      <c r="N178" s="144"/>
      <c r="O178" s="144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69"/>
      <c r="AW178" s="70"/>
    </row>
    <row r="179" spans="1:49" s="145" customFormat="1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142"/>
      <c r="L179" s="142"/>
      <c r="M179" s="142"/>
      <c r="N179" s="144"/>
      <c r="O179" s="144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69"/>
      <c r="AW179" s="70"/>
    </row>
    <row r="180" spans="1:49" s="145" customFormat="1" x14ac:dyDescent="0.3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146"/>
      <c r="L180" s="146"/>
      <c r="M180" s="146"/>
      <c r="N180" s="144"/>
      <c r="O180" s="144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69"/>
      <c r="AW180" s="70"/>
    </row>
    <row r="181" spans="1:49" s="145" customFormat="1" x14ac:dyDescent="0.3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146"/>
      <c r="L181" s="146"/>
      <c r="M181" s="146"/>
      <c r="N181" s="144"/>
      <c r="O181" s="144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69"/>
      <c r="AW181" s="70"/>
    </row>
    <row r="182" spans="1:49" s="145" customFormat="1" x14ac:dyDescent="0.3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146"/>
      <c r="L182" s="146"/>
      <c r="M182" s="146"/>
      <c r="N182" s="144"/>
      <c r="O182" s="144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69"/>
      <c r="AW182" s="70"/>
    </row>
    <row r="183" spans="1:49" s="145" customFormat="1" x14ac:dyDescent="0.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146"/>
      <c r="L183" s="146"/>
      <c r="M183" s="146"/>
      <c r="N183" s="144"/>
      <c r="O183" s="144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69"/>
      <c r="AW183" s="70"/>
    </row>
    <row r="184" spans="1:49" s="145" customFormat="1" x14ac:dyDescent="0.3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146"/>
      <c r="L184" s="146"/>
      <c r="M184" s="146"/>
      <c r="N184" s="147"/>
      <c r="O184" s="144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69"/>
      <c r="AW184" s="70"/>
    </row>
    <row r="185" spans="1:49" x14ac:dyDescent="0.3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146"/>
      <c r="L185" s="146"/>
      <c r="M185" s="146"/>
      <c r="N185" s="147"/>
      <c r="O185" s="144"/>
      <c r="P185" s="70"/>
      <c r="AV185" s="148"/>
      <c r="AW185" s="148"/>
    </row>
    <row r="186" spans="1:49" x14ac:dyDescent="0.3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146"/>
      <c r="L186" s="146"/>
      <c r="M186" s="146"/>
      <c r="N186" s="147"/>
      <c r="O186" s="144"/>
      <c r="P186" s="70"/>
      <c r="AV186" s="148"/>
      <c r="AW186" s="148"/>
    </row>
    <row r="187" spans="1:49" x14ac:dyDescent="0.3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146"/>
      <c r="L187" s="146"/>
      <c r="M187" s="146"/>
      <c r="N187" s="147"/>
      <c r="O187" s="144"/>
      <c r="P187" s="149"/>
      <c r="AV187" s="148"/>
      <c r="AW187" s="148"/>
    </row>
    <row r="188" spans="1:49" x14ac:dyDescent="0.3">
      <c r="A188" s="149"/>
      <c r="B188" s="149"/>
      <c r="C188" s="149"/>
      <c r="D188" s="149"/>
      <c r="E188" s="70"/>
      <c r="F188" s="70"/>
      <c r="G188" s="70"/>
      <c r="H188" s="70"/>
      <c r="I188" s="70"/>
      <c r="J188" s="70"/>
      <c r="K188" s="146"/>
      <c r="L188" s="146"/>
      <c r="M188" s="146"/>
      <c r="N188" s="147"/>
      <c r="O188" s="144"/>
      <c r="P188" s="149"/>
      <c r="AV188" s="148"/>
      <c r="AW188" s="148"/>
    </row>
    <row r="189" spans="1:49" x14ac:dyDescent="0.3">
      <c r="A189" s="149"/>
      <c r="B189" s="149"/>
      <c r="C189" s="149"/>
      <c r="D189" s="149"/>
      <c r="E189" s="149"/>
      <c r="F189" s="149"/>
      <c r="G189" s="149"/>
      <c r="H189" s="70"/>
      <c r="I189" s="70"/>
      <c r="J189" s="70"/>
      <c r="K189" s="146"/>
      <c r="L189" s="146"/>
      <c r="M189" s="146"/>
      <c r="N189" s="147"/>
      <c r="O189" s="147"/>
      <c r="P189" s="149"/>
      <c r="AV189" s="148"/>
      <c r="AW189" s="148"/>
    </row>
    <row r="190" spans="1:49" x14ac:dyDescent="0.3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6"/>
      <c r="L190" s="146"/>
      <c r="M190" s="146"/>
      <c r="N190" s="147"/>
      <c r="O190" s="147"/>
      <c r="P190" s="149"/>
      <c r="AV190" s="148"/>
      <c r="AW190" s="148"/>
    </row>
    <row r="191" spans="1:49" x14ac:dyDescent="0.3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6"/>
      <c r="L191" s="146"/>
      <c r="M191" s="146"/>
      <c r="N191" s="147"/>
      <c r="O191" s="147"/>
      <c r="P191" s="149"/>
      <c r="AV191" s="148"/>
      <c r="AW191" s="148"/>
    </row>
    <row r="192" spans="1:49" x14ac:dyDescent="0.3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6"/>
      <c r="L192" s="146"/>
      <c r="M192" s="146"/>
      <c r="N192" s="147"/>
      <c r="O192" s="147"/>
      <c r="P192" s="149"/>
      <c r="AV192" s="148"/>
      <c r="AW192" s="148"/>
    </row>
    <row r="193" spans="1:49" x14ac:dyDescent="0.3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6"/>
      <c r="L193" s="146"/>
      <c r="M193" s="146"/>
      <c r="N193" s="147"/>
      <c r="O193" s="147"/>
      <c r="P193" s="149"/>
      <c r="AV193" s="148"/>
      <c r="AW193" s="148"/>
    </row>
    <row r="194" spans="1:49" x14ac:dyDescent="0.3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6"/>
      <c r="L194" s="146"/>
      <c r="M194" s="146"/>
      <c r="N194" s="147"/>
      <c r="O194" s="147"/>
      <c r="P194" s="149"/>
      <c r="AV194" s="148"/>
      <c r="AW194" s="148"/>
    </row>
    <row r="195" spans="1:49" x14ac:dyDescent="0.3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6"/>
      <c r="L195" s="146"/>
      <c r="M195" s="146"/>
      <c r="N195" s="147"/>
      <c r="O195" s="147"/>
      <c r="P195" s="149"/>
      <c r="AV195" s="148"/>
      <c r="AW195" s="148"/>
    </row>
    <row r="196" spans="1:49" x14ac:dyDescent="0.3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6"/>
      <c r="L196" s="146"/>
      <c r="M196" s="146"/>
      <c r="N196" s="147"/>
      <c r="O196" s="147"/>
      <c r="P196" s="149"/>
      <c r="AV196" s="148"/>
      <c r="AW196" s="148"/>
    </row>
    <row r="197" spans="1:49" x14ac:dyDescent="0.3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N197" s="147"/>
      <c r="O197" s="147"/>
      <c r="P197" s="149"/>
    </row>
    <row r="198" spans="1:49" x14ac:dyDescent="0.3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N198" s="147"/>
      <c r="O198" s="147"/>
      <c r="P198" s="14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69"/>
      <c r="AJ198" s="69"/>
      <c r="AK198" s="69"/>
      <c r="AL198" s="69"/>
      <c r="AM198" s="69"/>
      <c r="AN198" s="69"/>
      <c r="AO198" s="69"/>
      <c r="AP198" s="69"/>
      <c r="AQ198" s="69"/>
      <c r="AR198" s="69"/>
      <c r="AS198" s="69"/>
      <c r="AT198" s="69"/>
      <c r="AU198" s="69"/>
      <c r="AV198" s="148"/>
      <c r="AW198" s="148"/>
    </row>
    <row r="199" spans="1:49" x14ac:dyDescent="0.3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N199" s="147"/>
      <c r="O199" s="147"/>
    </row>
    <row r="200" spans="1:49" x14ac:dyDescent="0.3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N200" s="147"/>
      <c r="O200" s="147"/>
    </row>
    <row r="201" spans="1:49" x14ac:dyDescent="0.3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O201" s="147"/>
    </row>
    <row r="202" spans="1:49" x14ac:dyDescent="0.3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O202" s="147"/>
    </row>
    <row r="203" spans="1:49" x14ac:dyDescent="0.3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O203" s="147"/>
    </row>
    <row r="204" spans="1:49" x14ac:dyDescent="0.3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  <c r="O204" s="147"/>
    </row>
    <row r="205" spans="1:49" x14ac:dyDescent="0.3">
      <c r="E205" s="149"/>
      <c r="F205" s="149"/>
      <c r="G205" s="149"/>
      <c r="H205" s="149"/>
      <c r="I205" s="149"/>
      <c r="J205" s="149"/>
      <c r="N205" s="148"/>
      <c r="O205" s="147"/>
    </row>
    <row r="206" spans="1:49" x14ac:dyDescent="0.3">
      <c r="H206" s="149"/>
      <c r="I206" s="149"/>
      <c r="J206" s="149"/>
    </row>
    <row r="210" spans="11:13" x14ac:dyDescent="0.3">
      <c r="K210" s="148"/>
      <c r="L210" s="148"/>
      <c r="M210" s="148"/>
    </row>
    <row r="1048542" spans="1:60" s="70" customFormat="1" x14ac:dyDescent="0.3">
      <c r="A1048542" s="148"/>
      <c r="B1048542" s="148"/>
      <c r="C1048542" s="148"/>
      <c r="D1048542" s="148"/>
      <c r="E1048542" s="148"/>
      <c r="F1048542" s="148"/>
      <c r="G1048542" s="148"/>
      <c r="H1048542" s="148"/>
      <c r="I1048542" s="148"/>
      <c r="J1048542" s="148"/>
      <c r="K1048542" s="150"/>
      <c r="L1048542" s="150"/>
      <c r="M1048542" s="150"/>
      <c r="N1048542" s="150"/>
      <c r="O1048542" s="150"/>
      <c r="P1048542" s="148"/>
      <c r="AV1048542" s="69"/>
      <c r="AW1048542" s="69"/>
      <c r="AX1048542" s="148"/>
      <c r="AY1048542" s="148"/>
      <c r="AZ1048542" s="148"/>
      <c r="BA1048542" s="148"/>
      <c r="BB1048542" s="148"/>
      <c r="BC1048542" s="148"/>
      <c r="BD1048542" s="148"/>
      <c r="BE1048542" s="148"/>
      <c r="BF1048542" s="148"/>
      <c r="BG1048542" s="148"/>
      <c r="BH1048542" s="148"/>
    </row>
    <row r="1048543" spans="1:60" x14ac:dyDescent="0.3">
      <c r="P1048543" s="57"/>
    </row>
  </sheetData>
  <mergeCells count="51">
    <mergeCell ref="A42:P42"/>
    <mergeCell ref="A1:P1"/>
    <mergeCell ref="A2:P2"/>
    <mergeCell ref="A6:B6"/>
    <mergeCell ref="A7:P7"/>
    <mergeCell ref="A36:B36"/>
    <mergeCell ref="A37:P37"/>
    <mergeCell ref="D38:J38"/>
    <mergeCell ref="D39:J39"/>
    <mergeCell ref="A40:J40"/>
    <mergeCell ref="N40:P40"/>
    <mergeCell ref="A41:N41"/>
    <mergeCell ref="D43:J43"/>
    <mergeCell ref="D44:J44"/>
    <mergeCell ref="D45:J45"/>
    <mergeCell ref="A46:J46"/>
    <mergeCell ref="A48:D48"/>
    <mergeCell ref="E48:G103"/>
    <mergeCell ref="N54:O54"/>
    <mergeCell ref="N48:P48"/>
    <mergeCell ref="N49:O49"/>
    <mergeCell ref="N50:O50"/>
    <mergeCell ref="N51:P52"/>
    <mergeCell ref="N53:P53"/>
    <mergeCell ref="N73:O73"/>
    <mergeCell ref="N74:O74"/>
    <mergeCell ref="N55:O55"/>
    <mergeCell ref="N56:O56"/>
    <mergeCell ref="N58:O58"/>
    <mergeCell ref="N57:O57"/>
    <mergeCell ref="N68:O68"/>
    <mergeCell ref="N69:O69"/>
    <mergeCell ref="N70:O70"/>
    <mergeCell ref="N71:O71"/>
    <mergeCell ref="N72:O72"/>
    <mergeCell ref="N80:P80"/>
    <mergeCell ref="N81:O81"/>
    <mergeCell ref="N65:O65"/>
    <mergeCell ref="N59:O59"/>
    <mergeCell ref="N77:O77"/>
    <mergeCell ref="N78:O78"/>
    <mergeCell ref="N79:O79"/>
    <mergeCell ref="N60:O60"/>
    <mergeCell ref="N61:O61"/>
    <mergeCell ref="N62:O62"/>
    <mergeCell ref="N63:O63"/>
    <mergeCell ref="N64:O64"/>
    <mergeCell ref="N75:O75"/>
    <mergeCell ref="N76:O76"/>
    <mergeCell ref="N66:O66"/>
    <mergeCell ref="N67:O67"/>
  </mergeCells>
  <pageMargins left="0" right="0" top="0" bottom="0" header="0.31496062992125984" footer="0.31496062992125984"/>
  <pageSetup paperSize="9" scale="1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C3024-A9BE-4494-8A3B-B6E5498E644B}">
  <sheetPr>
    <pageSetUpPr fitToPage="1"/>
  </sheetPr>
  <dimension ref="A1:BI1048541"/>
  <sheetViews>
    <sheetView topLeftCell="A19" zoomScale="70" zoomScaleNormal="70" workbookViewId="0">
      <selection activeCell="A25" sqref="A1:XFD1048576"/>
    </sheetView>
  </sheetViews>
  <sheetFormatPr defaultColWidth="9.109375" defaultRowHeight="13.8" x14ac:dyDescent="0.3"/>
  <cols>
    <col min="1" max="1" width="52.109375" style="148" customWidth="1"/>
    <col min="2" max="2" width="11.109375" style="148" bestFit="1" customWidth="1"/>
    <col min="3" max="3" width="13.88671875" style="148" bestFit="1" customWidth="1"/>
    <col min="4" max="4" width="17.6640625" style="148" bestFit="1" customWidth="1"/>
    <col min="5" max="5" width="15.44140625" style="148" bestFit="1" customWidth="1"/>
    <col min="6" max="6" width="17.6640625" style="148" bestFit="1" customWidth="1"/>
    <col min="7" max="7" width="16" style="148" customWidth="1"/>
    <col min="8" max="8" width="16.6640625" style="148" bestFit="1" customWidth="1"/>
    <col min="9" max="10" width="13.109375" style="148" bestFit="1" customWidth="1"/>
    <col min="11" max="11" width="15.5546875" style="148" bestFit="1" customWidth="1"/>
    <col min="12" max="12" width="18.109375" style="150" bestFit="1" customWidth="1"/>
    <col min="13" max="13" width="16.6640625" style="150" bestFit="1" customWidth="1"/>
    <col min="14" max="14" width="17.33203125" style="150" bestFit="1" customWidth="1"/>
    <col min="15" max="15" width="92.33203125" style="150" bestFit="1" customWidth="1"/>
    <col min="16" max="16" width="8.88671875" style="150" customWidth="1"/>
    <col min="17" max="17" width="18.109375" style="148" bestFit="1" customWidth="1"/>
    <col min="18" max="19" width="13.109375" style="70" bestFit="1" customWidth="1"/>
    <col min="20" max="48" width="9.109375" style="70"/>
    <col min="49" max="50" width="9.109375" style="69"/>
    <col min="51" max="16384" width="9.109375" style="148"/>
  </cols>
  <sheetData>
    <row r="1" spans="1:43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</row>
    <row r="2" spans="1:43" s="10" customFormat="1" ht="28.5" customHeight="1" x14ac:dyDescent="0.3">
      <c r="A2" s="571" t="s">
        <v>813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3"/>
    </row>
    <row r="3" spans="1:43" s="10" customFormat="1" ht="30.75" customHeight="1" x14ac:dyDescent="0.3">
      <c r="A3" s="83" t="s">
        <v>3</v>
      </c>
      <c r="B3" s="83" t="s">
        <v>0</v>
      </c>
      <c r="C3" s="83" t="s">
        <v>821</v>
      </c>
      <c r="D3" s="84" t="s">
        <v>1</v>
      </c>
      <c r="E3" s="84" t="s">
        <v>68</v>
      </c>
      <c r="F3" s="84" t="s">
        <v>69</v>
      </c>
      <c r="G3" s="85" t="s">
        <v>2</v>
      </c>
      <c r="H3" s="85" t="s">
        <v>592</v>
      </c>
      <c r="I3" s="84" t="s">
        <v>6</v>
      </c>
      <c r="J3" s="84" t="s">
        <v>764</v>
      </c>
      <c r="K3" s="84" t="s">
        <v>7</v>
      </c>
      <c r="L3" s="84" t="s">
        <v>4</v>
      </c>
      <c r="M3" s="84" t="s">
        <v>5</v>
      </c>
      <c r="N3" s="84" t="s">
        <v>70</v>
      </c>
      <c r="O3" s="83" t="s">
        <v>59</v>
      </c>
      <c r="P3" s="86" t="s">
        <v>8</v>
      </c>
      <c r="Q3" s="86" t="s">
        <v>10</v>
      </c>
    </row>
    <row r="4" spans="1:43" s="204" customFormat="1" x14ac:dyDescent="0.3">
      <c r="A4" s="193"/>
      <c r="B4" s="193"/>
      <c r="C4" s="193"/>
      <c r="D4" s="192"/>
      <c r="E4" s="192"/>
      <c r="F4" s="196"/>
      <c r="G4" s="192"/>
      <c r="H4" s="192"/>
      <c r="I4" s="192"/>
      <c r="J4" s="192"/>
      <c r="K4" s="192"/>
      <c r="L4" s="191"/>
      <c r="M4" s="192"/>
      <c r="N4" s="192"/>
      <c r="O4" s="193"/>
      <c r="P4" s="197"/>
      <c r="Q4" s="194"/>
      <c r="R4" s="200"/>
      <c r="S4" s="200"/>
      <c r="T4" s="200"/>
      <c r="U4" s="200"/>
      <c r="V4" s="200"/>
      <c r="W4" s="200"/>
      <c r="X4" s="200"/>
      <c r="Y4" s="200"/>
      <c r="Z4" s="200"/>
    </row>
    <row r="5" spans="1:43" s="10" customFormat="1" x14ac:dyDescent="0.3">
      <c r="A5" s="518" t="s">
        <v>4</v>
      </c>
      <c r="B5" s="518"/>
      <c r="C5" s="95"/>
      <c r="D5" s="109">
        <f t="shared" ref="D5:N5" si="0">SUM(D4:D4)</f>
        <v>0</v>
      </c>
      <c r="E5" s="109">
        <f t="shared" si="0"/>
        <v>0</v>
      </c>
      <c r="F5" s="109">
        <f t="shared" si="0"/>
        <v>0</v>
      </c>
      <c r="G5" s="109">
        <f t="shared" si="0"/>
        <v>0</v>
      </c>
      <c r="H5" s="109">
        <f t="shared" si="0"/>
        <v>0</v>
      </c>
      <c r="I5" s="109">
        <f t="shared" si="0"/>
        <v>0</v>
      </c>
      <c r="J5" s="109">
        <f t="shared" si="0"/>
        <v>0</v>
      </c>
      <c r="K5" s="109">
        <f t="shared" si="0"/>
        <v>0</v>
      </c>
      <c r="L5" s="109">
        <f t="shared" si="0"/>
        <v>0</v>
      </c>
      <c r="M5" s="109">
        <f t="shared" si="0"/>
        <v>0</v>
      </c>
      <c r="N5" s="109">
        <f t="shared" si="0"/>
        <v>0</v>
      </c>
      <c r="O5" s="90"/>
      <c r="P5" s="3"/>
      <c r="Q5" s="3"/>
    </row>
    <row r="6" spans="1:43" s="10" customFormat="1" ht="28.5" customHeight="1" x14ac:dyDescent="0.3">
      <c r="A6" s="571" t="s">
        <v>814</v>
      </c>
      <c r="B6" s="572"/>
      <c r="C6" s="572"/>
      <c r="D6" s="572"/>
      <c r="E6" s="572"/>
      <c r="F6" s="572"/>
      <c r="G6" s="572"/>
      <c r="H6" s="572"/>
      <c r="I6" s="572"/>
      <c r="J6" s="572"/>
      <c r="K6" s="572"/>
      <c r="L6" s="572"/>
      <c r="M6" s="572"/>
      <c r="N6" s="572"/>
      <c r="O6" s="572"/>
      <c r="P6" s="572"/>
      <c r="Q6" s="573"/>
    </row>
    <row r="7" spans="1:43" s="11" customFormat="1" ht="34.5" customHeight="1" x14ac:dyDescent="0.3">
      <c r="A7" s="83" t="s">
        <v>3</v>
      </c>
      <c r="B7" s="83" t="s">
        <v>0</v>
      </c>
      <c r="C7" s="83" t="s">
        <v>821</v>
      </c>
      <c r="D7" s="84" t="s">
        <v>1</v>
      </c>
      <c r="E7" s="84" t="s">
        <v>68</v>
      </c>
      <c r="F7" s="84" t="s">
        <v>69</v>
      </c>
      <c r="G7" s="85" t="s">
        <v>2</v>
      </c>
      <c r="H7" s="85" t="s">
        <v>592</v>
      </c>
      <c r="I7" s="84" t="s">
        <v>6</v>
      </c>
      <c r="J7" s="84" t="s">
        <v>764</v>
      </c>
      <c r="K7" s="84" t="s">
        <v>7</v>
      </c>
      <c r="L7" s="84" t="s">
        <v>4</v>
      </c>
      <c r="M7" s="84" t="s">
        <v>5</v>
      </c>
      <c r="N7" s="84" t="s">
        <v>70</v>
      </c>
      <c r="O7" s="83" t="s">
        <v>59</v>
      </c>
      <c r="P7" s="86" t="s">
        <v>8</v>
      </c>
      <c r="Q7" s="86" t="s">
        <v>10</v>
      </c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</row>
    <row r="8" spans="1:43" s="199" customFormat="1" ht="15.75" customHeight="1" x14ac:dyDescent="0.3">
      <c r="A8" s="195" t="s">
        <v>766</v>
      </c>
      <c r="B8" s="193">
        <v>1</v>
      </c>
      <c r="C8" s="193" t="s">
        <v>822</v>
      </c>
      <c r="D8" s="192">
        <v>0</v>
      </c>
      <c r="E8" s="192">
        <v>0</v>
      </c>
      <c r="F8" s="192">
        <f t="shared" ref="F8:F24" si="1">D8-E8</f>
        <v>0</v>
      </c>
      <c r="G8" s="196">
        <v>0</v>
      </c>
      <c r="H8" s="192">
        <f>((1347.3/27))</f>
        <v>49.9</v>
      </c>
      <c r="I8" s="192">
        <v>0</v>
      </c>
      <c r="J8" s="192">
        <v>0</v>
      </c>
      <c r="K8" s="192">
        <v>0</v>
      </c>
      <c r="L8" s="191">
        <f t="shared" ref="L8:L34" si="2">SUM(F8:K8)</f>
        <v>49.9</v>
      </c>
      <c r="M8" s="192">
        <f>7%*L8</f>
        <v>3.4930000000000003</v>
      </c>
      <c r="N8" s="192">
        <f>L8-M8</f>
        <v>46.406999999999996</v>
      </c>
      <c r="O8" s="196" t="s">
        <v>800</v>
      </c>
      <c r="P8" s="197">
        <v>10</v>
      </c>
      <c r="Q8" s="197">
        <v>11</v>
      </c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</row>
    <row r="9" spans="1:43" s="203" customFormat="1" x14ac:dyDescent="0.3">
      <c r="A9" s="193" t="s">
        <v>758</v>
      </c>
      <c r="B9" s="194">
        <v>2</v>
      </c>
      <c r="C9" s="194" t="s">
        <v>822</v>
      </c>
      <c r="D9" s="196">
        <f>'GERAL 2022'!G4</f>
        <v>580</v>
      </c>
      <c r="E9" s="196">
        <v>0</v>
      </c>
      <c r="F9" s="196">
        <f t="shared" si="1"/>
        <v>580</v>
      </c>
      <c r="G9" s="196">
        <v>50</v>
      </c>
      <c r="H9" s="192">
        <f t="shared" ref="H9:H34" si="3">(1347.3/27)</f>
        <v>49.9</v>
      </c>
      <c r="I9" s="192">
        <f>E51</f>
        <v>1.2516548463356973</v>
      </c>
      <c r="J9" s="192">
        <f>(193.5/27)/6</f>
        <v>1.1944444444444444</v>
      </c>
      <c r="K9" s="196">
        <v>19.7</v>
      </c>
      <c r="L9" s="191">
        <f t="shared" si="2"/>
        <v>702.04609929078015</v>
      </c>
      <c r="M9" s="192">
        <f>7%*L9</f>
        <v>49.143226950354617</v>
      </c>
      <c r="N9" s="192">
        <f t="shared" ref="N9:N33" si="4">L9-M9</f>
        <v>652.90287234042557</v>
      </c>
      <c r="O9" s="193" t="s">
        <v>816</v>
      </c>
      <c r="P9" s="197">
        <v>10</v>
      </c>
      <c r="Q9" s="197">
        <v>11</v>
      </c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G9" s="200"/>
      <c r="AH9" s="200"/>
      <c r="AI9" s="200"/>
      <c r="AJ9" s="200"/>
      <c r="AK9" s="200"/>
      <c r="AL9" s="200"/>
      <c r="AM9" s="201"/>
      <c r="AN9" s="202"/>
      <c r="AO9" s="202"/>
      <c r="AP9" s="202"/>
      <c r="AQ9" s="202"/>
    </row>
    <row r="10" spans="1:43" s="204" customFormat="1" x14ac:dyDescent="0.3">
      <c r="A10" s="193" t="s">
        <v>753</v>
      </c>
      <c r="B10" s="194">
        <v>3</v>
      </c>
      <c r="C10" s="194" t="s">
        <v>822</v>
      </c>
      <c r="D10" s="196">
        <f>'GERAL 2022'!G5</f>
        <v>550</v>
      </c>
      <c r="E10" s="196">
        <v>0</v>
      </c>
      <c r="F10" s="196">
        <f>D10-E10</f>
        <v>550</v>
      </c>
      <c r="G10" s="196">
        <v>0</v>
      </c>
      <c r="H10" s="192">
        <f t="shared" si="3"/>
        <v>49.9</v>
      </c>
      <c r="I10" s="192">
        <f>E53</f>
        <v>1.2516548463356973</v>
      </c>
      <c r="J10" s="192">
        <f t="shared" ref="J10:J33" si="5">(193.5/27)/6</f>
        <v>1.1944444444444444</v>
      </c>
      <c r="K10" s="196">
        <v>19.64</v>
      </c>
      <c r="L10" s="191">
        <f t="shared" si="2"/>
        <v>621.98609929078009</v>
      </c>
      <c r="M10" s="192">
        <f t="shared" ref="M10:M34" si="6">7%*L10</f>
        <v>43.539026950354611</v>
      </c>
      <c r="N10" s="192">
        <f t="shared" si="4"/>
        <v>578.44707234042551</v>
      </c>
      <c r="O10" s="193" t="s">
        <v>816</v>
      </c>
      <c r="P10" s="197">
        <v>10</v>
      </c>
      <c r="Q10" s="197">
        <v>11</v>
      </c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0"/>
      <c r="AM10" s="200"/>
      <c r="AN10" s="200"/>
      <c r="AO10" s="200"/>
      <c r="AP10" s="200"/>
      <c r="AQ10" s="200"/>
    </row>
    <row r="11" spans="1:43" s="199" customFormat="1" x14ac:dyDescent="0.3">
      <c r="A11" s="193"/>
      <c r="B11" s="193">
        <v>4</v>
      </c>
      <c r="C11" s="193"/>
      <c r="D11" s="192">
        <v>0</v>
      </c>
      <c r="E11" s="196">
        <v>0</v>
      </c>
      <c r="F11" s="196">
        <f>D11-E11</f>
        <v>0</v>
      </c>
      <c r="G11" s="192">
        <v>0</v>
      </c>
      <c r="H11" s="192">
        <v>0</v>
      </c>
      <c r="I11" s="192">
        <v>0</v>
      </c>
      <c r="J11" s="192">
        <v>0</v>
      </c>
      <c r="K11" s="192">
        <v>0</v>
      </c>
      <c r="L11" s="191">
        <f t="shared" si="2"/>
        <v>0</v>
      </c>
      <c r="M11" s="192">
        <f t="shared" si="6"/>
        <v>0</v>
      </c>
      <c r="N11" s="192">
        <f t="shared" si="4"/>
        <v>0</v>
      </c>
      <c r="O11" s="193" t="s">
        <v>525</v>
      </c>
      <c r="P11" s="197">
        <v>10</v>
      </c>
      <c r="Q11" s="194">
        <v>11</v>
      </c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</row>
    <row r="12" spans="1:43" s="199" customFormat="1" x14ac:dyDescent="0.3">
      <c r="A12" s="193" t="s">
        <v>744</v>
      </c>
      <c r="B12" s="193">
        <v>5</v>
      </c>
      <c r="C12" s="193" t="s">
        <v>823</v>
      </c>
      <c r="D12" s="196">
        <f>'GERAL 2023'!G7</f>
        <v>580</v>
      </c>
      <c r="E12" s="192">
        <v>0</v>
      </c>
      <c r="F12" s="192">
        <f>D12-E12</f>
        <v>580</v>
      </c>
      <c r="G12" s="192">
        <f>50</f>
        <v>50</v>
      </c>
      <c r="H12" s="192">
        <f t="shared" si="3"/>
        <v>49.9</v>
      </c>
      <c r="I12" s="192">
        <f>E57</f>
        <v>1.2516548463356973</v>
      </c>
      <c r="J12" s="192">
        <f t="shared" si="5"/>
        <v>1.1944444444444444</v>
      </c>
      <c r="K12" s="192">
        <v>0</v>
      </c>
      <c r="L12" s="191">
        <f t="shared" si="2"/>
        <v>682.3460992907801</v>
      </c>
      <c r="M12" s="192">
        <f t="shared" si="6"/>
        <v>47.764226950354612</v>
      </c>
      <c r="N12" s="192">
        <f t="shared" si="4"/>
        <v>634.58187234042543</v>
      </c>
      <c r="O12" s="193" t="s">
        <v>818</v>
      </c>
      <c r="P12" s="197">
        <v>10</v>
      </c>
      <c r="Q12" s="197">
        <v>11</v>
      </c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</row>
    <row r="13" spans="1:43" s="206" customFormat="1" x14ac:dyDescent="0.3">
      <c r="A13" s="193" t="s">
        <v>745</v>
      </c>
      <c r="B13" s="193">
        <v>6</v>
      </c>
      <c r="C13" s="193" t="s">
        <v>823</v>
      </c>
      <c r="D13" s="196">
        <f>'GERAL 2023'!G8</f>
        <v>680</v>
      </c>
      <c r="E13" s="196">
        <v>0</v>
      </c>
      <c r="F13" s="192">
        <f>D13-E13</f>
        <v>680</v>
      </c>
      <c r="G13" s="192">
        <f>100</f>
        <v>100</v>
      </c>
      <c r="H13" s="192">
        <f t="shared" si="3"/>
        <v>49.9</v>
      </c>
      <c r="I13" s="192">
        <f>E59</f>
        <v>1.7523167848699763</v>
      </c>
      <c r="J13" s="192">
        <f t="shared" si="5"/>
        <v>1.1944444444444444</v>
      </c>
      <c r="K13" s="192">
        <v>0</v>
      </c>
      <c r="L13" s="191">
        <f t="shared" si="2"/>
        <v>832.84676122931444</v>
      </c>
      <c r="M13" s="192">
        <f t="shared" si="6"/>
        <v>58.299273286052014</v>
      </c>
      <c r="N13" s="192">
        <f>L13-M13</f>
        <v>774.54748794326247</v>
      </c>
      <c r="O13" s="193" t="s">
        <v>818</v>
      </c>
      <c r="P13" s="197">
        <v>10</v>
      </c>
      <c r="Q13" s="197">
        <v>11</v>
      </c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</row>
    <row r="14" spans="1:43" s="199" customFormat="1" x14ac:dyDescent="0.3">
      <c r="A14" s="193" t="s">
        <v>791</v>
      </c>
      <c r="B14" s="193">
        <v>7</v>
      </c>
      <c r="C14" s="193" t="s">
        <v>822</v>
      </c>
      <c r="D14" s="196">
        <f>'GERAL 2023'!G35</f>
        <v>610</v>
      </c>
      <c r="E14" s="192">
        <v>0</v>
      </c>
      <c r="F14" s="196">
        <f>D14-E14</f>
        <v>610</v>
      </c>
      <c r="G14" s="192">
        <v>50</v>
      </c>
      <c r="H14" s="192">
        <f t="shared" si="3"/>
        <v>49.9</v>
      </c>
      <c r="I14" s="192">
        <f>'GERAL 2023'!I35</f>
        <v>1.2516548463356973</v>
      </c>
      <c r="J14" s="192">
        <f t="shared" si="5"/>
        <v>1.1944444444444444</v>
      </c>
      <c r="K14" s="192">
        <v>19.760000000000002</v>
      </c>
      <c r="L14" s="191">
        <f t="shared" si="2"/>
        <v>732.10609929078009</v>
      </c>
      <c r="M14" s="192">
        <f t="shared" si="6"/>
        <v>51.247426950354608</v>
      </c>
      <c r="N14" s="192">
        <f t="shared" si="4"/>
        <v>680.85867234042553</v>
      </c>
      <c r="O14" s="193" t="s">
        <v>816</v>
      </c>
      <c r="P14" s="197">
        <v>10</v>
      </c>
      <c r="Q14" s="197">
        <v>11</v>
      </c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</row>
    <row r="15" spans="1:43" s="199" customFormat="1" x14ac:dyDescent="0.3">
      <c r="A15" s="193" t="s">
        <v>746</v>
      </c>
      <c r="B15" s="193">
        <v>8</v>
      </c>
      <c r="C15" s="193" t="s">
        <v>824</v>
      </c>
      <c r="D15" s="196">
        <f>'GERAL 2022'!G37</f>
        <v>580</v>
      </c>
      <c r="E15" s="192">
        <v>0</v>
      </c>
      <c r="F15" s="196">
        <f t="shared" si="1"/>
        <v>580</v>
      </c>
      <c r="G15" s="192">
        <v>50</v>
      </c>
      <c r="H15" s="192">
        <f t="shared" si="3"/>
        <v>49.9</v>
      </c>
      <c r="I15" s="192">
        <f>E63</f>
        <v>1.2516548463356973</v>
      </c>
      <c r="J15" s="192">
        <f t="shared" si="5"/>
        <v>1.1944444444444444</v>
      </c>
      <c r="K15" s="192">
        <v>19.7</v>
      </c>
      <c r="L15" s="191">
        <f t="shared" si="2"/>
        <v>702.04609929078015</v>
      </c>
      <c r="M15" s="192">
        <f t="shared" si="6"/>
        <v>49.143226950354617</v>
      </c>
      <c r="N15" s="192">
        <f t="shared" si="4"/>
        <v>652.90287234042557</v>
      </c>
      <c r="O15" s="193" t="s">
        <v>819</v>
      </c>
      <c r="P15" s="207">
        <v>10</v>
      </c>
      <c r="Q15" s="197">
        <v>11</v>
      </c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</row>
    <row r="16" spans="1:43" s="199" customFormat="1" x14ac:dyDescent="0.3">
      <c r="A16" s="193"/>
      <c r="B16" s="193">
        <v>9</v>
      </c>
      <c r="C16" s="193"/>
      <c r="D16" s="196">
        <v>0</v>
      </c>
      <c r="E16" s="192">
        <v>0</v>
      </c>
      <c r="F16" s="196">
        <f t="shared" si="1"/>
        <v>0</v>
      </c>
      <c r="G16" s="192">
        <v>0</v>
      </c>
      <c r="H16" s="192">
        <v>0</v>
      </c>
      <c r="I16" s="192">
        <v>0</v>
      </c>
      <c r="J16" s="192">
        <v>0</v>
      </c>
      <c r="K16" s="192">
        <v>0</v>
      </c>
      <c r="L16" s="191">
        <f t="shared" si="2"/>
        <v>0</v>
      </c>
      <c r="M16" s="192">
        <f t="shared" si="6"/>
        <v>0</v>
      </c>
      <c r="N16" s="192">
        <f>L16-M16</f>
        <v>0</v>
      </c>
      <c r="O16" s="193" t="s">
        <v>525</v>
      </c>
      <c r="P16" s="207">
        <v>10</v>
      </c>
      <c r="Q16" s="197">
        <v>11</v>
      </c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  <c r="AQ16" s="198"/>
    </row>
    <row r="17" spans="1:48" s="148" customFormat="1" x14ac:dyDescent="0.3">
      <c r="A17" s="194" t="s">
        <v>739</v>
      </c>
      <c r="B17" s="194">
        <v>10</v>
      </c>
      <c r="C17" s="194" t="s">
        <v>825</v>
      </c>
      <c r="D17" s="196">
        <f>'GERAL 2022'!G38</f>
        <v>550</v>
      </c>
      <c r="E17" s="192">
        <v>0</v>
      </c>
      <c r="F17" s="196">
        <f t="shared" si="1"/>
        <v>550</v>
      </c>
      <c r="G17" s="192">
        <v>50</v>
      </c>
      <c r="H17" s="192">
        <f t="shared" si="3"/>
        <v>49.9</v>
      </c>
      <c r="I17" s="192">
        <f>E67</f>
        <v>1.2516548463356973</v>
      </c>
      <c r="J17" s="192">
        <f t="shared" si="5"/>
        <v>1.1944444444444444</v>
      </c>
      <c r="K17" s="192">
        <v>19.64</v>
      </c>
      <c r="L17" s="191">
        <f t="shared" si="2"/>
        <v>671.98609929078009</v>
      </c>
      <c r="M17" s="192">
        <f t="shared" si="6"/>
        <v>47.039026950354611</v>
      </c>
      <c r="N17" s="192">
        <f t="shared" si="4"/>
        <v>624.94707234042551</v>
      </c>
      <c r="O17" s="193" t="s">
        <v>817</v>
      </c>
      <c r="P17" s="197">
        <v>10</v>
      </c>
      <c r="Q17" s="194">
        <v>11</v>
      </c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208"/>
      <c r="AD17" s="208"/>
      <c r="AE17" s="208"/>
      <c r="AF17" s="208"/>
      <c r="AG17" s="208"/>
      <c r="AH17" s="208"/>
      <c r="AI17" s="208"/>
      <c r="AJ17" s="208"/>
      <c r="AK17" s="208"/>
      <c r="AL17" s="208"/>
      <c r="AM17" s="208"/>
      <c r="AN17" s="208"/>
      <c r="AO17" s="208"/>
      <c r="AP17" s="208"/>
      <c r="AQ17" s="208"/>
      <c r="AR17" s="208"/>
      <c r="AS17" s="208"/>
      <c r="AT17" s="208"/>
      <c r="AU17" s="208"/>
      <c r="AV17" s="208"/>
    </row>
    <row r="18" spans="1:48" s="148" customFormat="1" x14ac:dyDescent="0.3">
      <c r="A18" s="194"/>
      <c r="B18" s="194">
        <v>11</v>
      </c>
      <c r="C18" s="194"/>
      <c r="D18" s="192">
        <v>0</v>
      </c>
      <c r="E18" s="192">
        <v>0</v>
      </c>
      <c r="F18" s="196">
        <f t="shared" si="1"/>
        <v>0</v>
      </c>
      <c r="G18" s="192">
        <v>0</v>
      </c>
      <c r="H18" s="192">
        <v>0</v>
      </c>
      <c r="I18" s="192">
        <v>0</v>
      </c>
      <c r="J18" s="192">
        <v>0</v>
      </c>
      <c r="K18" s="192">
        <v>0</v>
      </c>
      <c r="L18" s="191">
        <f t="shared" si="2"/>
        <v>0</v>
      </c>
      <c r="M18" s="192">
        <f>7%*L18</f>
        <v>0</v>
      </c>
      <c r="N18" s="192">
        <f t="shared" si="4"/>
        <v>0</v>
      </c>
      <c r="O18" s="196" t="s">
        <v>525</v>
      </c>
      <c r="P18" s="197"/>
      <c r="Q18" s="194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  <c r="AI18" s="208"/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  <c r="AT18" s="208"/>
      <c r="AU18" s="208"/>
      <c r="AV18" s="208"/>
    </row>
    <row r="19" spans="1:48" s="199" customFormat="1" ht="17.25" customHeight="1" x14ac:dyDescent="0.3">
      <c r="A19" s="193" t="s">
        <v>826</v>
      </c>
      <c r="B19" s="193">
        <v>12</v>
      </c>
      <c r="C19" s="193" t="s">
        <v>825</v>
      </c>
      <c r="D19" s="196">
        <f>'GERAL 2022'!G14</f>
        <v>550</v>
      </c>
      <c r="E19" s="192">
        <v>0</v>
      </c>
      <c r="F19" s="196">
        <f t="shared" si="1"/>
        <v>550</v>
      </c>
      <c r="G19" s="196">
        <v>25</v>
      </c>
      <c r="H19" s="192">
        <f t="shared" si="3"/>
        <v>49.9</v>
      </c>
      <c r="I19" s="192">
        <f>E71</f>
        <v>1.2516548463356973</v>
      </c>
      <c r="J19" s="192">
        <f t="shared" si="5"/>
        <v>1.1944444444444444</v>
      </c>
      <c r="K19" s="196">
        <v>19.64</v>
      </c>
      <c r="L19" s="191">
        <f t="shared" si="2"/>
        <v>646.98609929078009</v>
      </c>
      <c r="M19" s="192">
        <f t="shared" si="6"/>
        <v>45.289026950354611</v>
      </c>
      <c r="N19" s="192">
        <f t="shared" si="4"/>
        <v>601.69707234042551</v>
      </c>
      <c r="O19" s="193" t="s">
        <v>817</v>
      </c>
      <c r="P19" s="197">
        <v>10</v>
      </c>
      <c r="Q19" s="197">
        <v>11</v>
      </c>
      <c r="R19" s="198"/>
      <c r="S19" s="198"/>
      <c r="T19" s="198"/>
      <c r="U19" s="198"/>
      <c r="V19" s="198"/>
      <c r="W19" s="198"/>
      <c r="X19" s="198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198"/>
      <c r="AN19" s="198"/>
      <c r="AO19" s="198"/>
      <c r="AP19" s="198"/>
      <c r="AQ19" s="198"/>
    </row>
    <row r="20" spans="1:48" s="206" customFormat="1" x14ac:dyDescent="0.3">
      <c r="A20" s="193" t="s">
        <v>756</v>
      </c>
      <c r="B20" s="193">
        <v>13</v>
      </c>
      <c r="C20" s="193" t="s">
        <v>827</v>
      </c>
      <c r="D20" s="196">
        <f>'GERAL 2022'!G15</f>
        <v>550</v>
      </c>
      <c r="E20" s="196">
        <v>0</v>
      </c>
      <c r="F20" s="196">
        <f t="shared" si="1"/>
        <v>550</v>
      </c>
      <c r="G20" s="192">
        <v>0</v>
      </c>
      <c r="H20" s="192">
        <f t="shared" si="3"/>
        <v>49.9</v>
      </c>
      <c r="I20" s="192">
        <f>E73</f>
        <v>1.2516548463356973</v>
      </c>
      <c r="J20" s="192">
        <f t="shared" si="5"/>
        <v>1.1944444444444444</v>
      </c>
      <c r="K20" s="192">
        <f>E72</f>
        <v>19.641666666666666</v>
      </c>
      <c r="L20" s="191">
        <f t="shared" si="2"/>
        <v>621.98776595744675</v>
      </c>
      <c r="M20" s="192">
        <f t="shared" si="6"/>
        <v>43.539143617021274</v>
      </c>
      <c r="N20" s="192">
        <f t="shared" si="4"/>
        <v>578.44862234042546</v>
      </c>
      <c r="O20" s="193" t="s">
        <v>820</v>
      </c>
      <c r="P20" s="197">
        <v>10</v>
      </c>
      <c r="Q20" s="197">
        <v>11</v>
      </c>
      <c r="R20" s="205"/>
      <c r="S20" s="205"/>
      <c r="T20" s="205"/>
      <c r="U20" s="205"/>
      <c r="V20" s="205"/>
      <c r="W20" s="205"/>
      <c r="X20" s="205"/>
      <c r="Y20" s="205"/>
      <c r="Z20" s="205"/>
      <c r="AA20" s="205"/>
      <c r="AB20" s="205"/>
      <c r="AC20" s="205"/>
      <c r="AD20" s="205"/>
      <c r="AE20" s="205"/>
      <c r="AF20" s="205"/>
      <c r="AG20" s="205"/>
      <c r="AH20" s="205"/>
      <c r="AI20" s="205"/>
      <c r="AJ20" s="205"/>
      <c r="AK20" s="205"/>
      <c r="AL20" s="205"/>
      <c r="AM20" s="205"/>
      <c r="AN20" s="205"/>
      <c r="AO20" s="205"/>
      <c r="AP20" s="205"/>
      <c r="AQ20" s="205"/>
    </row>
    <row r="21" spans="1:48" s="148" customFormat="1" x14ac:dyDescent="0.3">
      <c r="A21" s="194" t="s">
        <v>747</v>
      </c>
      <c r="B21" s="194">
        <v>14</v>
      </c>
      <c r="C21" s="194" t="s">
        <v>828</v>
      </c>
      <c r="D21" s="192">
        <f>'GERAL 2022'!G39</f>
        <v>580</v>
      </c>
      <c r="E21" s="192">
        <v>0</v>
      </c>
      <c r="F21" s="196">
        <f t="shared" si="1"/>
        <v>580</v>
      </c>
      <c r="G21" s="192">
        <f>50</f>
        <v>50</v>
      </c>
      <c r="H21" s="192">
        <f t="shared" si="3"/>
        <v>49.9</v>
      </c>
      <c r="I21" s="192">
        <f>E75</f>
        <v>1.2516548463356973</v>
      </c>
      <c r="J21" s="192">
        <f t="shared" si="5"/>
        <v>1.1944444444444444</v>
      </c>
      <c r="K21" s="192">
        <v>0</v>
      </c>
      <c r="L21" s="191">
        <f t="shared" si="2"/>
        <v>682.3460992907801</v>
      </c>
      <c r="M21" s="192">
        <f t="shared" si="6"/>
        <v>47.764226950354612</v>
      </c>
      <c r="N21" s="192">
        <f t="shared" si="4"/>
        <v>634.58187234042543</v>
      </c>
      <c r="O21" s="193" t="s">
        <v>818</v>
      </c>
      <c r="P21" s="197">
        <v>10</v>
      </c>
      <c r="Q21" s="194">
        <v>11</v>
      </c>
      <c r="R21" s="208"/>
      <c r="S21" s="208"/>
      <c r="T21" s="208"/>
      <c r="U21" s="208"/>
      <c r="V21" s="208"/>
      <c r="W21" s="208"/>
      <c r="X21" s="208"/>
      <c r="Y21" s="208"/>
      <c r="Z21" s="208"/>
      <c r="AA21" s="208"/>
      <c r="AB21" s="208"/>
      <c r="AC21" s="208"/>
      <c r="AD21" s="208"/>
      <c r="AE21" s="208"/>
      <c r="AF21" s="208"/>
      <c r="AG21" s="208"/>
      <c r="AH21" s="208"/>
      <c r="AI21" s="208"/>
      <c r="AJ21" s="208"/>
      <c r="AK21" s="208"/>
      <c r="AL21" s="208"/>
      <c r="AM21" s="208"/>
      <c r="AN21" s="208"/>
      <c r="AO21" s="208"/>
      <c r="AP21" s="208"/>
      <c r="AQ21" s="208"/>
      <c r="AR21" s="208"/>
      <c r="AS21" s="208"/>
      <c r="AT21" s="208"/>
      <c r="AU21" s="208"/>
      <c r="AV21" s="208"/>
    </row>
    <row r="22" spans="1:48" s="204" customFormat="1" x14ac:dyDescent="0.3">
      <c r="A22" s="193" t="s">
        <v>748</v>
      </c>
      <c r="B22" s="193">
        <v>15</v>
      </c>
      <c r="C22" s="193" t="s">
        <v>827</v>
      </c>
      <c r="D22" s="192">
        <f>'GERAL 2023'!G36</f>
        <v>680</v>
      </c>
      <c r="E22" s="192">
        <v>0</v>
      </c>
      <c r="F22" s="196">
        <f t="shared" si="1"/>
        <v>680</v>
      </c>
      <c r="G22" s="192">
        <v>25</v>
      </c>
      <c r="H22" s="192">
        <f t="shared" si="3"/>
        <v>49.9</v>
      </c>
      <c r="I22" s="192">
        <f>'GERAL 2023'!I36</f>
        <v>1.7523167848699763</v>
      </c>
      <c r="J22" s="192">
        <f t="shared" si="5"/>
        <v>1.1944444444444444</v>
      </c>
      <c r="K22" s="192">
        <f>'GERAL 2023'!K36</f>
        <v>19.836666666666666</v>
      </c>
      <c r="L22" s="191">
        <f t="shared" si="2"/>
        <v>777.68342789598114</v>
      </c>
      <c r="M22" s="192">
        <f t="shared" si="6"/>
        <v>54.437839952718683</v>
      </c>
      <c r="N22" s="192">
        <f t="shared" si="4"/>
        <v>723.24558794326242</v>
      </c>
      <c r="O22" s="193" t="s">
        <v>820</v>
      </c>
      <c r="P22" s="197">
        <v>10</v>
      </c>
      <c r="Q22" s="194">
        <v>11</v>
      </c>
      <c r="R22" s="200"/>
      <c r="S22" s="200"/>
      <c r="T22" s="200"/>
      <c r="U22" s="200"/>
      <c r="V22" s="200"/>
      <c r="W22" s="200"/>
      <c r="X22" s="200"/>
      <c r="Y22" s="200"/>
      <c r="Z22" s="200"/>
    </row>
    <row r="23" spans="1:48" s="206" customFormat="1" x14ac:dyDescent="0.3">
      <c r="A23" s="197" t="s">
        <v>757</v>
      </c>
      <c r="B23" s="197">
        <v>16</v>
      </c>
      <c r="C23" s="197" t="s">
        <v>829</v>
      </c>
      <c r="D23" s="192">
        <f>'GERAL 2023'!G37</f>
        <v>610</v>
      </c>
      <c r="E23" s="192">
        <v>0</v>
      </c>
      <c r="F23" s="196">
        <f>D23-E23</f>
        <v>610</v>
      </c>
      <c r="G23" s="192">
        <v>0</v>
      </c>
      <c r="H23" s="192">
        <f t="shared" si="3"/>
        <v>49.9</v>
      </c>
      <c r="I23" s="192">
        <f>E79</f>
        <v>1.2516548463356973</v>
      </c>
      <c r="J23" s="192">
        <f t="shared" si="5"/>
        <v>1.1944444444444444</v>
      </c>
      <c r="K23" s="192"/>
      <c r="L23" s="191">
        <f t="shared" si="2"/>
        <v>662.3460992907801</v>
      </c>
      <c r="M23" s="192">
        <f t="shared" si="6"/>
        <v>46.364226950354613</v>
      </c>
      <c r="N23" s="192">
        <f t="shared" si="4"/>
        <v>615.98187234042553</v>
      </c>
      <c r="O23" s="193" t="s">
        <v>818</v>
      </c>
      <c r="P23" s="197">
        <v>10</v>
      </c>
      <c r="Q23" s="197">
        <v>11</v>
      </c>
      <c r="R23" s="205"/>
      <c r="S23" s="205"/>
      <c r="T23" s="205"/>
      <c r="U23" s="205"/>
      <c r="V23" s="205"/>
      <c r="W23" s="205"/>
      <c r="X23" s="205"/>
      <c r="Y23" s="205"/>
      <c r="Z23" s="205"/>
      <c r="AA23" s="205"/>
      <c r="AB23" s="205"/>
      <c r="AC23" s="205"/>
      <c r="AD23" s="205"/>
      <c r="AE23" s="205"/>
      <c r="AF23" s="205"/>
      <c r="AG23" s="205"/>
      <c r="AH23" s="205"/>
      <c r="AI23" s="205"/>
      <c r="AJ23" s="205"/>
      <c r="AK23" s="205"/>
      <c r="AL23" s="205"/>
      <c r="AM23" s="205"/>
      <c r="AN23" s="205"/>
      <c r="AO23" s="205"/>
      <c r="AP23" s="205"/>
      <c r="AQ23" s="205"/>
    </row>
    <row r="24" spans="1:48" s="206" customFormat="1" x14ac:dyDescent="0.3">
      <c r="A24" s="195" t="s">
        <v>741</v>
      </c>
      <c r="B24" s="195">
        <v>17</v>
      </c>
      <c r="C24" s="195" t="s">
        <v>825</v>
      </c>
      <c r="D24" s="192">
        <f>'GERAL 2022'!G41</f>
        <v>580</v>
      </c>
      <c r="E24" s="192">
        <v>0</v>
      </c>
      <c r="F24" s="196">
        <f t="shared" si="1"/>
        <v>580</v>
      </c>
      <c r="G24" s="192">
        <v>0</v>
      </c>
      <c r="H24" s="192">
        <f t="shared" si="3"/>
        <v>49.9</v>
      </c>
      <c r="I24" s="192">
        <f>E81</f>
        <v>1.2516548463356973</v>
      </c>
      <c r="J24" s="192">
        <f t="shared" si="5"/>
        <v>1.1944444444444444</v>
      </c>
      <c r="K24" s="192">
        <v>19.7</v>
      </c>
      <c r="L24" s="191">
        <f t="shared" si="2"/>
        <v>652.04609929078015</v>
      </c>
      <c r="M24" s="192">
        <f t="shared" si="6"/>
        <v>45.643226950354617</v>
      </c>
      <c r="N24" s="192">
        <f t="shared" si="4"/>
        <v>606.40287234042557</v>
      </c>
      <c r="O24" s="196" t="s">
        <v>817</v>
      </c>
      <c r="P24" s="197">
        <v>10</v>
      </c>
      <c r="Q24" s="197">
        <v>11</v>
      </c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  <c r="AP24" s="205"/>
      <c r="AQ24" s="205"/>
    </row>
    <row r="25" spans="1:48" s="206" customFormat="1" x14ac:dyDescent="0.3">
      <c r="A25" s="195" t="s">
        <v>749</v>
      </c>
      <c r="B25" s="193">
        <v>18</v>
      </c>
      <c r="C25" s="193" t="s">
        <v>830</v>
      </c>
      <c r="D25" s="192">
        <f>'GERAL 2023'!G20</f>
        <v>640</v>
      </c>
      <c r="E25" s="192">
        <v>0</v>
      </c>
      <c r="F25" s="196">
        <f>D25-E25</f>
        <v>640</v>
      </c>
      <c r="G25" s="192">
        <v>50</v>
      </c>
      <c r="H25" s="192">
        <f t="shared" si="3"/>
        <v>49.9</v>
      </c>
      <c r="I25" s="192">
        <f>E83</f>
        <v>1.2516548463356973</v>
      </c>
      <c r="J25" s="192">
        <f t="shared" si="5"/>
        <v>1.1944444444444444</v>
      </c>
      <c r="K25" s="192">
        <v>0</v>
      </c>
      <c r="L25" s="191">
        <f t="shared" si="2"/>
        <v>742.3460992907801</v>
      </c>
      <c r="M25" s="192">
        <f t="shared" si="6"/>
        <v>51.964226950354615</v>
      </c>
      <c r="N25" s="192">
        <f t="shared" si="4"/>
        <v>690.3818723404255</v>
      </c>
      <c r="O25" s="193" t="s">
        <v>818</v>
      </c>
      <c r="P25" s="197">
        <v>10</v>
      </c>
      <c r="Q25" s="197">
        <v>11</v>
      </c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  <c r="AQ25" s="205"/>
    </row>
    <row r="26" spans="1:48" s="206" customFormat="1" x14ac:dyDescent="0.3">
      <c r="A26" s="193" t="s">
        <v>738</v>
      </c>
      <c r="B26" s="193">
        <v>19</v>
      </c>
      <c r="C26" s="193" t="s">
        <v>825</v>
      </c>
      <c r="D26" s="192">
        <f>'GERAL 2023'!G38</f>
        <v>610</v>
      </c>
      <c r="E26" s="192">
        <v>0</v>
      </c>
      <c r="F26" s="196">
        <f>(D26-E26)</f>
        <v>610</v>
      </c>
      <c r="G26" s="192">
        <v>0</v>
      </c>
      <c r="H26" s="192">
        <f t="shared" si="3"/>
        <v>49.9</v>
      </c>
      <c r="I26" s="192">
        <f>'GERAL 2023'!I38</f>
        <v>1.2516548463356973</v>
      </c>
      <c r="J26" s="192">
        <f t="shared" si="5"/>
        <v>1.1944444444444444</v>
      </c>
      <c r="K26" s="192">
        <f>'GERAL 2023'!K38</f>
        <v>19.754999999999999</v>
      </c>
      <c r="L26" s="191">
        <f t="shared" si="2"/>
        <v>682.1010992907801</v>
      </c>
      <c r="M26" s="192">
        <f t="shared" si="6"/>
        <v>47.747076950354611</v>
      </c>
      <c r="N26" s="192">
        <f t="shared" si="4"/>
        <v>634.35402234042544</v>
      </c>
      <c r="O26" s="193" t="s">
        <v>817</v>
      </c>
      <c r="P26" s="197">
        <v>10</v>
      </c>
      <c r="Q26" s="197">
        <v>11</v>
      </c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  <c r="AQ26" s="205"/>
    </row>
    <row r="27" spans="1:48" s="206" customFormat="1" x14ac:dyDescent="0.3">
      <c r="A27" s="195"/>
      <c r="B27" s="193">
        <v>20</v>
      </c>
      <c r="C27" s="193"/>
      <c r="D27" s="192">
        <v>0</v>
      </c>
      <c r="E27" s="192">
        <v>0</v>
      </c>
      <c r="F27" s="196">
        <f t="shared" ref="F27:F34" si="7">D27-E27</f>
        <v>0</v>
      </c>
      <c r="G27" s="192">
        <v>0</v>
      </c>
      <c r="H27" s="192">
        <v>0</v>
      </c>
      <c r="I27" s="192">
        <v>0</v>
      </c>
      <c r="J27" s="192">
        <v>0</v>
      </c>
      <c r="K27" s="192">
        <v>0</v>
      </c>
      <c r="L27" s="191">
        <f t="shared" si="2"/>
        <v>0</v>
      </c>
      <c r="M27" s="192">
        <f t="shared" si="6"/>
        <v>0</v>
      </c>
      <c r="N27" s="192">
        <f t="shared" si="4"/>
        <v>0</v>
      </c>
      <c r="O27" s="193" t="s">
        <v>525</v>
      </c>
      <c r="P27" s="207"/>
      <c r="Q27" s="197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  <c r="AQ27" s="205"/>
    </row>
    <row r="28" spans="1:48" s="206" customFormat="1" x14ac:dyDescent="0.3">
      <c r="A28" s="195" t="s">
        <v>788</v>
      </c>
      <c r="B28" s="193">
        <v>21</v>
      </c>
      <c r="C28" s="193" t="s">
        <v>822</v>
      </c>
      <c r="D28" s="192">
        <f>'GERAL 2023'!G39</f>
        <v>580</v>
      </c>
      <c r="E28" s="192">
        <v>0</v>
      </c>
      <c r="F28" s="196">
        <f t="shared" si="7"/>
        <v>580</v>
      </c>
      <c r="G28" s="192">
        <v>25</v>
      </c>
      <c r="H28" s="192">
        <f t="shared" si="3"/>
        <v>49.9</v>
      </c>
      <c r="I28" s="192">
        <f>'GERAL 2023'!I39</f>
        <v>1.2516548463356973</v>
      </c>
      <c r="J28" s="192">
        <f t="shared" si="5"/>
        <v>1.1944444444444444</v>
      </c>
      <c r="K28" s="192">
        <v>19.7</v>
      </c>
      <c r="L28" s="191">
        <f t="shared" si="2"/>
        <v>677.04609929078015</v>
      </c>
      <c r="M28" s="192">
        <f t="shared" si="6"/>
        <v>47.393226950354617</v>
      </c>
      <c r="N28" s="192">
        <f t="shared" si="4"/>
        <v>629.65287234042557</v>
      </c>
      <c r="O28" s="193" t="s">
        <v>816</v>
      </c>
      <c r="P28" s="207">
        <v>10</v>
      </c>
      <c r="Q28" s="197">
        <v>11</v>
      </c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  <c r="AQ28" s="205"/>
    </row>
    <row r="29" spans="1:48" s="206" customFormat="1" ht="15.75" customHeight="1" x14ac:dyDescent="0.3">
      <c r="A29" s="195" t="s">
        <v>759</v>
      </c>
      <c r="B29" s="193">
        <v>22</v>
      </c>
      <c r="C29" s="193" t="s">
        <v>827</v>
      </c>
      <c r="D29" s="192">
        <f>'GERAL 2022'!G24</f>
        <v>500</v>
      </c>
      <c r="E29" s="192">
        <v>0</v>
      </c>
      <c r="F29" s="196">
        <f t="shared" si="7"/>
        <v>500</v>
      </c>
      <c r="G29" s="192">
        <v>25</v>
      </c>
      <c r="H29" s="192">
        <f t="shared" si="3"/>
        <v>49.9</v>
      </c>
      <c r="I29" s="192">
        <f>E91</f>
        <v>1.2516548463356973</v>
      </c>
      <c r="J29" s="192">
        <f t="shared" si="5"/>
        <v>1.1944444444444444</v>
      </c>
      <c r="K29" s="192">
        <f>E90</f>
        <v>19.543333333333333</v>
      </c>
      <c r="L29" s="191">
        <f t="shared" si="2"/>
        <v>596.8894326241134</v>
      </c>
      <c r="M29" s="192">
        <f t="shared" si="6"/>
        <v>41.78226028368794</v>
      </c>
      <c r="N29" s="192">
        <f t="shared" si="4"/>
        <v>555.10717234042545</v>
      </c>
      <c r="O29" s="193" t="s">
        <v>820</v>
      </c>
      <c r="P29" s="207">
        <v>10</v>
      </c>
      <c r="Q29" s="197">
        <v>11</v>
      </c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  <c r="AQ29" s="205"/>
    </row>
    <row r="30" spans="1:48" s="206" customFormat="1" x14ac:dyDescent="0.3">
      <c r="A30" s="195" t="s">
        <v>750</v>
      </c>
      <c r="B30" s="193">
        <v>23</v>
      </c>
      <c r="C30" s="193" t="s">
        <v>827</v>
      </c>
      <c r="D30" s="192">
        <f>'GERAL 2022'!G25</f>
        <v>550</v>
      </c>
      <c r="E30" s="192">
        <v>0</v>
      </c>
      <c r="F30" s="196">
        <f t="shared" si="7"/>
        <v>550</v>
      </c>
      <c r="G30" s="192">
        <v>0</v>
      </c>
      <c r="H30" s="192">
        <f t="shared" si="3"/>
        <v>49.9</v>
      </c>
      <c r="I30" s="192">
        <f>E93</f>
        <v>1.2516548463356973</v>
      </c>
      <c r="J30" s="192">
        <f t="shared" si="5"/>
        <v>1.1944444444444444</v>
      </c>
      <c r="K30" s="192">
        <f>E92</f>
        <v>19.641666666666666</v>
      </c>
      <c r="L30" s="191">
        <f t="shared" si="2"/>
        <v>621.98776595744675</v>
      </c>
      <c r="M30" s="192">
        <f t="shared" si="6"/>
        <v>43.539143617021274</v>
      </c>
      <c r="N30" s="192">
        <f t="shared" si="4"/>
        <v>578.44862234042546</v>
      </c>
      <c r="O30" s="193" t="s">
        <v>820</v>
      </c>
      <c r="P30" s="197">
        <v>10</v>
      </c>
      <c r="Q30" s="197">
        <v>11</v>
      </c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  <c r="AQ30" s="205"/>
    </row>
    <row r="31" spans="1:48" s="204" customFormat="1" x14ac:dyDescent="0.3">
      <c r="A31" s="193"/>
      <c r="B31" s="193">
        <v>24</v>
      </c>
      <c r="C31" s="193"/>
      <c r="D31" s="192">
        <v>0</v>
      </c>
      <c r="E31" s="192">
        <v>0</v>
      </c>
      <c r="F31" s="196">
        <f t="shared" si="7"/>
        <v>0</v>
      </c>
      <c r="G31" s="192">
        <v>0</v>
      </c>
      <c r="H31" s="192">
        <v>0</v>
      </c>
      <c r="I31" s="192">
        <v>0</v>
      </c>
      <c r="J31" s="192">
        <v>0</v>
      </c>
      <c r="K31" s="192">
        <v>0</v>
      </c>
      <c r="L31" s="191">
        <f t="shared" si="2"/>
        <v>0</v>
      </c>
      <c r="M31" s="192">
        <f t="shared" si="6"/>
        <v>0</v>
      </c>
      <c r="N31" s="192">
        <f t="shared" si="4"/>
        <v>0</v>
      </c>
      <c r="O31" s="193" t="s">
        <v>525</v>
      </c>
      <c r="P31" s="207"/>
      <c r="Q31" s="197"/>
      <c r="R31" s="200"/>
      <c r="S31" s="200"/>
      <c r="T31" s="200"/>
      <c r="U31" s="200"/>
      <c r="V31" s="200"/>
      <c r="W31" s="200"/>
      <c r="X31" s="200"/>
      <c r="Y31" s="200"/>
      <c r="Z31" s="200"/>
    </row>
    <row r="32" spans="1:48" s="204" customFormat="1" x14ac:dyDescent="0.3">
      <c r="A32" s="206" t="s">
        <v>809</v>
      </c>
      <c r="B32" s="193">
        <v>25</v>
      </c>
      <c r="C32" s="193" t="s">
        <v>828</v>
      </c>
      <c r="D32" s="192">
        <f>'GERAL 2022'!G44</f>
        <v>610</v>
      </c>
      <c r="E32" s="192">
        <v>0</v>
      </c>
      <c r="F32" s="196">
        <f t="shared" si="7"/>
        <v>610</v>
      </c>
      <c r="G32" s="192">
        <v>0</v>
      </c>
      <c r="H32" s="192">
        <f t="shared" si="3"/>
        <v>49.9</v>
      </c>
      <c r="I32" s="192">
        <f>E97</f>
        <v>1.2516548463356973</v>
      </c>
      <c r="J32" s="192">
        <f t="shared" si="5"/>
        <v>1.1944444444444444</v>
      </c>
      <c r="K32" s="192">
        <v>0</v>
      </c>
      <c r="L32" s="191">
        <f t="shared" si="2"/>
        <v>662.3460992907801</v>
      </c>
      <c r="M32" s="192">
        <f t="shared" si="6"/>
        <v>46.364226950354613</v>
      </c>
      <c r="N32" s="192">
        <f t="shared" si="4"/>
        <v>615.98187234042553</v>
      </c>
      <c r="O32" s="193" t="s">
        <v>818</v>
      </c>
      <c r="P32" s="207">
        <v>10</v>
      </c>
      <c r="Q32" s="197">
        <v>11</v>
      </c>
      <c r="R32" s="200"/>
      <c r="S32" s="200"/>
      <c r="T32" s="200"/>
      <c r="U32" s="200"/>
      <c r="V32" s="200"/>
      <c r="W32" s="200"/>
      <c r="X32" s="200"/>
      <c r="Y32" s="200"/>
      <c r="Z32" s="200"/>
    </row>
    <row r="33" spans="1:61" s="206" customFormat="1" x14ac:dyDescent="0.3">
      <c r="A33" s="195" t="s">
        <v>751</v>
      </c>
      <c r="B33" s="193">
        <v>26</v>
      </c>
      <c r="C33" s="193" t="s">
        <v>827</v>
      </c>
      <c r="D33" s="192">
        <f>'GERAL 2022'!G28</f>
        <v>560</v>
      </c>
      <c r="E33" s="192">
        <v>0</v>
      </c>
      <c r="F33" s="196">
        <f t="shared" si="7"/>
        <v>560</v>
      </c>
      <c r="G33" s="192">
        <v>25</v>
      </c>
      <c r="H33" s="192">
        <f t="shared" si="3"/>
        <v>49.9</v>
      </c>
      <c r="I33" s="192">
        <f>E99</f>
        <v>1.2516548463356973</v>
      </c>
      <c r="J33" s="192">
        <f t="shared" si="5"/>
        <v>1.1944444444444444</v>
      </c>
      <c r="K33" s="192">
        <f>E98</f>
        <v>19.658333333333335</v>
      </c>
      <c r="L33" s="191">
        <f t="shared" si="2"/>
        <v>657.00443262411341</v>
      </c>
      <c r="M33" s="192">
        <f t="shared" si="6"/>
        <v>45.99031028368794</v>
      </c>
      <c r="N33" s="192">
        <f t="shared" si="4"/>
        <v>611.0141223404255</v>
      </c>
      <c r="O33" s="193" t="s">
        <v>820</v>
      </c>
      <c r="P33" s="197">
        <v>10</v>
      </c>
      <c r="Q33" s="197">
        <v>11</v>
      </c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  <c r="AC33" s="205"/>
      <c r="AD33" s="205"/>
      <c r="AE33" s="205"/>
      <c r="AF33" s="205"/>
      <c r="AG33" s="205"/>
      <c r="AH33" s="205"/>
      <c r="AI33" s="205"/>
      <c r="AJ33" s="205"/>
      <c r="AK33" s="205"/>
      <c r="AL33" s="205"/>
      <c r="AM33" s="205"/>
      <c r="AN33" s="205"/>
      <c r="AO33" s="205"/>
      <c r="AP33" s="205"/>
      <c r="AQ33" s="205"/>
    </row>
    <row r="34" spans="1:61" s="206" customFormat="1" x14ac:dyDescent="0.3">
      <c r="A34" s="195" t="s">
        <v>752</v>
      </c>
      <c r="B34" s="193">
        <v>27</v>
      </c>
      <c r="C34" s="216" t="s">
        <v>827</v>
      </c>
      <c r="D34" s="217">
        <f>'GERAL 2022'!G45</f>
        <v>580</v>
      </c>
      <c r="E34" s="210">
        <v>0</v>
      </c>
      <c r="F34" s="196">
        <f t="shared" si="7"/>
        <v>580</v>
      </c>
      <c r="G34" s="210">
        <v>0</v>
      </c>
      <c r="H34" s="192">
        <f t="shared" si="3"/>
        <v>49.9</v>
      </c>
      <c r="I34" s="210">
        <f>E101</f>
        <v>1.2516548463356973</v>
      </c>
      <c r="J34" s="192">
        <f>(193.5)/27/6</f>
        <v>1.1944444444444444</v>
      </c>
      <c r="K34" s="210">
        <f>E100</f>
        <v>19.696666666666669</v>
      </c>
      <c r="L34" s="191">
        <f t="shared" si="2"/>
        <v>652.04276595744682</v>
      </c>
      <c r="M34" s="192">
        <f t="shared" si="6"/>
        <v>45.642993617021283</v>
      </c>
      <c r="N34" s="192">
        <f>L34-M34</f>
        <v>606.39977234042556</v>
      </c>
      <c r="O34" s="193" t="s">
        <v>820</v>
      </c>
      <c r="P34" s="197">
        <v>10</v>
      </c>
      <c r="Q34" s="197">
        <v>11</v>
      </c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205"/>
    </row>
    <row r="35" spans="1:61" s="11" customFormat="1" x14ac:dyDescent="0.3">
      <c r="A35" s="518" t="s">
        <v>4</v>
      </c>
      <c r="B35" s="518"/>
      <c r="C35" s="95"/>
      <c r="D35" s="109">
        <f>SUM(D8:D34)</f>
        <v>12310</v>
      </c>
      <c r="E35" s="109">
        <f t="shared" ref="E35:N35" si="8">SUM(E8:E34)</f>
        <v>0</v>
      </c>
      <c r="F35" s="109">
        <f t="shared" si="8"/>
        <v>12310</v>
      </c>
      <c r="G35" s="109">
        <f t="shared" si="8"/>
        <v>575</v>
      </c>
      <c r="H35" s="109">
        <f t="shared" si="8"/>
        <v>1097.7999999999997</v>
      </c>
      <c r="I35" s="109">
        <f t="shared" si="8"/>
        <v>27.286075650118196</v>
      </c>
      <c r="J35" s="109">
        <f t="shared" si="8"/>
        <v>25.083333333333321</v>
      </c>
      <c r="K35" s="109">
        <f>SUM(K8:K34)</f>
        <v>295.25333333333333</v>
      </c>
      <c r="L35" s="109">
        <f t="shared" si="8"/>
        <v>14330.422742316783</v>
      </c>
      <c r="M35" s="109">
        <f t="shared" si="8"/>
        <v>1003.1295919621748</v>
      </c>
      <c r="N35" s="109">
        <f t="shared" si="8"/>
        <v>13327.293150354613</v>
      </c>
      <c r="O35" s="90"/>
      <c r="P35" s="3"/>
      <c r="Q35" s="3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</row>
    <row r="36" spans="1:61" s="11" customFormat="1" ht="28.5" customHeight="1" x14ac:dyDescent="0.3">
      <c r="A36" s="521" t="s">
        <v>815</v>
      </c>
      <c r="B36" s="521"/>
      <c r="C36" s="521"/>
      <c r="D36" s="521"/>
      <c r="E36" s="521"/>
      <c r="F36" s="521"/>
      <c r="G36" s="521"/>
      <c r="H36" s="521"/>
      <c r="I36" s="521"/>
      <c r="J36" s="521"/>
      <c r="K36" s="521"/>
      <c r="L36" s="521"/>
      <c r="M36" s="521"/>
      <c r="N36" s="521"/>
      <c r="O36" s="521"/>
      <c r="P36" s="521"/>
      <c r="Q36" s="521"/>
      <c r="R36" s="10"/>
      <c r="S36" s="10"/>
      <c r="T36" s="10"/>
      <c r="U36" s="10"/>
      <c r="V36" s="10"/>
      <c r="W36" s="10"/>
      <c r="X36" s="10"/>
      <c r="Y36" s="10"/>
      <c r="Z36" s="10"/>
    </row>
    <row r="37" spans="1:61" s="11" customFormat="1" ht="27.75" customHeight="1" x14ac:dyDescent="0.3">
      <c r="A37" s="127" t="s">
        <v>3</v>
      </c>
      <c r="B37" s="127" t="s">
        <v>0</v>
      </c>
      <c r="C37" s="127"/>
      <c r="D37" s="128" t="s">
        <v>174</v>
      </c>
      <c r="E37" s="555" t="s">
        <v>175</v>
      </c>
      <c r="F37" s="556"/>
      <c r="G37" s="556"/>
      <c r="H37" s="556"/>
      <c r="I37" s="556"/>
      <c r="J37" s="556"/>
      <c r="K37" s="557"/>
      <c r="L37" s="128" t="s">
        <v>4</v>
      </c>
      <c r="M37" s="128" t="s">
        <v>5</v>
      </c>
      <c r="N37" s="128" t="s">
        <v>70</v>
      </c>
      <c r="O37" s="127" t="s">
        <v>59</v>
      </c>
      <c r="P37" s="130" t="s">
        <v>8</v>
      </c>
      <c r="Q37" s="130" t="s">
        <v>10</v>
      </c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spans="1:61" s="199" customFormat="1" x14ac:dyDescent="0.3">
      <c r="A38" s="193"/>
      <c r="B38" s="193"/>
      <c r="C38" s="193"/>
      <c r="D38" s="192"/>
      <c r="E38" s="551"/>
      <c r="F38" s="580"/>
      <c r="G38" s="580"/>
      <c r="H38" s="580"/>
      <c r="I38" s="580"/>
      <c r="J38" s="580"/>
      <c r="K38" s="552"/>
      <c r="L38" s="192"/>
      <c r="M38" s="192"/>
      <c r="N38" s="192"/>
      <c r="O38" s="193"/>
      <c r="P38" s="197"/>
      <c r="Q38" s="197"/>
      <c r="R38" s="198"/>
      <c r="S38" s="198"/>
      <c r="T38" s="198"/>
      <c r="U38" s="198"/>
      <c r="V38" s="198"/>
      <c r="W38" s="198"/>
      <c r="X38" s="198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</row>
    <row r="39" spans="1:61" s="11" customFormat="1" x14ac:dyDescent="0.3">
      <c r="A39" s="518" t="s">
        <v>4</v>
      </c>
      <c r="B39" s="518"/>
      <c r="C39" s="518"/>
      <c r="D39" s="518"/>
      <c r="E39" s="518"/>
      <c r="F39" s="518"/>
      <c r="G39" s="518"/>
      <c r="H39" s="518"/>
      <c r="I39" s="518"/>
      <c r="J39" s="518"/>
      <c r="K39" s="518"/>
      <c r="L39" s="109">
        <f>SUM(L38:L38)</f>
        <v>0</v>
      </c>
      <c r="M39" s="109">
        <f>SUM(M38:M38)</f>
        <v>0</v>
      </c>
      <c r="N39" s="109">
        <f>SUM(N38:N38)</f>
        <v>0</v>
      </c>
      <c r="O39" s="527"/>
      <c r="P39" s="527"/>
      <c r="Q39" s="527"/>
      <c r="R39" s="10"/>
      <c r="S39" s="10"/>
      <c r="T39" s="10"/>
      <c r="U39" s="10"/>
      <c r="V39" s="10"/>
      <c r="W39" s="10"/>
      <c r="X39" s="10"/>
      <c r="Y39" s="10"/>
      <c r="Z39" s="10"/>
    </row>
    <row r="40" spans="1:61" s="11" customFormat="1" x14ac:dyDescent="0.3">
      <c r="A40" s="518"/>
      <c r="B40" s="518"/>
      <c r="C40" s="518"/>
      <c r="D40" s="518"/>
      <c r="E40" s="518"/>
      <c r="F40" s="518"/>
      <c r="G40" s="518"/>
      <c r="H40" s="518"/>
      <c r="I40" s="518"/>
      <c r="J40" s="518"/>
      <c r="K40" s="518"/>
      <c r="L40" s="518"/>
      <c r="M40" s="518"/>
      <c r="N40" s="518"/>
      <c r="O40" s="518"/>
      <c r="P40" s="109"/>
      <c r="Q40" s="109"/>
      <c r="R40" s="10"/>
      <c r="S40" s="10"/>
      <c r="T40" s="10"/>
      <c r="U40" s="10"/>
      <c r="V40" s="10"/>
      <c r="W40" s="10"/>
      <c r="X40" s="10"/>
      <c r="Y40" s="10"/>
      <c r="Z40" s="10"/>
    </row>
    <row r="41" spans="1:61" s="11" customFormat="1" ht="28.5" customHeight="1" x14ac:dyDescent="0.3">
      <c r="A41" s="521" t="s">
        <v>177</v>
      </c>
      <c r="B41" s="521"/>
      <c r="C41" s="521"/>
      <c r="D41" s="521"/>
      <c r="E41" s="521"/>
      <c r="F41" s="521"/>
      <c r="G41" s="521"/>
      <c r="H41" s="521"/>
      <c r="I41" s="521"/>
      <c r="J41" s="521"/>
      <c r="K41" s="521"/>
      <c r="L41" s="521"/>
      <c r="M41" s="521"/>
      <c r="N41" s="521"/>
      <c r="O41" s="521"/>
      <c r="P41" s="521"/>
      <c r="Q41" s="521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61" s="11" customFormat="1" ht="25.5" customHeight="1" x14ac:dyDescent="0.3">
      <c r="A42" s="126" t="s">
        <v>173</v>
      </c>
      <c r="B42" s="126" t="s">
        <v>0</v>
      </c>
      <c r="C42" s="126"/>
      <c r="D42" s="126" t="s">
        <v>174</v>
      </c>
      <c r="E42" s="521" t="s">
        <v>175</v>
      </c>
      <c r="F42" s="521"/>
      <c r="G42" s="521"/>
      <c r="H42" s="521"/>
      <c r="I42" s="521"/>
      <c r="J42" s="521"/>
      <c r="K42" s="521"/>
      <c r="L42" s="129" t="s">
        <v>4</v>
      </c>
      <c r="M42" s="128"/>
      <c r="N42" s="128"/>
      <c r="O42" s="127" t="s">
        <v>59</v>
      </c>
      <c r="P42" s="130" t="s">
        <v>8</v>
      </c>
      <c r="Q42" s="130" t="s">
        <v>10</v>
      </c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61" s="69" customFormat="1" ht="15" customHeight="1" x14ac:dyDescent="0.3">
      <c r="A43" s="4" t="s">
        <v>132</v>
      </c>
      <c r="B43" s="4">
        <v>1</v>
      </c>
      <c r="C43" s="4"/>
      <c r="D43" s="5">
        <f>4977.59-1520</f>
        <v>3457.59</v>
      </c>
      <c r="E43" s="546" t="s">
        <v>284</v>
      </c>
      <c r="F43" s="547"/>
      <c r="G43" s="547"/>
      <c r="H43" s="547"/>
      <c r="I43" s="547"/>
      <c r="J43" s="547"/>
      <c r="K43" s="548"/>
      <c r="L43" s="5">
        <f>4977.59-1520</f>
        <v>3457.59</v>
      </c>
      <c r="M43" s="5"/>
      <c r="N43" s="5"/>
      <c r="O43" s="5" t="s">
        <v>510</v>
      </c>
      <c r="P43" s="140">
        <v>10</v>
      </c>
      <c r="Q43" s="4">
        <v>11</v>
      </c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</row>
    <row r="44" spans="1:61" s="11" customFormat="1" x14ac:dyDescent="0.3">
      <c r="A44" s="90" t="s">
        <v>87</v>
      </c>
      <c r="B44" s="90">
        <v>25</v>
      </c>
      <c r="C44" s="90"/>
      <c r="D44" s="5">
        <v>3013.33</v>
      </c>
      <c r="E44" s="546" t="s">
        <v>543</v>
      </c>
      <c r="F44" s="547"/>
      <c r="G44" s="547"/>
      <c r="H44" s="547"/>
      <c r="I44" s="547"/>
      <c r="J44" s="547"/>
      <c r="K44" s="548"/>
      <c r="L44" s="5">
        <v>3040.58</v>
      </c>
      <c r="M44" s="2"/>
      <c r="N44" s="2"/>
      <c r="O44" s="5" t="s">
        <v>545</v>
      </c>
      <c r="P44" s="98">
        <v>10</v>
      </c>
      <c r="Q44" s="3">
        <v>11</v>
      </c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</row>
    <row r="45" spans="1:61" s="40" customFormat="1" ht="15" customHeight="1" thickBot="1" x14ac:dyDescent="0.35">
      <c r="A45" s="534" t="s">
        <v>4</v>
      </c>
      <c r="B45" s="549"/>
      <c r="C45" s="549"/>
      <c r="D45" s="549"/>
      <c r="E45" s="549"/>
      <c r="F45" s="549"/>
      <c r="G45" s="549"/>
      <c r="H45" s="549"/>
      <c r="I45" s="549"/>
      <c r="J45" s="549"/>
      <c r="K45" s="535"/>
      <c r="L45" s="114">
        <f>SUM(L43:L44)</f>
        <v>6498.17</v>
      </c>
      <c r="M45" s="90"/>
      <c r="N45" s="90"/>
      <c r="O45" s="90"/>
      <c r="P45" s="90"/>
      <c r="Q45" s="9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1"/>
      <c r="AV45" s="11"/>
      <c r="AW45" s="11"/>
      <c r="AX45" s="11"/>
    </row>
    <row r="46" spans="1:61" s="19" customFormat="1" x14ac:dyDescent="0.3">
      <c r="A46" s="179"/>
      <c r="B46" s="180"/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1"/>
      <c r="Q46" s="182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</row>
    <row r="47" spans="1:61" s="40" customFormat="1" x14ac:dyDescent="0.3">
      <c r="A47" s="575" t="s">
        <v>9</v>
      </c>
      <c r="B47" s="576"/>
      <c r="C47" s="576"/>
      <c r="D47" s="576"/>
      <c r="E47" s="577"/>
      <c r="F47" s="574"/>
      <c r="G47" s="540"/>
      <c r="H47" s="540"/>
      <c r="I47" s="46"/>
      <c r="J47" s="46"/>
      <c r="K47" s="46"/>
      <c r="L47" s="46"/>
      <c r="M47" s="46"/>
      <c r="N47" s="46"/>
      <c r="O47" s="544" t="s">
        <v>315</v>
      </c>
      <c r="P47" s="544"/>
      <c r="Q47" s="545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1"/>
      <c r="AV47" s="11"/>
      <c r="AW47" s="11"/>
      <c r="AX47" s="11"/>
    </row>
    <row r="48" spans="1:61" s="40" customFormat="1" x14ac:dyDescent="0.3">
      <c r="A48" s="76" t="s">
        <v>40</v>
      </c>
      <c r="B48" s="77">
        <f>'GERAL 2022'!J35</f>
        <v>118.18</v>
      </c>
      <c r="C48" s="77"/>
      <c r="D48" s="78">
        <v>6</v>
      </c>
      <c r="E48" s="77">
        <f t="shared" ref="E48:E101" si="9">B48/D48</f>
        <v>19.696666666666669</v>
      </c>
      <c r="F48" s="574"/>
      <c r="G48" s="540"/>
      <c r="H48" s="540"/>
      <c r="I48" s="11"/>
      <c r="J48" s="11"/>
      <c r="K48" s="11"/>
      <c r="L48" s="87"/>
      <c r="M48" s="87"/>
      <c r="N48" s="87"/>
      <c r="O48" s="527" t="s">
        <v>94</v>
      </c>
      <c r="P48" s="527"/>
      <c r="Q48" s="114">
        <f>M35+M39</f>
        <v>1003.1295919621748</v>
      </c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1"/>
      <c r="AV48" s="11"/>
      <c r="AW48" s="11"/>
      <c r="AX48" s="11"/>
    </row>
    <row r="49" spans="1:50" s="40" customFormat="1" x14ac:dyDescent="0.3">
      <c r="A49" s="12" t="s">
        <v>46</v>
      </c>
      <c r="B49" s="2">
        <f>'GERAL 2023'!H3</f>
        <v>15.019858156028368</v>
      </c>
      <c r="C49" s="2"/>
      <c r="D49" s="88">
        <v>12</v>
      </c>
      <c r="E49" s="2">
        <f t="shared" si="9"/>
        <v>1.2516548463356973</v>
      </c>
      <c r="F49" s="574"/>
      <c r="G49" s="540"/>
      <c r="H49" s="540"/>
      <c r="I49" s="11"/>
      <c r="J49" s="11"/>
      <c r="K49" s="11"/>
      <c r="L49" s="14"/>
      <c r="M49" s="14"/>
      <c r="N49" s="14"/>
      <c r="O49" s="518" t="s">
        <v>260</v>
      </c>
      <c r="P49" s="518"/>
      <c r="Q49" s="114">
        <f>M5</f>
        <v>0</v>
      </c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1"/>
      <c r="AV49" s="11"/>
      <c r="AW49" s="11"/>
      <c r="AX49" s="11"/>
    </row>
    <row r="50" spans="1:50" s="40" customFormat="1" x14ac:dyDescent="0.3">
      <c r="A50" s="79" t="s">
        <v>29</v>
      </c>
      <c r="B50" s="80">
        <f>'GERAL 2022'!J4</f>
        <v>118.18</v>
      </c>
      <c r="C50" s="77"/>
      <c r="D50" s="78">
        <v>6</v>
      </c>
      <c r="E50" s="80">
        <f t="shared" si="9"/>
        <v>19.696666666666669</v>
      </c>
      <c r="F50" s="574"/>
      <c r="G50" s="540"/>
      <c r="H50" s="540"/>
      <c r="I50" s="11"/>
      <c r="J50" s="11"/>
      <c r="K50" s="11"/>
      <c r="L50" s="14"/>
      <c r="M50" s="14"/>
      <c r="N50" s="14"/>
      <c r="O50" s="520"/>
      <c r="P50" s="520"/>
      <c r="Q50" s="52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1"/>
      <c r="AV50" s="11"/>
      <c r="AW50" s="11"/>
      <c r="AX50" s="11"/>
    </row>
    <row r="51" spans="1:50" s="40" customFormat="1" x14ac:dyDescent="0.3">
      <c r="A51" s="12" t="s">
        <v>30</v>
      </c>
      <c r="B51" s="2">
        <f>'GERAL 2023'!H4</f>
        <v>15.019858156028368</v>
      </c>
      <c r="C51" s="2"/>
      <c r="D51" s="88">
        <v>12</v>
      </c>
      <c r="E51" s="2">
        <f t="shared" si="9"/>
        <v>1.2516548463356973</v>
      </c>
      <c r="F51" s="574"/>
      <c r="G51" s="540"/>
      <c r="H51" s="540"/>
      <c r="I51" s="11"/>
      <c r="J51" s="11"/>
      <c r="K51" s="11"/>
      <c r="L51" s="62"/>
      <c r="M51" s="62"/>
      <c r="N51" s="62"/>
      <c r="O51" s="520"/>
      <c r="P51" s="520"/>
      <c r="Q51" s="52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1"/>
      <c r="AV51" s="11"/>
      <c r="AW51" s="11"/>
      <c r="AX51" s="11"/>
    </row>
    <row r="52" spans="1:50" s="40" customFormat="1" ht="14.4" x14ac:dyDescent="0.3">
      <c r="A52" s="79" t="s">
        <v>65</v>
      </c>
      <c r="B52" s="80">
        <f>'GERAL 2022'!J5</f>
        <v>117.85</v>
      </c>
      <c r="C52" s="77"/>
      <c r="D52" s="78">
        <v>6</v>
      </c>
      <c r="E52" s="80">
        <f t="shared" si="9"/>
        <v>19.641666666666666</v>
      </c>
      <c r="F52" s="574"/>
      <c r="G52" s="540"/>
      <c r="H52" s="540"/>
      <c r="I52" s="11"/>
      <c r="J52" s="11"/>
      <c r="K52" s="11"/>
      <c r="L52" s="14"/>
      <c r="M52" s="14"/>
      <c r="N52" s="14"/>
      <c r="O52" s="529" t="s">
        <v>12</v>
      </c>
      <c r="P52" s="529"/>
      <c r="Q52" s="529"/>
      <c r="R52" s="175"/>
      <c r="S52" s="178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1"/>
      <c r="AV52" s="11"/>
      <c r="AW52" s="11"/>
      <c r="AX52" s="11"/>
    </row>
    <row r="53" spans="1:50" s="11" customFormat="1" ht="15" customHeight="1" x14ac:dyDescent="0.3">
      <c r="A53" s="12" t="s">
        <v>62</v>
      </c>
      <c r="B53" s="2">
        <f>'GERAL 2023'!H5</f>
        <v>15.019858156028368</v>
      </c>
      <c r="C53" s="2"/>
      <c r="D53" s="88">
        <v>12</v>
      </c>
      <c r="E53" s="2">
        <f t="shared" si="9"/>
        <v>1.2516548463356973</v>
      </c>
      <c r="F53" s="574"/>
      <c r="G53" s="540"/>
      <c r="H53" s="540"/>
      <c r="L53" s="63"/>
      <c r="M53" s="63"/>
      <c r="N53" s="63"/>
      <c r="O53" s="514" t="s">
        <v>529</v>
      </c>
      <c r="P53" s="514"/>
      <c r="Q53" s="192">
        <v>19.7</v>
      </c>
      <c r="R53" s="190"/>
      <c r="S53" s="178"/>
    </row>
    <row r="54" spans="1:50" s="11" customFormat="1" ht="14.4" x14ac:dyDescent="0.3">
      <c r="A54" s="79" t="s">
        <v>60</v>
      </c>
      <c r="B54" s="80">
        <f>'GERAL 2022'!J6</f>
        <v>117.85</v>
      </c>
      <c r="C54" s="77"/>
      <c r="D54" s="78">
        <v>6</v>
      </c>
      <c r="E54" s="80">
        <f t="shared" si="9"/>
        <v>19.641666666666666</v>
      </c>
      <c r="F54" s="574"/>
      <c r="G54" s="540"/>
      <c r="H54" s="540"/>
      <c r="L54" s="14"/>
      <c r="M54" s="14"/>
      <c r="N54" s="14"/>
      <c r="O54" s="514" t="s">
        <v>530</v>
      </c>
      <c r="P54" s="514"/>
      <c r="Q54" s="192">
        <v>19.64</v>
      </c>
      <c r="R54" s="175"/>
      <c r="S54" s="178"/>
    </row>
    <row r="55" spans="1:50" s="11" customFormat="1" ht="15" customHeight="1" x14ac:dyDescent="0.3">
      <c r="A55" s="12" t="s">
        <v>61</v>
      </c>
      <c r="B55" s="2">
        <f>'GERAL 2023'!H6</f>
        <v>15.019858156028368</v>
      </c>
      <c r="C55" s="2"/>
      <c r="D55" s="88">
        <v>12</v>
      </c>
      <c r="E55" s="2">
        <f t="shared" si="9"/>
        <v>1.2516548463356973</v>
      </c>
      <c r="F55" s="574"/>
      <c r="G55" s="540"/>
      <c r="H55" s="540"/>
      <c r="L55" s="63"/>
      <c r="M55" s="63"/>
      <c r="N55" s="63"/>
      <c r="O55" s="514" t="s">
        <v>532</v>
      </c>
      <c r="P55" s="514"/>
      <c r="Q55" s="192">
        <v>19.760000000000002</v>
      </c>
      <c r="R55" s="190"/>
      <c r="S55" s="178"/>
    </row>
    <row r="56" spans="1:50" s="11" customFormat="1" ht="14.4" x14ac:dyDescent="0.3">
      <c r="A56" s="79" t="s">
        <v>31</v>
      </c>
      <c r="B56" s="80">
        <f>'GERAL 2023'!J7</f>
        <v>118.18</v>
      </c>
      <c r="C56" s="77"/>
      <c r="D56" s="78">
        <v>6</v>
      </c>
      <c r="E56" s="80">
        <f>B56/D56</f>
        <v>19.696666666666669</v>
      </c>
      <c r="F56" s="574"/>
      <c r="G56" s="540"/>
      <c r="H56" s="540"/>
      <c r="L56" s="14"/>
      <c r="M56" s="14"/>
      <c r="N56" s="14"/>
      <c r="O56" s="514" t="s">
        <v>308</v>
      </c>
      <c r="P56" s="514"/>
      <c r="Q56" s="192">
        <v>19.7</v>
      </c>
      <c r="R56" s="175"/>
      <c r="S56" s="178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</row>
    <row r="57" spans="1:50" s="11" customFormat="1" ht="14.4" x14ac:dyDescent="0.3">
      <c r="A57" s="12" t="s">
        <v>32</v>
      </c>
      <c r="B57" s="2">
        <f>'GERAL 2023'!H7</f>
        <v>15.019858156028368</v>
      </c>
      <c r="C57" s="2"/>
      <c r="D57" s="88">
        <v>12</v>
      </c>
      <c r="E57" s="2">
        <f t="shared" si="9"/>
        <v>1.2516548463356973</v>
      </c>
      <c r="F57" s="574"/>
      <c r="G57" s="540"/>
      <c r="H57" s="540"/>
      <c r="L57" s="63"/>
      <c r="M57" s="63"/>
      <c r="N57" s="63"/>
      <c r="O57" s="514" t="s">
        <v>164</v>
      </c>
      <c r="P57" s="514"/>
      <c r="Q57" s="192">
        <v>19.64</v>
      </c>
      <c r="R57" s="175"/>
      <c r="S57" s="178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</row>
    <row r="58" spans="1:50" s="11" customFormat="1" ht="14.4" x14ac:dyDescent="0.3">
      <c r="A58" s="79" t="s">
        <v>57</v>
      </c>
      <c r="B58" s="80">
        <f>'GERAL 2022'!J36</f>
        <v>119.36</v>
      </c>
      <c r="C58" s="77"/>
      <c r="D58" s="78">
        <v>6</v>
      </c>
      <c r="E58" s="80">
        <f t="shared" si="9"/>
        <v>19.893333333333334</v>
      </c>
      <c r="F58" s="574"/>
      <c r="G58" s="540"/>
      <c r="H58" s="540"/>
      <c r="L58" s="14"/>
      <c r="M58" s="14"/>
      <c r="N58" s="14"/>
      <c r="O58" s="514" t="s">
        <v>534</v>
      </c>
      <c r="P58" s="514"/>
      <c r="Q58" s="192">
        <v>19.64</v>
      </c>
      <c r="R58" s="175"/>
      <c r="S58" s="185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</row>
    <row r="59" spans="1:50" s="11" customFormat="1" ht="14.4" x14ac:dyDescent="0.3">
      <c r="A59" s="12" t="s">
        <v>58</v>
      </c>
      <c r="B59" s="2">
        <f>'GERAL 2023'!H8</f>
        <v>21.027801418439715</v>
      </c>
      <c r="C59" s="2"/>
      <c r="D59" s="88">
        <v>12</v>
      </c>
      <c r="E59" s="2">
        <f t="shared" si="9"/>
        <v>1.7523167848699763</v>
      </c>
      <c r="F59" s="574"/>
      <c r="G59" s="540"/>
      <c r="H59" s="540"/>
      <c r="L59" s="14"/>
      <c r="M59" s="14"/>
      <c r="N59" s="14"/>
      <c r="O59" s="514" t="s">
        <v>535</v>
      </c>
      <c r="P59" s="514"/>
      <c r="Q59" s="192">
        <v>19.64</v>
      </c>
      <c r="R59" s="175"/>
      <c r="S59" s="185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</row>
    <row r="60" spans="1:50" s="11" customFormat="1" ht="14.4" x14ac:dyDescent="0.3">
      <c r="A60" s="79" t="s">
        <v>63</v>
      </c>
      <c r="B60" s="80">
        <f>'GERAL 2022'!J9</f>
        <v>118.18</v>
      </c>
      <c r="C60" s="77"/>
      <c r="D60" s="78">
        <v>6</v>
      </c>
      <c r="E60" s="80">
        <f t="shared" si="9"/>
        <v>19.696666666666669</v>
      </c>
      <c r="F60" s="574"/>
      <c r="G60" s="540"/>
      <c r="H60" s="540"/>
      <c r="L60" s="63"/>
      <c r="M60" s="63"/>
      <c r="N60" s="63"/>
      <c r="O60" s="514" t="s">
        <v>223</v>
      </c>
      <c r="P60" s="514"/>
      <c r="Q60" s="192">
        <v>19.84</v>
      </c>
      <c r="R60" s="175"/>
      <c r="S60" s="178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</row>
    <row r="61" spans="1:50" s="11" customFormat="1" ht="14.4" x14ac:dyDescent="0.3">
      <c r="A61" s="12" t="s">
        <v>64</v>
      </c>
      <c r="B61" s="2">
        <f>'GERAL 2023'!H9</f>
        <v>15.019858156028368</v>
      </c>
      <c r="C61" s="2"/>
      <c r="D61" s="88">
        <v>12</v>
      </c>
      <c r="E61" s="2">
        <f t="shared" si="9"/>
        <v>1.2516548463356973</v>
      </c>
      <c r="F61" s="574"/>
      <c r="G61" s="540"/>
      <c r="H61" s="540"/>
      <c r="L61" s="14"/>
      <c r="M61" s="14"/>
      <c r="N61" s="14"/>
      <c r="O61" s="514" t="s">
        <v>185</v>
      </c>
      <c r="P61" s="514"/>
      <c r="Q61" s="192">
        <v>19.7</v>
      </c>
      <c r="R61" s="175"/>
      <c r="S61" s="178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</row>
    <row r="62" spans="1:50" s="11" customFormat="1" ht="15" customHeight="1" x14ac:dyDescent="0.3">
      <c r="A62" s="79" t="s">
        <v>33</v>
      </c>
      <c r="B62" s="80">
        <f>'GERAL 2022'!J37</f>
        <v>118.18</v>
      </c>
      <c r="C62" s="77"/>
      <c r="D62" s="78">
        <v>6</v>
      </c>
      <c r="E62" s="80">
        <f t="shared" si="9"/>
        <v>19.696666666666669</v>
      </c>
      <c r="F62" s="574"/>
      <c r="G62" s="540"/>
      <c r="H62" s="540"/>
      <c r="L62" s="63"/>
      <c r="M62" s="63"/>
      <c r="N62" s="63"/>
      <c r="O62" s="514" t="s">
        <v>206</v>
      </c>
      <c r="P62" s="514"/>
      <c r="Q62" s="192">
        <v>19.760000000000002</v>
      </c>
      <c r="S62" s="14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</row>
    <row r="63" spans="1:50" s="11" customFormat="1" ht="14.4" x14ac:dyDescent="0.3">
      <c r="A63" s="12" t="s">
        <v>34</v>
      </c>
      <c r="B63" s="2">
        <f>'GERAL 2023'!H10</f>
        <v>15.019858156028368</v>
      </c>
      <c r="C63" s="2"/>
      <c r="D63" s="88">
        <v>12</v>
      </c>
      <c r="E63" s="2">
        <f t="shared" si="9"/>
        <v>1.2516548463356973</v>
      </c>
      <c r="F63" s="574"/>
      <c r="G63" s="540"/>
      <c r="H63" s="540"/>
      <c r="L63" s="14"/>
      <c r="M63" s="14"/>
      <c r="N63" s="14"/>
      <c r="O63" s="514" t="s">
        <v>458</v>
      </c>
      <c r="P63" s="514"/>
      <c r="Q63" s="192">
        <v>19.7</v>
      </c>
      <c r="R63" s="175"/>
      <c r="S63" s="178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</row>
    <row r="64" spans="1:50" s="11" customFormat="1" ht="14.4" x14ac:dyDescent="0.3">
      <c r="A64" s="79" t="s">
        <v>41</v>
      </c>
      <c r="B64" s="80">
        <f>'GERAL 2022'!J11</f>
        <v>118.18</v>
      </c>
      <c r="C64" s="77"/>
      <c r="D64" s="78">
        <v>6</v>
      </c>
      <c r="E64" s="80">
        <f t="shared" si="9"/>
        <v>19.696666666666669</v>
      </c>
      <c r="F64" s="574"/>
      <c r="G64" s="540"/>
      <c r="H64" s="540"/>
      <c r="L64" s="63"/>
      <c r="M64" s="63"/>
      <c r="N64" s="63"/>
      <c r="O64" s="514" t="s">
        <v>538</v>
      </c>
      <c r="P64" s="514"/>
      <c r="Q64" s="192">
        <v>19.54</v>
      </c>
      <c r="R64" s="175"/>
      <c r="S64" s="178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</row>
    <row r="65" spans="1:49" s="11" customFormat="1" ht="14.4" x14ac:dyDescent="0.3">
      <c r="A65" s="12" t="s">
        <v>42</v>
      </c>
      <c r="B65" s="2">
        <f>'GERAL 2023'!H11</f>
        <v>15.019858156028368</v>
      </c>
      <c r="C65" s="2"/>
      <c r="D65" s="88">
        <v>12</v>
      </c>
      <c r="E65" s="2">
        <f t="shared" si="9"/>
        <v>1.2516548463356973</v>
      </c>
      <c r="F65" s="574"/>
      <c r="G65" s="540"/>
      <c r="H65" s="540"/>
      <c r="O65" s="514" t="s">
        <v>539</v>
      </c>
      <c r="P65" s="514"/>
      <c r="Q65" s="192">
        <v>19.64</v>
      </c>
      <c r="R65" s="175"/>
      <c r="S65" s="178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</row>
    <row r="66" spans="1:49" s="11" customFormat="1" ht="14.4" x14ac:dyDescent="0.3">
      <c r="A66" s="79" t="s">
        <v>66</v>
      </c>
      <c r="B66" s="80">
        <f>'GERAL 2022'!J38</f>
        <v>117.85</v>
      </c>
      <c r="C66" s="77"/>
      <c r="D66" s="78">
        <v>6</v>
      </c>
      <c r="E66" s="80">
        <f t="shared" si="9"/>
        <v>19.641666666666666</v>
      </c>
      <c r="F66" s="574"/>
      <c r="G66" s="540"/>
      <c r="H66" s="540"/>
      <c r="L66" s="63"/>
      <c r="M66" s="63"/>
      <c r="N66" s="63"/>
      <c r="O66" s="514" t="s">
        <v>540</v>
      </c>
      <c r="P66" s="514"/>
      <c r="Q66" s="192">
        <v>19.66</v>
      </c>
      <c r="R66" s="175"/>
      <c r="S66" s="178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</row>
    <row r="67" spans="1:49" s="11" customFormat="1" ht="14.4" x14ac:dyDescent="0.3">
      <c r="A67" s="12" t="s">
        <v>67</v>
      </c>
      <c r="B67" s="2">
        <f>'GERAL 2023'!H12</f>
        <v>15.019858156028368</v>
      </c>
      <c r="C67" s="2"/>
      <c r="D67" s="88">
        <v>12</v>
      </c>
      <c r="E67" s="2">
        <f t="shared" si="9"/>
        <v>1.2516548463356973</v>
      </c>
      <c r="F67" s="574"/>
      <c r="G67" s="540"/>
      <c r="H67" s="540"/>
      <c r="L67" s="14"/>
      <c r="M67" s="14"/>
      <c r="N67" s="14"/>
      <c r="O67" s="514" t="s">
        <v>171</v>
      </c>
      <c r="P67" s="514"/>
      <c r="Q67" s="192">
        <v>19.7</v>
      </c>
      <c r="R67" s="175"/>
      <c r="S67" s="185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</row>
    <row r="68" spans="1:49" s="11" customFormat="1" ht="14.4" x14ac:dyDescent="0.3">
      <c r="A68" s="79" t="s">
        <v>14</v>
      </c>
      <c r="B68" s="80">
        <f>'GERAL 2022'!J13</f>
        <v>117.85</v>
      </c>
      <c r="C68" s="77"/>
      <c r="D68" s="78">
        <v>6</v>
      </c>
      <c r="E68" s="80">
        <f t="shared" si="9"/>
        <v>19.641666666666666</v>
      </c>
      <c r="F68" s="574"/>
      <c r="G68" s="540"/>
      <c r="H68" s="540"/>
      <c r="L68" s="63"/>
      <c r="M68" s="63"/>
      <c r="N68" s="63"/>
      <c r="O68" s="514" t="s">
        <v>126</v>
      </c>
      <c r="P68" s="514"/>
      <c r="Q68" s="192">
        <v>103.34</v>
      </c>
      <c r="R68" s="175"/>
      <c r="S68" s="176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</row>
    <row r="69" spans="1:49" s="11" customFormat="1" ht="14.4" x14ac:dyDescent="0.3">
      <c r="A69" s="12" t="s">
        <v>15</v>
      </c>
      <c r="B69" s="2">
        <f>'GERAL 2023'!H13</f>
        <v>15.019858156028368</v>
      </c>
      <c r="C69" s="2"/>
      <c r="D69" s="88">
        <v>12</v>
      </c>
      <c r="E69" s="2">
        <f t="shared" si="9"/>
        <v>1.2516548463356973</v>
      </c>
      <c r="F69" s="574"/>
      <c r="G69" s="540"/>
      <c r="H69" s="540"/>
      <c r="L69" s="14"/>
      <c r="M69" s="14"/>
      <c r="N69" s="14"/>
      <c r="O69" s="583" t="s">
        <v>127</v>
      </c>
      <c r="P69" s="583"/>
      <c r="Q69" s="192">
        <v>1347.3</v>
      </c>
      <c r="R69" s="175"/>
      <c r="S69" s="176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</row>
    <row r="70" spans="1:49" s="11" customFormat="1" ht="14.4" x14ac:dyDescent="0.3">
      <c r="A70" s="79" t="s">
        <v>55</v>
      </c>
      <c r="B70" s="80">
        <f>'GERAL 2022'!J14</f>
        <v>117.85</v>
      </c>
      <c r="C70" s="77"/>
      <c r="D70" s="78">
        <v>6</v>
      </c>
      <c r="E70" s="80">
        <f t="shared" si="9"/>
        <v>19.641666666666666</v>
      </c>
      <c r="F70" s="574"/>
      <c r="G70" s="540"/>
      <c r="H70" s="540"/>
      <c r="L70" s="87"/>
      <c r="M70" s="87"/>
      <c r="N70" s="87"/>
      <c r="O70" s="514" t="s">
        <v>793</v>
      </c>
      <c r="P70" s="514"/>
      <c r="Q70" s="196">
        <v>25.08</v>
      </c>
      <c r="R70" s="175"/>
      <c r="S70" s="176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</row>
    <row r="71" spans="1:49" s="11" customFormat="1" ht="14.4" x14ac:dyDescent="0.3">
      <c r="A71" s="12" t="s">
        <v>56</v>
      </c>
      <c r="B71" s="2">
        <f>'GERAL 2023'!H14</f>
        <v>15.019858156028368</v>
      </c>
      <c r="C71" s="2"/>
      <c r="D71" s="88">
        <v>12</v>
      </c>
      <c r="E71" s="2">
        <f t="shared" si="9"/>
        <v>1.2516548463356973</v>
      </c>
      <c r="F71" s="574"/>
      <c r="G71" s="540"/>
      <c r="H71" s="540"/>
      <c r="O71" s="581"/>
      <c r="P71" s="582"/>
      <c r="Q71" s="212"/>
      <c r="R71" s="175"/>
      <c r="S71" s="176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</row>
    <row r="72" spans="1:49" s="11" customFormat="1" ht="14.4" x14ac:dyDescent="0.3">
      <c r="A72" s="79" t="s">
        <v>35</v>
      </c>
      <c r="B72" s="80">
        <f>'GERAL 2022'!J15</f>
        <v>117.85</v>
      </c>
      <c r="C72" s="77"/>
      <c r="D72" s="78">
        <v>6</v>
      </c>
      <c r="E72" s="80">
        <f t="shared" si="9"/>
        <v>19.641666666666666</v>
      </c>
      <c r="F72" s="574"/>
      <c r="G72" s="540"/>
      <c r="H72" s="540"/>
      <c r="O72" s="520"/>
      <c r="P72" s="520"/>
      <c r="Q72" s="5"/>
      <c r="R72" s="175"/>
      <c r="S72" s="176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</row>
    <row r="73" spans="1:49" s="11" customFormat="1" ht="14.4" x14ac:dyDescent="0.3">
      <c r="A73" s="12" t="s">
        <v>36</v>
      </c>
      <c r="B73" s="2">
        <f>'GERAL 2023'!H15</f>
        <v>15.019858156028368</v>
      </c>
      <c r="C73" s="2"/>
      <c r="D73" s="88">
        <v>12</v>
      </c>
      <c r="E73" s="2">
        <f t="shared" si="9"/>
        <v>1.2516548463356973</v>
      </c>
      <c r="F73" s="574"/>
      <c r="G73" s="540"/>
      <c r="H73" s="540"/>
      <c r="O73" s="563"/>
      <c r="P73" s="563"/>
      <c r="Q73" s="141"/>
      <c r="R73" s="175"/>
      <c r="S73" s="178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</row>
    <row r="74" spans="1:49" s="11" customFormat="1" ht="14.4" x14ac:dyDescent="0.3">
      <c r="A74" s="79" t="s">
        <v>47</v>
      </c>
      <c r="B74" s="80">
        <f>'GERAL 2022'!J39</f>
        <v>118.18</v>
      </c>
      <c r="C74" s="77"/>
      <c r="D74" s="78">
        <v>6</v>
      </c>
      <c r="E74" s="80">
        <f t="shared" si="9"/>
        <v>19.696666666666669</v>
      </c>
      <c r="F74" s="574"/>
      <c r="G74" s="540"/>
      <c r="H74" s="540"/>
      <c r="L74" s="14"/>
      <c r="M74" s="14"/>
      <c r="N74" s="14"/>
      <c r="O74" s="520"/>
      <c r="P74" s="520"/>
      <c r="Q74" s="165"/>
      <c r="R74" s="175"/>
      <c r="S74" s="178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</row>
    <row r="75" spans="1:49" s="11" customFormat="1" ht="14.4" x14ac:dyDescent="0.3">
      <c r="A75" s="12" t="s">
        <v>48</v>
      </c>
      <c r="B75" s="2">
        <f>'GERAL 2023'!H16</f>
        <v>15.019858156028368</v>
      </c>
      <c r="C75" s="2"/>
      <c r="D75" s="88">
        <v>12</v>
      </c>
      <c r="E75" s="2">
        <f t="shared" si="9"/>
        <v>1.2516548463356973</v>
      </c>
      <c r="F75" s="574"/>
      <c r="G75" s="540"/>
      <c r="H75" s="540"/>
      <c r="L75" s="15"/>
      <c r="M75" s="15"/>
      <c r="N75" s="15"/>
      <c r="O75" s="518" t="s">
        <v>26</v>
      </c>
      <c r="P75" s="518"/>
      <c r="Q75" s="109">
        <f>SUM(Q48:Q74)</f>
        <v>2774.1095919621753</v>
      </c>
      <c r="R75" s="175"/>
      <c r="S75" s="178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</row>
    <row r="76" spans="1:49" s="11" customFormat="1" ht="14.4" x14ac:dyDescent="0.3">
      <c r="A76" s="79" t="s">
        <v>16</v>
      </c>
      <c r="B76" s="80">
        <f>'GERAL 2023'!J36</f>
        <v>119.02</v>
      </c>
      <c r="C76" s="77"/>
      <c r="D76" s="78">
        <v>6</v>
      </c>
      <c r="E76" s="80">
        <f t="shared" si="9"/>
        <v>19.836666666666666</v>
      </c>
      <c r="F76" s="574"/>
      <c r="G76" s="540"/>
      <c r="H76" s="540"/>
      <c r="L76" s="14"/>
      <c r="M76" s="14"/>
      <c r="N76" s="14"/>
      <c r="O76" s="543"/>
      <c r="P76" s="543"/>
      <c r="Q76" s="135"/>
      <c r="R76" s="175"/>
      <c r="S76" s="178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</row>
    <row r="77" spans="1:49" s="11" customFormat="1" ht="14.4" x14ac:dyDescent="0.3">
      <c r="A77" s="12" t="s">
        <v>17</v>
      </c>
      <c r="B77" s="2">
        <f>'GERAL 2023'!H36</f>
        <v>21.027801418439715</v>
      </c>
      <c r="C77" s="2"/>
      <c r="D77" s="88">
        <v>12</v>
      </c>
      <c r="E77" s="2">
        <f t="shared" si="9"/>
        <v>1.7523167848699763</v>
      </c>
      <c r="F77" s="574"/>
      <c r="G77" s="540"/>
      <c r="H77" s="540"/>
      <c r="L77" s="14"/>
      <c r="M77" s="14"/>
      <c r="N77" s="14"/>
      <c r="O77" s="564" t="s">
        <v>11</v>
      </c>
      <c r="P77" s="565"/>
      <c r="Q77" s="153">
        <f>L5+L35+L39</f>
        <v>14330.422742316783</v>
      </c>
      <c r="R77" s="175"/>
      <c r="S77" s="178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</row>
    <row r="78" spans="1:49" s="11" customFormat="1" ht="14.4" x14ac:dyDescent="0.3">
      <c r="A78" s="79" t="s">
        <v>27</v>
      </c>
      <c r="B78" s="80">
        <f>'GERAL 2023'!J37</f>
        <v>118.68</v>
      </c>
      <c r="C78" s="77"/>
      <c r="D78" s="78">
        <v>6</v>
      </c>
      <c r="E78" s="80">
        <f t="shared" si="9"/>
        <v>19.78</v>
      </c>
      <c r="F78" s="574"/>
      <c r="G78" s="540"/>
      <c r="H78" s="540"/>
      <c r="L78" s="14"/>
      <c r="M78" s="14"/>
      <c r="N78" s="14"/>
      <c r="O78" s="518"/>
      <c r="P78" s="518"/>
      <c r="Q78" s="519"/>
      <c r="R78" s="175"/>
      <c r="S78" s="178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</row>
    <row r="79" spans="1:49" s="11" customFormat="1" x14ac:dyDescent="0.3">
      <c r="A79" s="12" t="s">
        <v>28</v>
      </c>
      <c r="B79" s="2">
        <f>'GERAL 2023'!H37</f>
        <v>15.019858156028368</v>
      </c>
      <c r="C79" s="2"/>
      <c r="D79" s="88">
        <v>12</v>
      </c>
      <c r="E79" s="2">
        <f t="shared" si="9"/>
        <v>1.2516548463356973</v>
      </c>
      <c r="F79" s="574"/>
      <c r="G79" s="540"/>
      <c r="H79" s="540"/>
      <c r="L79" s="14"/>
      <c r="M79" s="14"/>
      <c r="N79" s="14"/>
      <c r="O79" s="513" t="s">
        <v>13</v>
      </c>
      <c r="P79" s="513"/>
      <c r="Q79" s="151">
        <f>Q77-Q75</f>
        <v>11556.313150354608</v>
      </c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</row>
    <row r="80" spans="1:49" s="69" customFormat="1" x14ac:dyDescent="0.3">
      <c r="A80" s="79" t="s">
        <v>18</v>
      </c>
      <c r="B80" s="80">
        <f>'GERAL 2022'!J41</f>
        <v>118.18</v>
      </c>
      <c r="C80" s="77"/>
      <c r="D80" s="78">
        <v>6</v>
      </c>
      <c r="E80" s="80">
        <f t="shared" si="9"/>
        <v>19.696666666666669</v>
      </c>
      <c r="F80" s="574"/>
      <c r="G80" s="540"/>
      <c r="H80" s="540"/>
      <c r="I80" s="11"/>
      <c r="J80" s="11"/>
      <c r="K80" s="11"/>
      <c r="L80" s="14"/>
      <c r="M80" s="14"/>
      <c r="N80" s="14"/>
      <c r="O80" s="124"/>
      <c r="P80" s="124"/>
      <c r="Q80" s="57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s="69" customFormat="1" x14ac:dyDescent="0.3">
      <c r="A81" s="12" t="s">
        <v>19</v>
      </c>
      <c r="B81" s="2">
        <f>'GERAL 2023'!H19</f>
        <v>15.019858156028368</v>
      </c>
      <c r="C81" s="2"/>
      <c r="D81" s="88">
        <v>12</v>
      </c>
      <c r="E81" s="2">
        <f>B81/D81</f>
        <v>1.2516548463356973</v>
      </c>
      <c r="F81" s="574"/>
      <c r="G81" s="540"/>
      <c r="H81" s="540"/>
      <c r="I81" s="11"/>
      <c r="J81" s="11"/>
      <c r="K81" s="11"/>
      <c r="L81" s="14"/>
      <c r="M81" s="14"/>
      <c r="N81" s="14"/>
      <c r="O81" s="124"/>
      <c r="P81" s="124"/>
      <c r="Q81" s="57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s="69" customFormat="1" x14ac:dyDescent="0.3">
      <c r="A82" s="79" t="s">
        <v>37</v>
      </c>
      <c r="B82" s="80">
        <f>'GERAL 2022'!J42</f>
        <v>118.92</v>
      </c>
      <c r="C82" s="77"/>
      <c r="D82" s="78">
        <v>6</v>
      </c>
      <c r="E82" s="80">
        <f t="shared" si="9"/>
        <v>19.82</v>
      </c>
      <c r="F82" s="574"/>
      <c r="G82" s="540"/>
      <c r="H82" s="540"/>
      <c r="I82" s="11"/>
      <c r="J82" s="11"/>
      <c r="K82" s="11"/>
      <c r="L82" s="14"/>
      <c r="M82" s="14"/>
      <c r="N82" s="14"/>
      <c r="O82" s="124"/>
      <c r="P82" s="124"/>
      <c r="Q82" s="57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s="69" customFormat="1" x14ac:dyDescent="0.3">
      <c r="A83" s="12" t="s">
        <v>38</v>
      </c>
      <c r="B83" s="2">
        <f>'GERAL 2023'!H20</f>
        <v>15.019858156028368</v>
      </c>
      <c r="C83" s="2"/>
      <c r="D83" s="88">
        <v>12</v>
      </c>
      <c r="E83" s="2">
        <f t="shared" si="9"/>
        <v>1.2516548463356973</v>
      </c>
      <c r="F83" s="574"/>
      <c r="G83" s="540"/>
      <c r="H83" s="540"/>
      <c r="I83" s="11"/>
      <c r="J83" s="11"/>
      <c r="K83" s="11"/>
      <c r="L83" s="14"/>
      <c r="M83" s="14"/>
      <c r="N83" s="14"/>
      <c r="O83" s="124"/>
      <c r="P83" s="124"/>
      <c r="Q83" s="57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s="69" customFormat="1" x14ac:dyDescent="0.3">
      <c r="A84" s="79" t="s">
        <v>45</v>
      </c>
      <c r="B84" s="80">
        <f>'GERAL 2022'!J43</f>
        <v>117.85</v>
      </c>
      <c r="C84" s="77"/>
      <c r="D84" s="78">
        <v>6</v>
      </c>
      <c r="E84" s="80">
        <f t="shared" si="9"/>
        <v>19.641666666666666</v>
      </c>
      <c r="F84" s="574"/>
      <c r="G84" s="540"/>
      <c r="H84" s="540"/>
      <c r="I84" s="11"/>
      <c r="J84" s="11"/>
      <c r="K84" s="11"/>
      <c r="L84" s="14"/>
      <c r="M84" s="14"/>
      <c r="N84" s="14"/>
      <c r="O84" s="15"/>
      <c r="P84" s="14"/>
      <c r="Q84" s="57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s="69" customFormat="1" x14ac:dyDescent="0.3">
      <c r="A85" s="12" t="s">
        <v>39</v>
      </c>
      <c r="B85" s="2">
        <f>'GERAL 2023'!H21</f>
        <v>15.019858156028368</v>
      </c>
      <c r="C85" s="2"/>
      <c r="D85" s="88">
        <v>12</v>
      </c>
      <c r="E85" s="2">
        <f t="shared" si="9"/>
        <v>1.2516548463356973</v>
      </c>
      <c r="F85" s="574"/>
      <c r="G85" s="540"/>
      <c r="H85" s="540"/>
      <c r="I85" s="11"/>
      <c r="J85" s="11"/>
      <c r="K85" s="11"/>
      <c r="L85" s="14"/>
      <c r="M85" s="14"/>
      <c r="N85" s="14"/>
      <c r="O85" s="11"/>
      <c r="P85" s="15"/>
      <c r="Q85" s="57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s="69" customFormat="1" x14ac:dyDescent="0.3">
      <c r="A86" s="81" t="s">
        <v>49</v>
      </c>
      <c r="B86" s="80">
        <f>'GERAL 2022'!J22</f>
        <v>119.12</v>
      </c>
      <c r="C86" s="77"/>
      <c r="D86" s="78">
        <v>6</v>
      </c>
      <c r="E86" s="80">
        <f t="shared" si="9"/>
        <v>19.853333333333335</v>
      </c>
      <c r="F86" s="574"/>
      <c r="G86" s="540"/>
      <c r="H86" s="540"/>
      <c r="I86" s="11"/>
      <c r="J86" s="11"/>
      <c r="K86" s="11"/>
      <c r="L86" s="14"/>
      <c r="M86" s="14"/>
      <c r="N86" s="14"/>
      <c r="O86" s="11"/>
      <c r="P86" s="11"/>
      <c r="Q86" s="57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s="69" customFormat="1" x14ac:dyDescent="0.3">
      <c r="A87" s="90" t="s">
        <v>50</v>
      </c>
      <c r="B87" s="2">
        <f>'GERAL 2023'!H22</f>
        <v>15.019858156028368</v>
      </c>
      <c r="C87" s="2"/>
      <c r="D87" s="88">
        <v>12</v>
      </c>
      <c r="E87" s="2">
        <f t="shared" si="9"/>
        <v>1.2516548463356973</v>
      </c>
      <c r="F87" s="574"/>
      <c r="G87" s="540"/>
      <c r="H87" s="540"/>
      <c r="I87" s="11"/>
      <c r="J87" s="11"/>
      <c r="K87" s="11"/>
      <c r="L87" s="14"/>
      <c r="M87" s="14"/>
      <c r="N87" s="14"/>
      <c r="O87" s="14"/>
      <c r="P87" s="14"/>
      <c r="Q87" s="57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s="69" customFormat="1" x14ac:dyDescent="0.3">
      <c r="A88" s="81" t="s">
        <v>43</v>
      </c>
      <c r="B88" s="80">
        <f>'GERAL 2022'!J23</f>
        <v>117.26</v>
      </c>
      <c r="C88" s="77"/>
      <c r="D88" s="78">
        <v>6</v>
      </c>
      <c r="E88" s="80">
        <f t="shared" si="9"/>
        <v>19.543333333333333</v>
      </c>
      <c r="F88" s="574"/>
      <c r="G88" s="540"/>
      <c r="H88" s="540"/>
      <c r="I88" s="11"/>
      <c r="J88" s="11"/>
      <c r="K88" s="11"/>
      <c r="L88" s="14"/>
      <c r="M88" s="14"/>
      <c r="N88" s="14"/>
      <c r="O88" s="14"/>
      <c r="P88" s="15"/>
      <c r="Q88" s="57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69" customFormat="1" x14ac:dyDescent="0.3">
      <c r="A89" s="90" t="s">
        <v>44</v>
      </c>
      <c r="B89" s="2">
        <f>'GERAL 2023'!H23</f>
        <v>15.019858156028368</v>
      </c>
      <c r="C89" s="2"/>
      <c r="D89" s="88">
        <v>12</v>
      </c>
      <c r="E89" s="2">
        <f t="shared" si="9"/>
        <v>1.2516548463356973</v>
      </c>
      <c r="F89" s="574"/>
      <c r="G89" s="540"/>
      <c r="H89" s="540"/>
      <c r="I89" s="11"/>
      <c r="J89" s="11"/>
      <c r="K89" s="11"/>
      <c r="L89" s="14"/>
      <c r="M89" s="14"/>
      <c r="N89" s="14"/>
      <c r="O89" s="14"/>
      <c r="P89" s="11"/>
      <c r="Q89" s="57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s="69" customFormat="1" x14ac:dyDescent="0.3">
      <c r="A90" s="81" t="s">
        <v>51</v>
      </c>
      <c r="B90" s="80">
        <f>'GERAL 2022'!J24</f>
        <v>117.26</v>
      </c>
      <c r="C90" s="77"/>
      <c r="D90" s="78">
        <v>6</v>
      </c>
      <c r="E90" s="80">
        <f t="shared" si="9"/>
        <v>19.543333333333333</v>
      </c>
      <c r="F90" s="574"/>
      <c r="G90" s="540"/>
      <c r="H90" s="540"/>
      <c r="I90" s="11"/>
      <c r="J90" s="11"/>
      <c r="K90" s="11"/>
      <c r="L90" s="14"/>
      <c r="M90" s="14"/>
      <c r="N90" s="14"/>
      <c r="O90" s="14"/>
      <c r="P90" s="11"/>
      <c r="Q90" s="57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s="69" customFormat="1" x14ac:dyDescent="0.3">
      <c r="A91" s="90" t="s">
        <v>52</v>
      </c>
      <c r="B91" s="2">
        <f>'GERAL 2023'!H24</f>
        <v>15.019858156028368</v>
      </c>
      <c r="C91" s="2"/>
      <c r="D91" s="88">
        <v>12</v>
      </c>
      <c r="E91" s="2">
        <f t="shared" si="9"/>
        <v>1.2516548463356973</v>
      </c>
      <c r="F91" s="574"/>
      <c r="G91" s="540"/>
      <c r="H91" s="540"/>
      <c r="L91" s="142"/>
      <c r="M91" s="142"/>
      <c r="N91" s="142"/>
      <c r="O91" s="11"/>
      <c r="P91" s="11"/>
      <c r="Q91" s="57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</row>
    <row r="92" spans="1:49" s="70" customFormat="1" x14ac:dyDescent="0.3">
      <c r="A92" s="81" t="s">
        <v>53</v>
      </c>
      <c r="B92" s="80">
        <f>'GERAL 2022'!J25</f>
        <v>117.85</v>
      </c>
      <c r="C92" s="77"/>
      <c r="D92" s="78">
        <v>6</v>
      </c>
      <c r="E92" s="80">
        <f t="shared" si="9"/>
        <v>19.641666666666666</v>
      </c>
      <c r="F92" s="574"/>
      <c r="G92" s="540"/>
      <c r="H92" s="540"/>
      <c r="I92" s="63"/>
      <c r="J92" s="63"/>
      <c r="K92" s="63"/>
      <c r="L92" s="69"/>
      <c r="M92" s="69"/>
      <c r="N92" s="69"/>
      <c r="O92" s="11"/>
      <c r="P92" s="14"/>
      <c r="Q92" s="57"/>
    </row>
    <row r="93" spans="1:49" s="70" customFormat="1" ht="15" customHeight="1" x14ac:dyDescent="0.3">
      <c r="A93" s="90" t="s">
        <v>54</v>
      </c>
      <c r="B93" s="2">
        <f>'GERAL 2023'!H25</f>
        <v>15.019858156028368</v>
      </c>
      <c r="C93" s="2"/>
      <c r="D93" s="88">
        <v>12</v>
      </c>
      <c r="E93" s="2">
        <f t="shared" si="9"/>
        <v>1.2516548463356973</v>
      </c>
      <c r="F93" s="574"/>
      <c r="G93" s="540"/>
      <c r="H93" s="540"/>
      <c r="I93" s="11"/>
      <c r="J93" s="11"/>
      <c r="K93" s="63"/>
      <c r="L93" s="142"/>
      <c r="M93" s="142"/>
      <c r="N93" s="142"/>
      <c r="O93" s="11"/>
      <c r="P93" s="14"/>
      <c r="Q93" s="57"/>
      <c r="AW93" s="69"/>
    </row>
    <row r="94" spans="1:49" s="70" customFormat="1" x14ac:dyDescent="0.3">
      <c r="A94" s="81" t="s">
        <v>78</v>
      </c>
      <c r="B94" s="80">
        <f>'GERAL 2022'!J26</f>
        <v>119.02</v>
      </c>
      <c r="C94" s="77"/>
      <c r="D94" s="78">
        <v>6</v>
      </c>
      <c r="E94" s="80">
        <f t="shared" si="9"/>
        <v>19.836666666666666</v>
      </c>
      <c r="F94" s="574"/>
      <c r="G94" s="540"/>
      <c r="H94" s="540"/>
      <c r="I94" s="142"/>
      <c r="J94" s="142"/>
      <c r="K94" s="142"/>
      <c r="L94" s="142"/>
      <c r="M94" s="142"/>
      <c r="N94" s="142"/>
      <c r="O94" s="11"/>
      <c r="P94" s="14"/>
      <c r="Q94" s="57"/>
      <c r="AW94" s="69"/>
    </row>
    <row r="95" spans="1:49" s="70" customFormat="1" x14ac:dyDescent="0.3">
      <c r="A95" s="90" t="s">
        <v>79</v>
      </c>
      <c r="B95" s="2">
        <f>'GERAL 2023'!H26</f>
        <v>21.027801418439715</v>
      </c>
      <c r="C95" s="2"/>
      <c r="D95" s="88">
        <v>12</v>
      </c>
      <c r="E95" s="2">
        <f t="shared" si="9"/>
        <v>1.7523167848699763</v>
      </c>
      <c r="F95" s="574"/>
      <c r="G95" s="540"/>
      <c r="H95" s="540"/>
      <c r="I95" s="11"/>
      <c r="J95" s="11"/>
      <c r="K95" s="63"/>
      <c r="L95" s="142"/>
      <c r="M95" s="142"/>
      <c r="N95" s="142"/>
      <c r="O95" s="11"/>
      <c r="P95" s="14"/>
      <c r="Q95" s="57"/>
      <c r="AW95" s="69"/>
    </row>
    <row r="96" spans="1:49" s="70" customFormat="1" x14ac:dyDescent="0.3">
      <c r="A96" s="81" t="s">
        <v>80</v>
      </c>
      <c r="B96" s="80">
        <f>'GERAL 2022'!J44</f>
        <v>118.53</v>
      </c>
      <c r="C96" s="77"/>
      <c r="D96" s="78">
        <v>6</v>
      </c>
      <c r="E96" s="80">
        <f t="shared" si="9"/>
        <v>19.754999999999999</v>
      </c>
      <c r="F96" s="574"/>
      <c r="G96" s="540"/>
      <c r="H96" s="540"/>
      <c r="I96" s="142"/>
      <c r="J96" s="142"/>
      <c r="K96" s="142"/>
      <c r="L96" s="142"/>
      <c r="M96" s="142"/>
      <c r="N96" s="142"/>
      <c r="O96" s="11"/>
      <c r="P96" s="11"/>
      <c r="Q96" s="57"/>
      <c r="AW96" s="69"/>
    </row>
    <row r="97" spans="1:49" s="70" customFormat="1" x14ac:dyDescent="0.3">
      <c r="A97" s="90" t="s">
        <v>81</v>
      </c>
      <c r="B97" s="2">
        <f>'GERAL 2023'!H27</f>
        <v>15.019858156028368</v>
      </c>
      <c r="C97" s="2"/>
      <c r="D97" s="88">
        <v>12</v>
      </c>
      <c r="E97" s="2">
        <f t="shared" si="9"/>
        <v>1.2516548463356973</v>
      </c>
      <c r="F97" s="574"/>
      <c r="G97" s="540"/>
      <c r="H97" s="540"/>
      <c r="I97" s="11"/>
      <c r="J97" s="11"/>
      <c r="K97" s="63"/>
      <c r="L97" s="142"/>
      <c r="M97" s="142"/>
      <c r="N97" s="142"/>
      <c r="O97" s="11"/>
      <c r="P97" s="11"/>
      <c r="Q97" s="57"/>
      <c r="AW97" s="69"/>
    </row>
    <row r="98" spans="1:49" s="70" customFormat="1" x14ac:dyDescent="0.3">
      <c r="A98" s="81" t="s">
        <v>82</v>
      </c>
      <c r="B98" s="80">
        <f>'GERAL 2022'!J28</f>
        <v>117.95</v>
      </c>
      <c r="C98" s="77"/>
      <c r="D98" s="78">
        <v>6</v>
      </c>
      <c r="E98" s="80">
        <f t="shared" si="9"/>
        <v>19.658333333333335</v>
      </c>
      <c r="F98" s="574"/>
      <c r="G98" s="540"/>
      <c r="H98" s="540"/>
      <c r="I98" s="142"/>
      <c r="J98" s="142"/>
      <c r="K98" s="142"/>
      <c r="L98" s="142"/>
      <c r="M98" s="142"/>
      <c r="N98" s="142"/>
      <c r="O98" s="69"/>
      <c r="P98" s="69"/>
      <c r="Q98" s="69"/>
      <c r="AW98" s="69"/>
    </row>
    <row r="99" spans="1:49" s="70" customFormat="1" x14ac:dyDescent="0.3">
      <c r="A99" s="90" t="s">
        <v>83</v>
      </c>
      <c r="B99" s="2">
        <f>'GERAL 2023'!H28</f>
        <v>15.019858156028368</v>
      </c>
      <c r="C99" s="2"/>
      <c r="D99" s="88">
        <v>12</v>
      </c>
      <c r="E99" s="2">
        <f t="shared" si="9"/>
        <v>1.2516548463356973</v>
      </c>
      <c r="F99" s="574"/>
      <c r="G99" s="540"/>
      <c r="H99" s="540"/>
      <c r="I99" s="11"/>
      <c r="J99" s="11"/>
      <c r="K99" s="63"/>
      <c r="L99" s="142"/>
      <c r="M99" s="142"/>
      <c r="N99" s="142"/>
      <c r="O99" s="69"/>
      <c r="P99" s="69"/>
      <c r="Q99" s="69"/>
      <c r="AW99" s="69"/>
    </row>
    <row r="100" spans="1:49" s="70" customFormat="1" x14ac:dyDescent="0.3">
      <c r="A100" s="81" t="s">
        <v>84</v>
      </c>
      <c r="B100" s="80">
        <f>'GERAL 2022'!J45</f>
        <v>118.18</v>
      </c>
      <c r="C100" s="77"/>
      <c r="D100" s="78">
        <v>6</v>
      </c>
      <c r="E100" s="80">
        <f t="shared" si="9"/>
        <v>19.696666666666669</v>
      </c>
      <c r="F100" s="574"/>
      <c r="G100" s="540"/>
      <c r="H100" s="540"/>
      <c r="I100" s="142"/>
      <c r="J100" s="142"/>
      <c r="K100" s="142"/>
      <c r="L100" s="142"/>
      <c r="M100" s="142"/>
      <c r="N100" s="142"/>
      <c r="O100" s="69"/>
      <c r="P100" s="69"/>
      <c r="Q100" s="69"/>
      <c r="AW100" s="69"/>
    </row>
    <row r="101" spans="1:49" s="70" customFormat="1" x14ac:dyDescent="0.3">
      <c r="A101" s="90" t="s">
        <v>85</v>
      </c>
      <c r="B101" s="2">
        <f>'GERAL 2023'!H29</f>
        <v>15.019858156028368</v>
      </c>
      <c r="C101" s="2"/>
      <c r="D101" s="88">
        <v>12</v>
      </c>
      <c r="E101" s="2">
        <f t="shared" si="9"/>
        <v>1.2516548463356973</v>
      </c>
      <c r="F101" s="574"/>
      <c r="G101" s="540"/>
      <c r="H101" s="540"/>
      <c r="I101" s="11"/>
      <c r="J101" s="11"/>
      <c r="K101" s="63"/>
      <c r="L101" s="142"/>
      <c r="M101" s="142"/>
      <c r="N101" s="142"/>
      <c r="O101" s="69"/>
      <c r="P101" s="69"/>
      <c r="Q101" s="69"/>
      <c r="AW101" s="69"/>
    </row>
    <row r="102" spans="1:49" s="70" customFormat="1" x14ac:dyDescent="0.3">
      <c r="A102" s="69"/>
      <c r="B102" s="189"/>
      <c r="C102" s="189"/>
      <c r="D102" s="189"/>
      <c r="E102" s="189"/>
      <c r="F102" s="574"/>
      <c r="G102" s="540"/>
      <c r="H102" s="540"/>
      <c r="I102" s="142"/>
      <c r="J102" s="142"/>
      <c r="K102" s="142"/>
      <c r="L102" s="142"/>
      <c r="M102" s="142"/>
      <c r="N102" s="142"/>
      <c r="O102" s="69"/>
      <c r="P102" s="69"/>
      <c r="Q102" s="69"/>
      <c r="AW102" s="69"/>
    </row>
    <row r="103" spans="1:49" s="70" customFormat="1" x14ac:dyDescent="0.3">
      <c r="A103" s="69"/>
      <c r="B103" s="69"/>
      <c r="C103" s="69"/>
      <c r="D103" s="69"/>
      <c r="E103" s="69"/>
      <c r="F103" s="69"/>
      <c r="G103" s="69"/>
      <c r="H103" s="69"/>
      <c r="I103" s="142"/>
      <c r="J103" s="142"/>
      <c r="K103" s="142"/>
      <c r="L103" s="142"/>
      <c r="M103" s="142"/>
      <c r="N103" s="142"/>
      <c r="O103" s="69"/>
      <c r="P103" s="69"/>
      <c r="Q103" s="69"/>
      <c r="AW103" s="69"/>
    </row>
    <row r="104" spans="1:49" s="70" customFormat="1" x14ac:dyDescent="0.3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142"/>
      <c r="M104" s="142"/>
      <c r="N104" s="142"/>
      <c r="O104" s="69"/>
      <c r="P104" s="69"/>
      <c r="Q104" s="69"/>
      <c r="AW104" s="69"/>
    </row>
    <row r="105" spans="1:49" s="70" customFormat="1" x14ac:dyDescent="0.3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142"/>
      <c r="M105" s="142"/>
      <c r="N105" s="142"/>
      <c r="O105" s="144"/>
      <c r="P105" s="69"/>
      <c r="Q105" s="69"/>
      <c r="AW105" s="69"/>
    </row>
    <row r="106" spans="1:49" s="70" customFormat="1" x14ac:dyDescent="0.3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142"/>
      <c r="M106" s="142"/>
      <c r="N106" s="142"/>
      <c r="O106" s="144"/>
      <c r="P106" s="69"/>
      <c r="Q106" s="69"/>
      <c r="AW106" s="69"/>
    </row>
    <row r="107" spans="1:49" s="70" customFormat="1" x14ac:dyDescent="0.3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142"/>
      <c r="M107" s="142"/>
      <c r="N107" s="142"/>
      <c r="O107" s="144"/>
      <c r="P107" s="69"/>
      <c r="AW107" s="69"/>
    </row>
    <row r="108" spans="1:49" s="70" customFormat="1" x14ac:dyDescent="0.3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142"/>
      <c r="M108" s="142"/>
      <c r="N108" s="142"/>
      <c r="O108" s="144"/>
      <c r="P108" s="69"/>
      <c r="AW108" s="69"/>
    </row>
    <row r="109" spans="1:49" s="70" customFormat="1" x14ac:dyDescent="0.3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142"/>
      <c r="M109" s="142"/>
      <c r="N109" s="142"/>
      <c r="O109" s="144"/>
      <c r="P109" s="69"/>
      <c r="AW109" s="69"/>
    </row>
    <row r="110" spans="1:49" s="70" customFormat="1" x14ac:dyDescent="0.3">
      <c r="F110" s="69"/>
      <c r="G110" s="69"/>
      <c r="H110" s="69"/>
      <c r="I110" s="69"/>
      <c r="J110" s="69"/>
      <c r="K110" s="69"/>
      <c r="L110" s="142"/>
      <c r="M110" s="142"/>
      <c r="N110" s="142"/>
      <c r="O110" s="144"/>
      <c r="P110" s="144"/>
      <c r="AW110" s="69"/>
    </row>
    <row r="111" spans="1:49" s="70" customFormat="1" x14ac:dyDescent="0.3">
      <c r="I111" s="69"/>
      <c r="J111" s="69"/>
      <c r="K111" s="69"/>
      <c r="L111" s="142"/>
      <c r="M111" s="142"/>
      <c r="N111" s="142"/>
      <c r="O111" s="144"/>
      <c r="P111" s="144"/>
      <c r="AW111" s="69"/>
    </row>
    <row r="112" spans="1:49" s="70" customFormat="1" x14ac:dyDescent="0.3">
      <c r="L112" s="142"/>
      <c r="M112" s="142"/>
      <c r="N112" s="142"/>
      <c r="O112" s="144"/>
      <c r="P112" s="144"/>
      <c r="AW112" s="69"/>
    </row>
    <row r="113" spans="12:49" s="70" customFormat="1" x14ac:dyDescent="0.3">
      <c r="L113" s="142"/>
      <c r="M113" s="142"/>
      <c r="N113" s="142"/>
      <c r="O113" s="144"/>
      <c r="P113" s="144"/>
      <c r="AW113" s="69"/>
    </row>
    <row r="114" spans="12:49" s="70" customFormat="1" x14ac:dyDescent="0.3">
      <c r="L114" s="142"/>
      <c r="M114" s="142"/>
      <c r="N114" s="142"/>
      <c r="O114" s="144"/>
      <c r="P114" s="144"/>
      <c r="AW114" s="69"/>
    </row>
    <row r="115" spans="12:49" s="70" customFormat="1" x14ac:dyDescent="0.3">
      <c r="L115" s="142"/>
      <c r="M115" s="142"/>
      <c r="N115" s="142"/>
      <c r="O115" s="144"/>
      <c r="P115" s="144"/>
      <c r="AW115" s="69"/>
    </row>
    <row r="116" spans="12:49" s="70" customFormat="1" x14ac:dyDescent="0.3">
      <c r="L116" s="142"/>
      <c r="M116" s="142"/>
      <c r="N116" s="142"/>
      <c r="O116" s="144"/>
      <c r="P116" s="144"/>
      <c r="AW116" s="69"/>
    </row>
    <row r="117" spans="12:49" s="70" customFormat="1" x14ac:dyDescent="0.3">
      <c r="L117" s="142"/>
      <c r="M117" s="142"/>
      <c r="N117" s="142"/>
      <c r="O117" s="144"/>
      <c r="P117" s="144"/>
      <c r="AW117" s="69"/>
    </row>
    <row r="118" spans="12:49" s="70" customFormat="1" x14ac:dyDescent="0.3">
      <c r="L118" s="142"/>
      <c r="M118" s="142"/>
      <c r="N118" s="142"/>
      <c r="O118" s="144"/>
      <c r="P118" s="144"/>
      <c r="AW118" s="69"/>
    </row>
    <row r="119" spans="12:49" s="70" customFormat="1" x14ac:dyDescent="0.3">
      <c r="L119" s="142"/>
      <c r="M119" s="142"/>
      <c r="N119" s="142"/>
      <c r="O119" s="144"/>
      <c r="P119" s="144"/>
      <c r="AW119" s="69"/>
    </row>
    <row r="120" spans="12:49" s="70" customFormat="1" x14ac:dyDescent="0.3">
      <c r="L120" s="142"/>
      <c r="M120" s="142"/>
      <c r="N120" s="142"/>
      <c r="O120" s="144"/>
      <c r="P120" s="144"/>
      <c r="AW120" s="69"/>
    </row>
    <row r="121" spans="12:49" s="70" customFormat="1" x14ac:dyDescent="0.3">
      <c r="L121" s="142"/>
      <c r="M121" s="142"/>
      <c r="N121" s="142"/>
      <c r="O121" s="144"/>
      <c r="P121" s="144"/>
      <c r="AW121" s="69"/>
    </row>
    <row r="122" spans="12:49" s="70" customFormat="1" x14ac:dyDescent="0.3">
      <c r="L122" s="142"/>
      <c r="M122" s="142"/>
      <c r="N122" s="142"/>
      <c r="O122" s="144"/>
      <c r="P122" s="144"/>
      <c r="AW122" s="69"/>
    </row>
    <row r="123" spans="12:49" s="70" customFormat="1" x14ac:dyDescent="0.3">
      <c r="L123" s="142"/>
      <c r="M123" s="142"/>
      <c r="N123" s="142"/>
      <c r="O123" s="144"/>
      <c r="P123" s="144"/>
      <c r="AW123" s="69"/>
    </row>
    <row r="124" spans="12:49" s="70" customFormat="1" x14ac:dyDescent="0.3">
      <c r="L124" s="142"/>
      <c r="M124" s="142"/>
      <c r="N124" s="142"/>
      <c r="O124" s="144"/>
      <c r="P124" s="144"/>
      <c r="AW124" s="69"/>
    </row>
    <row r="125" spans="12:49" s="70" customFormat="1" x14ac:dyDescent="0.3">
      <c r="L125" s="142"/>
      <c r="M125" s="142"/>
      <c r="N125" s="142"/>
      <c r="O125" s="144"/>
      <c r="P125" s="144"/>
      <c r="AW125" s="69"/>
    </row>
    <row r="126" spans="12:49" s="70" customFormat="1" x14ac:dyDescent="0.3">
      <c r="L126" s="142"/>
      <c r="M126" s="142"/>
      <c r="N126" s="142"/>
      <c r="O126" s="144"/>
      <c r="P126" s="144"/>
      <c r="AW126" s="69"/>
    </row>
    <row r="127" spans="12:49" s="70" customFormat="1" x14ac:dyDescent="0.3">
      <c r="L127" s="142"/>
      <c r="M127" s="142"/>
      <c r="N127" s="142"/>
      <c r="O127" s="144"/>
      <c r="P127" s="144"/>
      <c r="AW127" s="69"/>
    </row>
    <row r="128" spans="12:49" s="70" customFormat="1" x14ac:dyDescent="0.3">
      <c r="L128" s="142"/>
      <c r="M128" s="142"/>
      <c r="N128" s="142"/>
      <c r="O128" s="144"/>
      <c r="P128" s="144"/>
      <c r="AW128" s="69"/>
    </row>
    <row r="129" spans="12:49" s="70" customFormat="1" x14ac:dyDescent="0.3">
      <c r="L129" s="142"/>
      <c r="M129" s="142"/>
      <c r="N129" s="142"/>
      <c r="O129" s="144"/>
      <c r="P129" s="144"/>
      <c r="AW129" s="69"/>
    </row>
    <row r="130" spans="12:49" s="70" customFormat="1" x14ac:dyDescent="0.3">
      <c r="L130" s="142"/>
      <c r="M130" s="142"/>
      <c r="N130" s="142"/>
      <c r="O130" s="144"/>
      <c r="P130" s="144"/>
      <c r="AW130" s="69"/>
    </row>
    <row r="131" spans="12:49" s="70" customFormat="1" x14ac:dyDescent="0.3">
      <c r="L131" s="142"/>
      <c r="M131" s="142"/>
      <c r="N131" s="142"/>
      <c r="O131" s="144"/>
      <c r="P131" s="144"/>
      <c r="AW131" s="69"/>
    </row>
    <row r="132" spans="12:49" s="70" customFormat="1" x14ac:dyDescent="0.3">
      <c r="L132" s="142"/>
      <c r="M132" s="142"/>
      <c r="N132" s="142"/>
      <c r="O132" s="144"/>
      <c r="P132" s="144"/>
      <c r="AW132" s="69"/>
    </row>
    <row r="133" spans="12:49" s="70" customFormat="1" x14ac:dyDescent="0.3">
      <c r="L133" s="142"/>
      <c r="M133" s="142"/>
      <c r="N133" s="142"/>
      <c r="O133" s="144"/>
      <c r="P133" s="144"/>
      <c r="AW133" s="69"/>
    </row>
    <row r="134" spans="12:49" s="70" customFormat="1" x14ac:dyDescent="0.3">
      <c r="L134" s="142"/>
      <c r="M134" s="142"/>
      <c r="N134" s="142"/>
      <c r="O134" s="144"/>
      <c r="P134" s="144"/>
      <c r="AW134" s="69"/>
    </row>
    <row r="135" spans="12:49" s="70" customFormat="1" x14ac:dyDescent="0.3">
      <c r="L135" s="142"/>
      <c r="M135" s="142"/>
      <c r="N135" s="142"/>
      <c r="O135" s="144"/>
      <c r="P135" s="144"/>
      <c r="AW135" s="69"/>
    </row>
    <row r="136" spans="12:49" s="70" customFormat="1" x14ac:dyDescent="0.3">
      <c r="L136" s="142"/>
      <c r="M136" s="142"/>
      <c r="N136" s="142"/>
      <c r="O136" s="144"/>
      <c r="P136" s="144"/>
      <c r="AW136" s="69"/>
    </row>
    <row r="137" spans="12:49" s="70" customFormat="1" x14ac:dyDescent="0.3">
      <c r="L137" s="142"/>
      <c r="M137" s="142"/>
      <c r="N137" s="142"/>
      <c r="O137" s="144"/>
      <c r="P137" s="144"/>
      <c r="AW137" s="69"/>
    </row>
    <row r="138" spans="12:49" s="70" customFormat="1" x14ac:dyDescent="0.3">
      <c r="L138" s="142"/>
      <c r="M138" s="142"/>
      <c r="N138" s="142"/>
      <c r="O138" s="144"/>
      <c r="P138" s="144"/>
      <c r="AW138" s="69"/>
    </row>
    <row r="139" spans="12:49" s="70" customFormat="1" x14ac:dyDescent="0.3">
      <c r="L139" s="142"/>
      <c r="M139" s="142"/>
      <c r="N139" s="142"/>
      <c r="O139" s="144"/>
      <c r="P139" s="144"/>
      <c r="AW139" s="69"/>
    </row>
    <row r="140" spans="12:49" s="70" customFormat="1" x14ac:dyDescent="0.3">
      <c r="L140" s="142"/>
      <c r="M140" s="142"/>
      <c r="N140" s="142"/>
      <c r="O140" s="144"/>
      <c r="P140" s="144"/>
      <c r="AW140" s="69"/>
    </row>
    <row r="141" spans="12:49" s="70" customFormat="1" x14ac:dyDescent="0.3">
      <c r="L141" s="142"/>
      <c r="M141" s="142"/>
      <c r="N141" s="142"/>
      <c r="O141" s="144"/>
      <c r="P141" s="144"/>
      <c r="AW141" s="69"/>
    </row>
    <row r="142" spans="12:49" s="70" customFormat="1" x14ac:dyDescent="0.3">
      <c r="L142" s="142"/>
      <c r="M142" s="142"/>
      <c r="N142" s="142"/>
      <c r="O142" s="144"/>
      <c r="P142" s="144"/>
      <c r="AW142" s="69"/>
    </row>
    <row r="143" spans="12:49" s="70" customFormat="1" x14ac:dyDescent="0.3">
      <c r="L143" s="142"/>
      <c r="M143" s="142"/>
      <c r="N143" s="142"/>
      <c r="O143" s="144"/>
      <c r="P143" s="144"/>
      <c r="AW143" s="69"/>
    </row>
    <row r="144" spans="12:49" s="70" customFormat="1" x14ac:dyDescent="0.3">
      <c r="L144" s="142"/>
      <c r="M144" s="142"/>
      <c r="N144" s="142"/>
      <c r="O144" s="144"/>
      <c r="P144" s="144"/>
      <c r="AW144" s="69"/>
    </row>
    <row r="145" spans="12:49" s="70" customFormat="1" x14ac:dyDescent="0.3">
      <c r="L145" s="142"/>
      <c r="M145" s="142"/>
      <c r="N145" s="142"/>
      <c r="O145" s="144"/>
      <c r="P145" s="144"/>
      <c r="AW145" s="69"/>
    </row>
    <row r="146" spans="12:49" s="70" customFormat="1" x14ac:dyDescent="0.3">
      <c r="L146" s="142"/>
      <c r="M146" s="142"/>
      <c r="N146" s="142"/>
      <c r="O146" s="144"/>
      <c r="P146" s="144"/>
      <c r="AW146" s="69"/>
    </row>
    <row r="147" spans="12:49" s="70" customFormat="1" x14ac:dyDescent="0.3">
      <c r="L147" s="142"/>
      <c r="M147" s="142"/>
      <c r="N147" s="142"/>
      <c r="O147" s="144"/>
      <c r="P147" s="144"/>
      <c r="AW147" s="69"/>
    </row>
    <row r="148" spans="12:49" s="70" customFormat="1" x14ac:dyDescent="0.3">
      <c r="L148" s="142"/>
      <c r="M148" s="142"/>
      <c r="N148" s="142"/>
      <c r="O148" s="144"/>
      <c r="P148" s="144"/>
      <c r="AW148" s="69"/>
    </row>
    <row r="149" spans="12:49" s="70" customFormat="1" x14ac:dyDescent="0.3">
      <c r="L149" s="142"/>
      <c r="M149" s="142"/>
      <c r="N149" s="142"/>
      <c r="O149" s="144"/>
      <c r="P149" s="144"/>
      <c r="AW149" s="69"/>
    </row>
    <row r="150" spans="12:49" s="70" customFormat="1" x14ac:dyDescent="0.3">
      <c r="L150" s="142"/>
      <c r="M150" s="142"/>
      <c r="N150" s="142"/>
      <c r="O150" s="144"/>
      <c r="P150" s="144"/>
      <c r="AW150" s="69"/>
    </row>
    <row r="151" spans="12:49" s="70" customFormat="1" x14ac:dyDescent="0.3">
      <c r="L151" s="142"/>
      <c r="M151" s="142"/>
      <c r="N151" s="142"/>
      <c r="O151" s="144"/>
      <c r="P151" s="144"/>
      <c r="AW151" s="69"/>
    </row>
    <row r="152" spans="12:49" s="70" customFormat="1" x14ac:dyDescent="0.3">
      <c r="L152" s="142"/>
      <c r="M152" s="142"/>
      <c r="N152" s="142"/>
      <c r="O152" s="144"/>
      <c r="P152" s="144"/>
      <c r="AW152" s="69"/>
    </row>
    <row r="153" spans="12:49" s="70" customFormat="1" x14ac:dyDescent="0.3">
      <c r="L153" s="142"/>
      <c r="M153" s="142"/>
      <c r="N153" s="142"/>
      <c r="O153" s="144"/>
      <c r="P153" s="144"/>
      <c r="AW153" s="69"/>
    </row>
    <row r="154" spans="12:49" s="70" customFormat="1" x14ac:dyDescent="0.3">
      <c r="L154" s="142"/>
      <c r="M154" s="142"/>
      <c r="N154" s="142"/>
      <c r="O154" s="144"/>
      <c r="P154" s="144"/>
      <c r="AW154" s="69"/>
    </row>
    <row r="155" spans="12:49" s="70" customFormat="1" x14ac:dyDescent="0.3">
      <c r="L155" s="142"/>
      <c r="M155" s="142"/>
      <c r="N155" s="142"/>
      <c r="O155" s="144"/>
      <c r="P155" s="144"/>
      <c r="AW155" s="69"/>
    </row>
    <row r="156" spans="12:49" s="70" customFormat="1" x14ac:dyDescent="0.3">
      <c r="L156" s="142"/>
      <c r="M156" s="142"/>
      <c r="N156" s="142"/>
      <c r="O156" s="144"/>
      <c r="P156" s="144"/>
      <c r="AW156" s="69"/>
    </row>
    <row r="157" spans="12:49" s="70" customFormat="1" x14ac:dyDescent="0.3">
      <c r="L157" s="142"/>
      <c r="M157" s="142"/>
      <c r="N157" s="142"/>
      <c r="O157" s="144"/>
      <c r="P157" s="144"/>
      <c r="AW157" s="69"/>
    </row>
    <row r="158" spans="12:49" s="70" customFormat="1" x14ac:dyDescent="0.3">
      <c r="L158" s="142"/>
      <c r="M158" s="142"/>
      <c r="N158" s="142"/>
      <c r="O158" s="144"/>
      <c r="P158" s="144"/>
      <c r="AW158" s="69"/>
    </row>
    <row r="159" spans="12:49" s="70" customFormat="1" x14ac:dyDescent="0.3">
      <c r="L159" s="142"/>
      <c r="M159" s="142"/>
      <c r="N159" s="142"/>
      <c r="O159" s="144"/>
      <c r="P159" s="144"/>
      <c r="AW159" s="69"/>
    </row>
    <row r="160" spans="12:49" s="70" customFormat="1" x14ac:dyDescent="0.3">
      <c r="L160" s="142"/>
      <c r="M160" s="142"/>
      <c r="N160" s="142"/>
      <c r="O160" s="144"/>
      <c r="P160" s="144"/>
      <c r="AW160" s="69"/>
    </row>
    <row r="161" spans="1:50" s="70" customFormat="1" x14ac:dyDescent="0.3">
      <c r="L161" s="142"/>
      <c r="M161" s="142"/>
      <c r="N161" s="142"/>
      <c r="O161" s="144"/>
      <c r="P161" s="144"/>
      <c r="AW161" s="69"/>
    </row>
    <row r="162" spans="1:50" s="70" customFormat="1" x14ac:dyDescent="0.3">
      <c r="L162" s="142"/>
      <c r="M162" s="142"/>
      <c r="N162" s="142"/>
      <c r="O162" s="144"/>
      <c r="P162" s="144"/>
      <c r="AW162" s="69"/>
    </row>
    <row r="163" spans="1:50" s="70" customFormat="1" x14ac:dyDescent="0.3">
      <c r="L163" s="142"/>
      <c r="M163" s="142"/>
      <c r="N163" s="142"/>
      <c r="O163" s="144"/>
      <c r="P163" s="144"/>
      <c r="AW163" s="69"/>
    </row>
    <row r="164" spans="1:50" s="70" customFormat="1" x14ac:dyDescent="0.3">
      <c r="L164" s="142"/>
      <c r="M164" s="142"/>
      <c r="N164" s="142"/>
      <c r="O164" s="144"/>
      <c r="P164" s="144"/>
      <c r="AW164" s="69"/>
    </row>
    <row r="165" spans="1:50" s="70" customFormat="1" x14ac:dyDescent="0.3">
      <c r="L165" s="142"/>
      <c r="M165" s="142"/>
      <c r="N165" s="142"/>
      <c r="O165" s="144"/>
      <c r="P165" s="144"/>
      <c r="AW165" s="69"/>
    </row>
    <row r="166" spans="1:50" s="70" customFormat="1" x14ac:dyDescent="0.3">
      <c r="L166" s="142"/>
      <c r="M166" s="142"/>
      <c r="N166" s="142"/>
      <c r="O166" s="144"/>
      <c r="P166" s="144"/>
      <c r="AW166" s="69"/>
    </row>
    <row r="167" spans="1:50" s="145" customFormat="1" x14ac:dyDescent="0.3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142"/>
      <c r="M167" s="142"/>
      <c r="N167" s="142"/>
      <c r="O167" s="144"/>
      <c r="P167" s="144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69"/>
      <c r="AX167" s="70"/>
    </row>
    <row r="168" spans="1:50" s="145" customFormat="1" x14ac:dyDescent="0.3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142"/>
      <c r="M168" s="142"/>
      <c r="N168" s="142"/>
      <c r="O168" s="144"/>
      <c r="P168" s="144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69"/>
      <c r="AX168" s="70"/>
    </row>
    <row r="169" spans="1:50" s="145" customFormat="1" x14ac:dyDescent="0.3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142"/>
      <c r="M169" s="142"/>
      <c r="N169" s="142"/>
      <c r="O169" s="144"/>
      <c r="P169" s="144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69"/>
      <c r="AX169" s="70"/>
    </row>
    <row r="170" spans="1:50" s="145" customFormat="1" x14ac:dyDescent="0.3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142"/>
      <c r="M170" s="142"/>
      <c r="N170" s="142"/>
      <c r="O170" s="144"/>
      <c r="P170" s="144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69"/>
      <c r="AX170" s="70"/>
    </row>
    <row r="171" spans="1:50" s="145" customFormat="1" x14ac:dyDescent="0.3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142"/>
      <c r="M171" s="142"/>
      <c r="N171" s="142"/>
      <c r="O171" s="144"/>
      <c r="P171" s="144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69"/>
      <c r="AX171" s="70"/>
    </row>
    <row r="172" spans="1:50" s="145" customFormat="1" x14ac:dyDescent="0.3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142"/>
      <c r="M172" s="142"/>
      <c r="N172" s="142"/>
      <c r="O172" s="144"/>
      <c r="P172" s="144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69"/>
      <c r="AX172" s="70"/>
    </row>
    <row r="173" spans="1:50" s="145" customFormat="1" x14ac:dyDescent="0.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142"/>
      <c r="M173" s="142"/>
      <c r="N173" s="142"/>
      <c r="O173" s="144"/>
      <c r="P173" s="144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69"/>
      <c r="AX173" s="70"/>
    </row>
    <row r="174" spans="1:50" s="145" customFormat="1" x14ac:dyDescent="0.3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142"/>
      <c r="M174" s="142"/>
      <c r="N174" s="142"/>
      <c r="O174" s="144"/>
      <c r="P174" s="144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69"/>
      <c r="AX174" s="70"/>
    </row>
    <row r="175" spans="1:50" s="145" customFormat="1" x14ac:dyDescent="0.3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142"/>
      <c r="M175" s="142"/>
      <c r="N175" s="142"/>
      <c r="O175" s="144"/>
      <c r="P175" s="144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69"/>
      <c r="AX175" s="70"/>
    </row>
    <row r="176" spans="1:50" s="145" customFormat="1" x14ac:dyDescent="0.3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142"/>
      <c r="M176" s="142"/>
      <c r="N176" s="142"/>
      <c r="O176" s="144"/>
      <c r="P176" s="144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69"/>
      <c r="AX176" s="70"/>
    </row>
    <row r="177" spans="1:50" s="145" customFormat="1" x14ac:dyDescent="0.3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142"/>
      <c r="M177" s="142"/>
      <c r="N177" s="142"/>
      <c r="O177" s="144"/>
      <c r="P177" s="144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69"/>
      <c r="AX177" s="70"/>
    </row>
    <row r="178" spans="1:50" s="145" customFormat="1" x14ac:dyDescent="0.3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142"/>
      <c r="M178" s="142"/>
      <c r="N178" s="142"/>
      <c r="O178" s="144"/>
      <c r="P178" s="144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69"/>
      <c r="AX178" s="70"/>
    </row>
    <row r="179" spans="1:50" s="145" customFormat="1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146"/>
      <c r="M179" s="146"/>
      <c r="N179" s="146"/>
      <c r="O179" s="144"/>
      <c r="P179" s="144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69"/>
      <c r="AX179" s="70"/>
    </row>
    <row r="180" spans="1:50" s="145" customFormat="1" x14ac:dyDescent="0.3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146"/>
      <c r="M180" s="146"/>
      <c r="N180" s="146"/>
      <c r="O180" s="144"/>
      <c r="P180" s="144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69"/>
      <c r="AX180" s="70"/>
    </row>
    <row r="181" spans="1:50" s="145" customFormat="1" x14ac:dyDescent="0.3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146"/>
      <c r="M181" s="146"/>
      <c r="N181" s="146"/>
      <c r="O181" s="144"/>
      <c r="P181" s="144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69"/>
      <c r="AX181" s="70"/>
    </row>
    <row r="182" spans="1:50" s="145" customFormat="1" x14ac:dyDescent="0.3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146"/>
      <c r="M182" s="146"/>
      <c r="N182" s="146"/>
      <c r="O182" s="147"/>
      <c r="P182" s="144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69"/>
      <c r="AX182" s="70"/>
    </row>
    <row r="183" spans="1:50" s="145" customFormat="1" x14ac:dyDescent="0.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146"/>
      <c r="M183" s="146"/>
      <c r="N183" s="146"/>
      <c r="O183" s="147"/>
      <c r="P183" s="144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69"/>
      <c r="AX183" s="70"/>
    </row>
    <row r="184" spans="1:50" x14ac:dyDescent="0.3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146"/>
      <c r="M184" s="146"/>
      <c r="N184" s="146"/>
      <c r="O184" s="147"/>
      <c r="P184" s="144"/>
      <c r="Q184" s="70"/>
      <c r="AW184" s="148"/>
      <c r="AX184" s="148"/>
    </row>
    <row r="185" spans="1:50" x14ac:dyDescent="0.3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146"/>
      <c r="M185" s="146"/>
      <c r="N185" s="146"/>
      <c r="O185" s="147"/>
      <c r="P185" s="144"/>
      <c r="Q185" s="149"/>
      <c r="AW185" s="148"/>
      <c r="AX185" s="148"/>
    </row>
    <row r="186" spans="1:50" x14ac:dyDescent="0.3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146"/>
      <c r="M186" s="146"/>
      <c r="N186" s="146"/>
      <c r="O186" s="147"/>
      <c r="P186" s="144"/>
      <c r="Q186" s="149"/>
      <c r="AW186" s="148"/>
      <c r="AX186" s="148"/>
    </row>
    <row r="187" spans="1:50" x14ac:dyDescent="0.3">
      <c r="A187" s="149"/>
      <c r="B187" s="149"/>
      <c r="C187" s="149"/>
      <c r="D187" s="149"/>
      <c r="E187" s="149"/>
      <c r="F187" s="70"/>
      <c r="G187" s="70"/>
      <c r="H187" s="70"/>
      <c r="I187" s="70"/>
      <c r="J187" s="70"/>
      <c r="K187" s="70"/>
      <c r="L187" s="146"/>
      <c r="M187" s="146"/>
      <c r="N187" s="146"/>
      <c r="O187" s="147"/>
      <c r="P187" s="147"/>
      <c r="Q187" s="149"/>
      <c r="AW187" s="148"/>
      <c r="AX187" s="148"/>
    </row>
    <row r="188" spans="1:50" x14ac:dyDescent="0.3">
      <c r="A188" s="149"/>
      <c r="B188" s="149"/>
      <c r="C188" s="149"/>
      <c r="D188" s="149"/>
      <c r="E188" s="149"/>
      <c r="F188" s="149"/>
      <c r="G188" s="149"/>
      <c r="H188" s="149"/>
      <c r="I188" s="70"/>
      <c r="J188" s="70"/>
      <c r="K188" s="70"/>
      <c r="L188" s="146"/>
      <c r="M188" s="146"/>
      <c r="N188" s="146"/>
      <c r="O188" s="147"/>
      <c r="P188" s="147"/>
      <c r="Q188" s="149"/>
      <c r="AW188" s="148"/>
      <c r="AX188" s="148"/>
    </row>
    <row r="189" spans="1:50" x14ac:dyDescent="0.3">
      <c r="A189" s="149"/>
      <c r="B189" s="149"/>
      <c r="C189" s="149"/>
      <c r="D189" s="149"/>
      <c r="E189" s="149"/>
      <c r="F189" s="149"/>
      <c r="G189" s="149"/>
      <c r="H189" s="149"/>
      <c r="I189" s="149"/>
      <c r="J189" s="149"/>
      <c r="K189" s="149"/>
      <c r="L189" s="146"/>
      <c r="M189" s="146"/>
      <c r="N189" s="146"/>
      <c r="O189" s="147"/>
      <c r="P189" s="147"/>
      <c r="Q189" s="149"/>
      <c r="AW189" s="148"/>
      <c r="AX189" s="148"/>
    </row>
    <row r="190" spans="1:50" x14ac:dyDescent="0.3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6"/>
      <c r="M190" s="146"/>
      <c r="N190" s="146"/>
      <c r="O190" s="147"/>
      <c r="P190" s="147"/>
      <c r="Q190" s="149"/>
      <c r="AW190" s="148"/>
      <c r="AX190" s="148"/>
    </row>
    <row r="191" spans="1:50" x14ac:dyDescent="0.3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6"/>
      <c r="M191" s="146"/>
      <c r="N191" s="146"/>
      <c r="O191" s="147"/>
      <c r="P191" s="147"/>
      <c r="Q191" s="149"/>
      <c r="AW191" s="148"/>
      <c r="AX191" s="148"/>
    </row>
    <row r="192" spans="1:50" x14ac:dyDescent="0.3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6"/>
      <c r="M192" s="146"/>
      <c r="N192" s="146"/>
      <c r="O192" s="147"/>
      <c r="P192" s="147"/>
      <c r="Q192" s="149"/>
      <c r="AW192" s="148"/>
      <c r="AX192" s="148"/>
    </row>
    <row r="193" spans="1:50" x14ac:dyDescent="0.3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6"/>
      <c r="M193" s="146"/>
      <c r="N193" s="146"/>
      <c r="O193" s="147"/>
      <c r="P193" s="147"/>
      <c r="Q193" s="149"/>
      <c r="AW193" s="148"/>
      <c r="AX193" s="148"/>
    </row>
    <row r="194" spans="1:50" x14ac:dyDescent="0.3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6"/>
      <c r="M194" s="146"/>
      <c r="N194" s="146"/>
      <c r="O194" s="147"/>
      <c r="P194" s="147"/>
      <c r="Q194" s="149"/>
      <c r="AW194" s="148"/>
      <c r="AX194" s="148"/>
    </row>
    <row r="195" spans="1:50" x14ac:dyDescent="0.3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6"/>
      <c r="M195" s="146"/>
      <c r="N195" s="146"/>
      <c r="O195" s="147"/>
      <c r="P195" s="147"/>
      <c r="Q195" s="149"/>
      <c r="AW195" s="148"/>
      <c r="AX195" s="148"/>
    </row>
    <row r="196" spans="1:50" x14ac:dyDescent="0.3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O196" s="147"/>
      <c r="P196" s="147"/>
      <c r="Q196" s="149"/>
    </row>
    <row r="197" spans="1:50" x14ac:dyDescent="0.3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O197" s="147"/>
      <c r="P197" s="147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69"/>
      <c r="AJ197" s="69"/>
      <c r="AK197" s="69"/>
      <c r="AL197" s="69"/>
      <c r="AM197" s="69"/>
      <c r="AN197" s="69"/>
      <c r="AO197" s="69"/>
      <c r="AP197" s="69"/>
      <c r="AQ197" s="69"/>
      <c r="AR197" s="69"/>
      <c r="AS197" s="69"/>
      <c r="AT197" s="69"/>
      <c r="AU197" s="69"/>
      <c r="AV197" s="69"/>
      <c r="AW197" s="148"/>
      <c r="AX197" s="148"/>
    </row>
    <row r="198" spans="1:50" x14ac:dyDescent="0.3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O198" s="147"/>
      <c r="P198" s="147"/>
    </row>
    <row r="199" spans="1:50" x14ac:dyDescent="0.3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P199" s="147"/>
    </row>
    <row r="200" spans="1:50" x14ac:dyDescent="0.3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  <c r="P200" s="147"/>
    </row>
    <row r="201" spans="1:50" x14ac:dyDescent="0.3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  <c r="P201" s="147"/>
    </row>
    <row r="202" spans="1:50" x14ac:dyDescent="0.3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  <c r="P202" s="147"/>
    </row>
    <row r="203" spans="1:50" x14ac:dyDescent="0.3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  <c r="O203" s="148"/>
      <c r="P203" s="147"/>
    </row>
    <row r="204" spans="1:50" x14ac:dyDescent="0.3">
      <c r="F204" s="149"/>
      <c r="G204" s="149"/>
      <c r="H204" s="149"/>
      <c r="I204" s="149"/>
      <c r="J204" s="149"/>
      <c r="K204" s="149"/>
    </row>
    <row r="205" spans="1:50" x14ac:dyDescent="0.3">
      <c r="I205" s="149"/>
      <c r="J205" s="149"/>
      <c r="K205" s="149"/>
    </row>
    <row r="209" spans="12:14" x14ac:dyDescent="0.3">
      <c r="L209" s="148"/>
      <c r="M209" s="148"/>
      <c r="N209" s="148"/>
    </row>
    <row r="1048541" spans="1:61" s="70" customFormat="1" x14ac:dyDescent="0.3">
      <c r="A1048541" s="148"/>
      <c r="B1048541" s="148"/>
      <c r="C1048541" s="148"/>
      <c r="D1048541" s="148"/>
      <c r="E1048541" s="148"/>
      <c r="F1048541" s="148"/>
      <c r="G1048541" s="148"/>
      <c r="H1048541" s="148"/>
      <c r="I1048541" s="148"/>
      <c r="J1048541" s="148"/>
      <c r="K1048541" s="148"/>
      <c r="L1048541" s="150"/>
      <c r="M1048541" s="150"/>
      <c r="N1048541" s="150"/>
      <c r="O1048541" s="150"/>
      <c r="P1048541" s="150"/>
      <c r="Q1048541" s="57"/>
      <c r="AW1048541" s="69"/>
      <c r="AX1048541" s="69"/>
      <c r="AY1048541" s="148"/>
      <c r="AZ1048541" s="148"/>
      <c r="BA1048541" s="148"/>
      <c r="BB1048541" s="148"/>
      <c r="BC1048541" s="148"/>
      <c r="BD1048541" s="148"/>
      <c r="BE1048541" s="148"/>
      <c r="BF1048541" s="148"/>
      <c r="BG1048541" s="148"/>
      <c r="BH1048541" s="148"/>
      <c r="BI1048541" s="148"/>
    </row>
  </sheetData>
  <mergeCells count="50">
    <mergeCell ref="A41:Q41"/>
    <mergeCell ref="A1:Q1"/>
    <mergeCell ref="A2:Q2"/>
    <mergeCell ref="A5:B5"/>
    <mergeCell ref="A6:Q6"/>
    <mergeCell ref="A35:B35"/>
    <mergeCell ref="A36:Q36"/>
    <mergeCell ref="E37:K37"/>
    <mergeCell ref="E38:K38"/>
    <mergeCell ref="A39:K39"/>
    <mergeCell ref="O39:Q39"/>
    <mergeCell ref="A40:O40"/>
    <mergeCell ref="E42:K42"/>
    <mergeCell ref="E43:K43"/>
    <mergeCell ref="E44:K44"/>
    <mergeCell ref="A45:K45"/>
    <mergeCell ref="A47:E47"/>
    <mergeCell ref="F47:H102"/>
    <mergeCell ref="O59:P59"/>
    <mergeCell ref="O47:Q47"/>
    <mergeCell ref="O48:P48"/>
    <mergeCell ref="O49:P49"/>
    <mergeCell ref="O50:Q51"/>
    <mergeCell ref="O52:Q52"/>
    <mergeCell ref="O53:P53"/>
    <mergeCell ref="O54:P54"/>
    <mergeCell ref="O55:P55"/>
    <mergeCell ref="O56:P56"/>
    <mergeCell ref="O57:P57"/>
    <mergeCell ref="O58:P58"/>
    <mergeCell ref="O70:P70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7:P77"/>
    <mergeCell ref="O78:Q78"/>
    <mergeCell ref="O79:P79"/>
    <mergeCell ref="O71:P71"/>
    <mergeCell ref="O72:P72"/>
    <mergeCell ref="O73:P73"/>
    <mergeCell ref="O74:P74"/>
    <mergeCell ref="O75:P75"/>
    <mergeCell ref="O76:P76"/>
  </mergeCells>
  <pageMargins left="0" right="0" top="0" bottom="0" header="0.31496062992125984" footer="0.31496062992125984"/>
  <pageSetup paperSize="9" scale="1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EE7F-93F2-48E5-BF95-30614257BBD1}">
  <sheetPr>
    <pageSetUpPr fitToPage="1"/>
  </sheetPr>
  <dimension ref="A1:BI1048545"/>
  <sheetViews>
    <sheetView topLeftCell="K52" zoomScale="70" zoomScaleNormal="70" workbookViewId="0">
      <selection activeCell="E25" sqref="E25"/>
    </sheetView>
  </sheetViews>
  <sheetFormatPr defaultColWidth="9.109375" defaultRowHeight="13.8" x14ac:dyDescent="0.3"/>
  <cols>
    <col min="1" max="1" width="52.109375" style="148" customWidth="1"/>
    <col min="2" max="2" width="11.109375" style="148" bestFit="1" customWidth="1"/>
    <col min="3" max="3" width="13.88671875" style="148" bestFit="1" customWidth="1"/>
    <col min="4" max="4" width="17.6640625" style="148" bestFit="1" customWidth="1"/>
    <col min="5" max="5" width="15.44140625" style="148" bestFit="1" customWidth="1"/>
    <col min="6" max="6" width="17.6640625" style="148" bestFit="1" customWidth="1"/>
    <col min="7" max="7" width="16" style="148" customWidth="1"/>
    <col min="8" max="8" width="16.6640625" style="148" bestFit="1" customWidth="1"/>
    <col min="9" max="10" width="13.109375" style="148" bestFit="1" customWidth="1"/>
    <col min="11" max="11" width="15.5546875" style="148" bestFit="1" customWidth="1"/>
    <col min="12" max="12" width="18.109375" style="150" bestFit="1" customWidth="1"/>
    <col min="13" max="13" width="16.6640625" style="150" bestFit="1" customWidth="1"/>
    <col min="14" max="14" width="17.33203125" style="150" bestFit="1" customWidth="1"/>
    <col min="15" max="15" width="92.33203125" style="150" bestFit="1" customWidth="1"/>
    <col min="16" max="16" width="8.88671875" style="150" customWidth="1"/>
    <col min="17" max="17" width="18.109375" style="148" bestFit="1" customWidth="1"/>
    <col min="18" max="19" width="13.109375" style="70" bestFit="1" customWidth="1"/>
    <col min="20" max="48" width="9.109375" style="70"/>
    <col min="49" max="50" width="9.109375" style="69"/>
    <col min="51" max="16384" width="9.109375" style="148"/>
  </cols>
  <sheetData>
    <row r="1" spans="1:43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</row>
    <row r="2" spans="1:43" s="10" customFormat="1" ht="28.5" customHeight="1" x14ac:dyDescent="0.3">
      <c r="A2" s="571" t="s">
        <v>834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3"/>
    </row>
    <row r="3" spans="1:43" s="10" customFormat="1" ht="30.75" customHeight="1" x14ac:dyDescent="0.3">
      <c r="A3" s="83" t="s">
        <v>3</v>
      </c>
      <c r="B3" s="83" t="s">
        <v>0</v>
      </c>
      <c r="C3" s="83" t="s">
        <v>821</v>
      </c>
      <c r="D3" s="84" t="s">
        <v>1</v>
      </c>
      <c r="E3" s="84" t="s">
        <v>68</v>
      </c>
      <c r="F3" s="84" t="s">
        <v>69</v>
      </c>
      <c r="G3" s="85" t="s">
        <v>2</v>
      </c>
      <c r="H3" s="85" t="s">
        <v>592</v>
      </c>
      <c r="I3" s="84" t="s">
        <v>6</v>
      </c>
      <c r="J3" s="84" t="s">
        <v>764</v>
      </c>
      <c r="K3" s="84" t="s">
        <v>7</v>
      </c>
      <c r="L3" s="84" t="s">
        <v>4</v>
      </c>
      <c r="M3" s="84" t="s">
        <v>5</v>
      </c>
      <c r="N3" s="84" t="s">
        <v>70</v>
      </c>
      <c r="O3" s="83" t="s">
        <v>59</v>
      </c>
      <c r="P3" s="86" t="s">
        <v>8</v>
      </c>
      <c r="Q3" s="86" t="s">
        <v>10</v>
      </c>
    </row>
    <row r="4" spans="1:43" s="204" customFormat="1" x14ac:dyDescent="0.3">
      <c r="A4" s="193"/>
      <c r="B4" s="193"/>
      <c r="C4" s="193"/>
      <c r="D4" s="192"/>
      <c r="E4" s="192"/>
      <c r="F4" s="196"/>
      <c r="G4" s="192"/>
      <c r="H4" s="192"/>
      <c r="I4" s="192"/>
      <c r="J4" s="192"/>
      <c r="K4" s="192"/>
      <c r="L4" s="191"/>
      <c r="M4" s="192"/>
      <c r="N4" s="192"/>
      <c r="O4" s="193"/>
      <c r="P4" s="197"/>
      <c r="Q4" s="194"/>
      <c r="R4" s="200"/>
      <c r="S4" s="200"/>
      <c r="T4" s="200"/>
      <c r="U4" s="200"/>
      <c r="V4" s="200"/>
      <c r="W4" s="200"/>
      <c r="X4" s="200"/>
      <c r="Y4" s="200"/>
      <c r="Z4" s="200"/>
    </row>
    <row r="5" spans="1:43" s="10" customFormat="1" x14ac:dyDescent="0.3">
      <c r="A5" s="518" t="s">
        <v>4</v>
      </c>
      <c r="B5" s="518"/>
      <c r="C5" s="95"/>
      <c r="D5" s="109">
        <f t="shared" ref="D5:N5" si="0">SUM(D4:D4)</f>
        <v>0</v>
      </c>
      <c r="E5" s="109">
        <f t="shared" si="0"/>
        <v>0</v>
      </c>
      <c r="F5" s="109">
        <f t="shared" si="0"/>
        <v>0</v>
      </c>
      <c r="G5" s="109">
        <f t="shared" si="0"/>
        <v>0</v>
      </c>
      <c r="H5" s="109">
        <f t="shared" si="0"/>
        <v>0</v>
      </c>
      <c r="I5" s="109">
        <f t="shared" si="0"/>
        <v>0</v>
      </c>
      <c r="J5" s="109">
        <f t="shared" si="0"/>
        <v>0</v>
      </c>
      <c r="K5" s="109">
        <f t="shared" si="0"/>
        <v>0</v>
      </c>
      <c r="L5" s="109">
        <f t="shared" si="0"/>
        <v>0</v>
      </c>
      <c r="M5" s="109">
        <f t="shared" si="0"/>
        <v>0</v>
      </c>
      <c r="N5" s="109">
        <f t="shared" si="0"/>
        <v>0</v>
      </c>
      <c r="O5" s="90"/>
      <c r="P5" s="3"/>
      <c r="Q5" s="3"/>
    </row>
    <row r="6" spans="1:43" s="10" customFormat="1" ht="28.5" customHeight="1" x14ac:dyDescent="0.3">
      <c r="A6" s="571" t="s">
        <v>835</v>
      </c>
      <c r="B6" s="572"/>
      <c r="C6" s="572"/>
      <c r="D6" s="572"/>
      <c r="E6" s="572"/>
      <c r="F6" s="572"/>
      <c r="G6" s="572"/>
      <c r="H6" s="572"/>
      <c r="I6" s="572"/>
      <c r="J6" s="572"/>
      <c r="K6" s="572"/>
      <c r="L6" s="572"/>
      <c r="M6" s="572"/>
      <c r="N6" s="572"/>
      <c r="O6" s="572"/>
      <c r="P6" s="572"/>
      <c r="Q6" s="573"/>
    </row>
    <row r="7" spans="1:43" s="11" customFormat="1" ht="34.5" customHeight="1" x14ac:dyDescent="0.3">
      <c r="A7" s="83" t="s">
        <v>3</v>
      </c>
      <c r="B7" s="83" t="s">
        <v>0</v>
      </c>
      <c r="C7" s="83" t="s">
        <v>821</v>
      </c>
      <c r="D7" s="84" t="s">
        <v>1</v>
      </c>
      <c r="E7" s="84" t="s">
        <v>68</v>
      </c>
      <c r="F7" s="84" t="s">
        <v>69</v>
      </c>
      <c r="G7" s="85" t="s">
        <v>2</v>
      </c>
      <c r="H7" s="85" t="s">
        <v>592</v>
      </c>
      <c r="I7" s="84" t="s">
        <v>6</v>
      </c>
      <c r="J7" s="84" t="s">
        <v>764</v>
      </c>
      <c r="K7" s="84" t="s">
        <v>7</v>
      </c>
      <c r="L7" s="84" t="s">
        <v>4</v>
      </c>
      <c r="M7" s="84" t="s">
        <v>5</v>
      </c>
      <c r="N7" s="84" t="s">
        <v>70</v>
      </c>
      <c r="O7" s="83" t="s">
        <v>59</v>
      </c>
      <c r="P7" s="86" t="s">
        <v>8</v>
      </c>
      <c r="Q7" s="86" t="s">
        <v>10</v>
      </c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</row>
    <row r="8" spans="1:43" s="199" customFormat="1" ht="15.75" customHeight="1" x14ac:dyDescent="0.3">
      <c r="A8" s="195" t="s">
        <v>766</v>
      </c>
      <c r="B8" s="193">
        <v>1</v>
      </c>
      <c r="C8" s="193" t="s">
        <v>822</v>
      </c>
      <c r="D8" s="196">
        <v>0</v>
      </c>
      <c r="E8" s="192">
        <v>0</v>
      </c>
      <c r="F8" s="192">
        <f t="shared" ref="F8:F24" si="1">D8-E8</f>
        <v>0</v>
      </c>
      <c r="G8" s="196">
        <v>0</v>
      </c>
      <c r="H8" s="192">
        <f>((1347.3/27))</f>
        <v>49.9</v>
      </c>
      <c r="I8" s="192">
        <v>0</v>
      </c>
      <c r="J8" s="192">
        <v>0</v>
      </c>
      <c r="K8" s="192">
        <v>0</v>
      </c>
      <c r="L8" s="191">
        <f t="shared" ref="L8:L34" si="2">SUM(F8:K8)</f>
        <v>49.9</v>
      </c>
      <c r="M8" s="192">
        <f>7%*L8</f>
        <v>3.4930000000000003</v>
      </c>
      <c r="N8" s="192">
        <f>L8-M8</f>
        <v>46.406999999999996</v>
      </c>
      <c r="O8" s="196" t="s">
        <v>800</v>
      </c>
      <c r="P8" s="197">
        <v>10</v>
      </c>
      <c r="Q8" s="197">
        <v>11</v>
      </c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</row>
    <row r="9" spans="1:43" s="203" customFormat="1" x14ac:dyDescent="0.3">
      <c r="A9" s="193" t="s">
        <v>758</v>
      </c>
      <c r="B9" s="194">
        <v>2</v>
      </c>
      <c r="C9" s="194" t="s">
        <v>822</v>
      </c>
      <c r="D9" s="196">
        <f>'GERAL 2022'!G4</f>
        <v>580</v>
      </c>
      <c r="E9" s="196">
        <v>0</v>
      </c>
      <c r="F9" s="196">
        <f t="shared" si="1"/>
        <v>580</v>
      </c>
      <c r="G9" s="196">
        <v>50</v>
      </c>
      <c r="H9" s="192">
        <f t="shared" ref="H9:H34" si="3">(1347.3/27)</f>
        <v>49.9</v>
      </c>
      <c r="I9" s="192">
        <f>E51</f>
        <v>1.2516548463356973</v>
      </c>
      <c r="J9" s="192">
        <f>(193.5/27)/6</f>
        <v>1.1944444444444444</v>
      </c>
      <c r="K9" s="196">
        <v>19.7</v>
      </c>
      <c r="L9" s="191">
        <f t="shared" si="2"/>
        <v>702.04609929078015</v>
      </c>
      <c r="M9" s="192">
        <f t="shared" ref="M9:M34" si="4">7%*L9</f>
        <v>49.143226950354617</v>
      </c>
      <c r="N9" s="192">
        <f t="shared" ref="N9:N33" si="5">L9-M9</f>
        <v>652.90287234042557</v>
      </c>
      <c r="O9" s="193" t="s">
        <v>837</v>
      </c>
      <c r="P9" s="197">
        <v>10</v>
      </c>
      <c r="Q9" s="197">
        <v>11</v>
      </c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G9" s="200"/>
      <c r="AH9" s="200"/>
      <c r="AI9" s="200"/>
      <c r="AJ9" s="200"/>
      <c r="AK9" s="200"/>
      <c r="AL9" s="200"/>
      <c r="AM9" s="201"/>
      <c r="AN9" s="202"/>
      <c r="AO9" s="202"/>
      <c r="AP9" s="202"/>
      <c r="AQ9" s="202"/>
    </row>
    <row r="10" spans="1:43" s="204" customFormat="1" x14ac:dyDescent="0.3">
      <c r="A10" s="193" t="s">
        <v>753</v>
      </c>
      <c r="B10" s="194">
        <v>3</v>
      </c>
      <c r="C10" s="194" t="s">
        <v>822</v>
      </c>
      <c r="D10" s="196">
        <f>'GERAL 2022'!G5</f>
        <v>550</v>
      </c>
      <c r="E10" s="196">
        <v>0</v>
      </c>
      <c r="F10" s="196">
        <f>D10-E10</f>
        <v>550</v>
      </c>
      <c r="G10" s="196">
        <v>0</v>
      </c>
      <c r="H10" s="192">
        <f t="shared" si="3"/>
        <v>49.9</v>
      </c>
      <c r="I10" s="192">
        <f>E53</f>
        <v>1.2516548463356973</v>
      </c>
      <c r="J10" s="192">
        <f t="shared" ref="J10:J33" si="6">(193.5/27)/6</f>
        <v>1.1944444444444444</v>
      </c>
      <c r="K10" s="196">
        <v>19.64</v>
      </c>
      <c r="L10" s="191">
        <f t="shared" si="2"/>
        <v>621.98609929078009</v>
      </c>
      <c r="M10" s="192">
        <f t="shared" si="4"/>
        <v>43.539026950354611</v>
      </c>
      <c r="N10" s="192">
        <f t="shared" si="5"/>
        <v>578.44707234042551</v>
      </c>
      <c r="O10" s="193" t="s">
        <v>837</v>
      </c>
      <c r="P10" s="197">
        <v>10</v>
      </c>
      <c r="Q10" s="197">
        <v>11</v>
      </c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0"/>
      <c r="AM10" s="200"/>
      <c r="AN10" s="200"/>
      <c r="AO10" s="200"/>
      <c r="AP10" s="200"/>
      <c r="AQ10" s="200"/>
    </row>
    <row r="11" spans="1:43" s="199" customFormat="1" ht="15" customHeight="1" x14ac:dyDescent="0.3">
      <c r="A11" s="209" t="s">
        <v>842</v>
      </c>
      <c r="B11" s="193">
        <v>4</v>
      </c>
      <c r="C11" s="209" t="s">
        <v>832</v>
      </c>
      <c r="D11" s="196">
        <f>'GERAL 2023'!G40/31*26</f>
        <v>511.61290322580641</v>
      </c>
      <c r="E11" s="196">
        <v>0</v>
      </c>
      <c r="F11" s="196">
        <f>D11-E11</f>
        <v>511.61290322580641</v>
      </c>
      <c r="G11" s="192">
        <f>50/31*26</f>
        <v>41.935483870967737</v>
      </c>
      <c r="H11" s="192">
        <f>(1347.3/27)/31*26</f>
        <v>41.851612903225806</v>
      </c>
      <c r="I11" s="192">
        <f>'GERAL 2023'!I40/31*26</f>
        <v>1.0497750324105848</v>
      </c>
      <c r="J11" s="192">
        <f>((193.5/27)/6)/31*26</f>
        <v>1.0017921146953404</v>
      </c>
      <c r="K11" s="192">
        <v>19.78</v>
      </c>
      <c r="L11" s="191">
        <f t="shared" si="2"/>
        <v>617.23156714710592</v>
      </c>
      <c r="M11" s="192">
        <f t="shared" si="4"/>
        <v>43.206209700297421</v>
      </c>
      <c r="N11" s="192">
        <f t="shared" si="5"/>
        <v>574.02535744680847</v>
      </c>
      <c r="O11" s="193" t="s">
        <v>843</v>
      </c>
      <c r="P11" s="197">
        <v>10</v>
      </c>
      <c r="Q11" s="194">
        <v>11</v>
      </c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</row>
    <row r="12" spans="1:43" s="199" customFormat="1" x14ac:dyDescent="0.3">
      <c r="A12" s="193" t="s">
        <v>744</v>
      </c>
      <c r="B12" s="193">
        <v>5</v>
      </c>
      <c r="C12" s="193" t="s">
        <v>823</v>
      </c>
      <c r="D12" s="196">
        <f>'GERAL 2023'!G7</f>
        <v>580</v>
      </c>
      <c r="E12" s="192">
        <v>0</v>
      </c>
      <c r="F12" s="192">
        <f>D12-E12</f>
        <v>580</v>
      </c>
      <c r="G12" s="192">
        <f>50</f>
        <v>50</v>
      </c>
      <c r="H12" s="192">
        <f t="shared" si="3"/>
        <v>49.9</v>
      </c>
      <c r="I12" s="192">
        <f>E57</f>
        <v>1.2516548463356973</v>
      </c>
      <c r="J12" s="192">
        <f t="shared" si="6"/>
        <v>1.1944444444444444</v>
      </c>
      <c r="K12" s="192">
        <v>0</v>
      </c>
      <c r="L12" s="191">
        <f t="shared" si="2"/>
        <v>682.3460992907801</v>
      </c>
      <c r="M12" s="192">
        <f t="shared" si="4"/>
        <v>47.764226950354612</v>
      </c>
      <c r="N12" s="192">
        <f t="shared" si="5"/>
        <v>634.58187234042543</v>
      </c>
      <c r="O12" s="193" t="s">
        <v>838</v>
      </c>
      <c r="P12" s="197">
        <v>10</v>
      </c>
      <c r="Q12" s="197">
        <v>11</v>
      </c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</row>
    <row r="13" spans="1:43" s="206" customFormat="1" x14ac:dyDescent="0.3">
      <c r="A13" s="193" t="s">
        <v>745</v>
      </c>
      <c r="B13" s="193">
        <v>6</v>
      </c>
      <c r="C13" s="193" t="s">
        <v>823</v>
      </c>
      <c r="D13" s="196">
        <f>'GERAL 2023'!G8</f>
        <v>680</v>
      </c>
      <c r="E13" s="196">
        <v>0</v>
      </c>
      <c r="F13" s="192">
        <f>D13-E13</f>
        <v>680</v>
      </c>
      <c r="G13" s="192">
        <f>100</f>
        <v>100</v>
      </c>
      <c r="H13" s="192">
        <f t="shared" si="3"/>
        <v>49.9</v>
      </c>
      <c r="I13" s="192">
        <f>E59</f>
        <v>1.7523167848699763</v>
      </c>
      <c r="J13" s="192">
        <f t="shared" si="6"/>
        <v>1.1944444444444444</v>
      </c>
      <c r="K13" s="192">
        <v>0</v>
      </c>
      <c r="L13" s="191">
        <f t="shared" si="2"/>
        <v>832.84676122931444</v>
      </c>
      <c r="M13" s="192">
        <f t="shared" si="4"/>
        <v>58.299273286052014</v>
      </c>
      <c r="N13" s="192">
        <f>L13-M13</f>
        <v>774.54748794326247</v>
      </c>
      <c r="O13" s="193" t="s">
        <v>838</v>
      </c>
      <c r="P13" s="197">
        <v>10</v>
      </c>
      <c r="Q13" s="197">
        <v>11</v>
      </c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</row>
    <row r="14" spans="1:43" s="199" customFormat="1" x14ac:dyDescent="0.3">
      <c r="A14" s="193" t="s">
        <v>791</v>
      </c>
      <c r="B14" s="193">
        <v>7</v>
      </c>
      <c r="C14" s="193" t="s">
        <v>822</v>
      </c>
      <c r="D14" s="196">
        <f>'GERAL 2023'!G35</f>
        <v>610</v>
      </c>
      <c r="E14" s="192">
        <v>0</v>
      </c>
      <c r="F14" s="196">
        <f>D14-E14</f>
        <v>610</v>
      </c>
      <c r="G14" s="192">
        <v>50</v>
      </c>
      <c r="H14" s="192">
        <f t="shared" si="3"/>
        <v>49.9</v>
      </c>
      <c r="I14" s="192">
        <f>'GERAL 2023'!I35</f>
        <v>1.2516548463356973</v>
      </c>
      <c r="J14" s="192">
        <f t="shared" si="6"/>
        <v>1.1944444444444444</v>
      </c>
      <c r="K14" s="192">
        <v>19.760000000000002</v>
      </c>
      <c r="L14" s="191">
        <f t="shared" si="2"/>
        <v>732.10609929078009</v>
      </c>
      <c r="M14" s="192">
        <f t="shared" si="4"/>
        <v>51.247426950354608</v>
      </c>
      <c r="N14" s="192">
        <f t="shared" si="5"/>
        <v>680.85867234042553</v>
      </c>
      <c r="O14" s="193" t="s">
        <v>837</v>
      </c>
      <c r="P14" s="197">
        <v>10</v>
      </c>
      <c r="Q14" s="197">
        <v>11</v>
      </c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</row>
    <row r="15" spans="1:43" s="199" customFormat="1" x14ac:dyDescent="0.3">
      <c r="A15" s="193" t="s">
        <v>746</v>
      </c>
      <c r="B15" s="193">
        <v>8</v>
      </c>
      <c r="C15" s="193" t="s">
        <v>824</v>
      </c>
      <c r="D15" s="196">
        <f>'GERAL 2022'!G37</f>
        <v>580</v>
      </c>
      <c r="E15" s="192">
        <v>0</v>
      </c>
      <c r="F15" s="196">
        <f t="shared" si="1"/>
        <v>580</v>
      </c>
      <c r="G15" s="192">
        <v>50</v>
      </c>
      <c r="H15" s="192">
        <f t="shared" si="3"/>
        <v>49.9</v>
      </c>
      <c r="I15" s="192">
        <f>E63</f>
        <v>1.2516548463356973</v>
      </c>
      <c r="J15" s="192">
        <f t="shared" si="6"/>
        <v>1.1944444444444444</v>
      </c>
      <c r="K15" s="192">
        <v>19.7</v>
      </c>
      <c r="L15" s="191">
        <f t="shared" si="2"/>
        <v>702.04609929078015</v>
      </c>
      <c r="M15" s="192">
        <f t="shared" si="4"/>
        <v>49.143226950354617</v>
      </c>
      <c r="N15" s="192">
        <f t="shared" si="5"/>
        <v>652.90287234042557</v>
      </c>
      <c r="O15" s="193" t="s">
        <v>839</v>
      </c>
      <c r="P15" s="207">
        <v>10</v>
      </c>
      <c r="Q15" s="197">
        <v>11</v>
      </c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</row>
    <row r="16" spans="1:43" s="199" customFormat="1" x14ac:dyDescent="0.3">
      <c r="A16" s="193"/>
      <c r="B16" s="193">
        <v>9</v>
      </c>
      <c r="C16" s="193"/>
      <c r="D16" s="196">
        <v>0</v>
      </c>
      <c r="E16" s="192">
        <v>0</v>
      </c>
      <c r="F16" s="196">
        <f t="shared" si="1"/>
        <v>0</v>
      </c>
      <c r="G16" s="192">
        <v>0</v>
      </c>
      <c r="H16" s="192">
        <v>0</v>
      </c>
      <c r="I16" s="192">
        <v>0</v>
      </c>
      <c r="J16" s="192">
        <v>0</v>
      </c>
      <c r="K16" s="192">
        <v>0</v>
      </c>
      <c r="L16" s="191">
        <f t="shared" si="2"/>
        <v>0</v>
      </c>
      <c r="M16" s="192">
        <f t="shared" si="4"/>
        <v>0</v>
      </c>
      <c r="N16" s="192">
        <f>L16-M16</f>
        <v>0</v>
      </c>
      <c r="O16" s="193" t="s">
        <v>525</v>
      </c>
      <c r="P16" s="207"/>
      <c r="Q16" s="197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  <c r="AQ16" s="198"/>
    </row>
    <row r="17" spans="1:48" s="148" customFormat="1" x14ac:dyDescent="0.3">
      <c r="A17" s="194" t="s">
        <v>739</v>
      </c>
      <c r="B17" s="194">
        <v>10</v>
      </c>
      <c r="C17" s="194" t="s">
        <v>825</v>
      </c>
      <c r="D17" s="196">
        <f>'GERAL 2022'!G38</f>
        <v>550</v>
      </c>
      <c r="E17" s="192">
        <v>0</v>
      </c>
      <c r="F17" s="196">
        <f t="shared" si="1"/>
        <v>550</v>
      </c>
      <c r="G17" s="192">
        <v>50</v>
      </c>
      <c r="H17" s="192">
        <f t="shared" si="3"/>
        <v>49.9</v>
      </c>
      <c r="I17" s="192">
        <f>E67</f>
        <v>1.2516548463356973</v>
      </c>
      <c r="J17" s="192">
        <f t="shared" si="6"/>
        <v>1.1944444444444444</v>
      </c>
      <c r="K17" s="192">
        <v>19.64</v>
      </c>
      <c r="L17" s="191">
        <f t="shared" si="2"/>
        <v>671.98609929078009</v>
      </c>
      <c r="M17" s="192">
        <f t="shared" si="4"/>
        <v>47.039026950354611</v>
      </c>
      <c r="N17" s="192">
        <f t="shared" si="5"/>
        <v>624.94707234042551</v>
      </c>
      <c r="O17" s="193" t="s">
        <v>840</v>
      </c>
      <c r="P17" s="197">
        <v>10</v>
      </c>
      <c r="Q17" s="194">
        <v>11</v>
      </c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208"/>
      <c r="AD17" s="208"/>
      <c r="AE17" s="208"/>
      <c r="AF17" s="208"/>
      <c r="AG17" s="208"/>
      <c r="AH17" s="208"/>
      <c r="AI17" s="208"/>
      <c r="AJ17" s="208"/>
      <c r="AK17" s="208"/>
      <c r="AL17" s="208"/>
      <c r="AM17" s="208"/>
      <c r="AN17" s="208"/>
      <c r="AO17" s="208"/>
      <c r="AP17" s="208"/>
      <c r="AQ17" s="208"/>
      <c r="AR17" s="208"/>
      <c r="AS17" s="208"/>
      <c r="AT17" s="208"/>
      <c r="AU17" s="208"/>
      <c r="AV17" s="208"/>
    </row>
    <row r="18" spans="1:48" s="148" customFormat="1" x14ac:dyDescent="0.3">
      <c r="A18" s="194"/>
      <c r="B18" s="194">
        <v>11</v>
      </c>
      <c r="C18" s="194"/>
      <c r="D18" s="192">
        <v>0</v>
      </c>
      <c r="E18" s="192">
        <v>0</v>
      </c>
      <c r="F18" s="196">
        <f t="shared" si="1"/>
        <v>0</v>
      </c>
      <c r="G18" s="192">
        <v>0</v>
      </c>
      <c r="H18" s="192">
        <v>0</v>
      </c>
      <c r="I18" s="192">
        <v>0</v>
      </c>
      <c r="J18" s="192">
        <v>0</v>
      </c>
      <c r="K18" s="192">
        <v>0</v>
      </c>
      <c r="L18" s="191">
        <f t="shared" si="2"/>
        <v>0</v>
      </c>
      <c r="M18" s="192">
        <f t="shared" si="4"/>
        <v>0</v>
      </c>
      <c r="N18" s="192">
        <f t="shared" si="5"/>
        <v>0</v>
      </c>
      <c r="O18" s="196" t="s">
        <v>525</v>
      </c>
      <c r="P18" s="197"/>
      <c r="Q18" s="194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  <c r="AI18" s="208"/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  <c r="AT18" s="208"/>
      <c r="AU18" s="208"/>
      <c r="AV18" s="208"/>
    </row>
    <row r="19" spans="1:48" s="199" customFormat="1" x14ac:dyDescent="0.3">
      <c r="A19" s="193" t="s">
        <v>826</v>
      </c>
      <c r="B19" s="193">
        <v>12</v>
      </c>
      <c r="C19" s="193" t="s">
        <v>825</v>
      </c>
      <c r="D19" s="196">
        <f>'GERAL 2022'!G14</f>
        <v>550</v>
      </c>
      <c r="E19" s="192">
        <v>0</v>
      </c>
      <c r="F19" s="196">
        <f t="shared" si="1"/>
        <v>550</v>
      </c>
      <c r="G19" s="196">
        <v>25</v>
      </c>
      <c r="H19" s="192">
        <f t="shared" si="3"/>
        <v>49.9</v>
      </c>
      <c r="I19" s="192">
        <f>E71</f>
        <v>1.2516548463356973</v>
      </c>
      <c r="J19" s="192">
        <f t="shared" si="6"/>
        <v>1.1944444444444444</v>
      </c>
      <c r="K19" s="196">
        <v>19.64</v>
      </c>
      <c r="L19" s="191">
        <f t="shared" si="2"/>
        <v>646.98609929078009</v>
      </c>
      <c r="M19" s="192">
        <f t="shared" si="4"/>
        <v>45.289026950354611</v>
      </c>
      <c r="N19" s="192">
        <f t="shared" si="5"/>
        <v>601.69707234042551</v>
      </c>
      <c r="O19" s="193" t="s">
        <v>840</v>
      </c>
      <c r="P19" s="197">
        <v>10</v>
      </c>
      <c r="Q19" s="197">
        <v>11</v>
      </c>
      <c r="R19" s="198"/>
      <c r="S19" s="198"/>
      <c r="T19" s="198"/>
      <c r="U19" s="198"/>
      <c r="V19" s="198"/>
      <c r="W19" s="198"/>
      <c r="X19" s="198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198"/>
      <c r="AN19" s="198"/>
      <c r="AO19" s="198"/>
      <c r="AP19" s="198"/>
      <c r="AQ19" s="198"/>
    </row>
    <row r="20" spans="1:48" s="206" customFormat="1" x14ac:dyDescent="0.3">
      <c r="A20" s="193" t="s">
        <v>756</v>
      </c>
      <c r="B20" s="193">
        <v>13</v>
      </c>
      <c r="C20" s="193" t="s">
        <v>827</v>
      </c>
      <c r="D20" s="196">
        <f>'GERAL 2022'!G15</f>
        <v>550</v>
      </c>
      <c r="E20" s="196">
        <v>0</v>
      </c>
      <c r="F20" s="196">
        <f t="shared" si="1"/>
        <v>550</v>
      </c>
      <c r="G20" s="192">
        <v>0</v>
      </c>
      <c r="H20" s="192">
        <f t="shared" si="3"/>
        <v>49.9</v>
      </c>
      <c r="I20" s="192">
        <f>E73</f>
        <v>1.2516548463356973</v>
      </c>
      <c r="J20" s="192">
        <f t="shared" si="6"/>
        <v>1.1944444444444444</v>
      </c>
      <c r="K20" s="192">
        <f>E72</f>
        <v>19.641666666666666</v>
      </c>
      <c r="L20" s="191">
        <f t="shared" si="2"/>
        <v>621.98776595744675</v>
      </c>
      <c r="M20" s="192">
        <f t="shared" si="4"/>
        <v>43.539143617021274</v>
      </c>
      <c r="N20" s="192">
        <f t="shared" si="5"/>
        <v>578.44862234042546</v>
      </c>
      <c r="O20" s="193" t="s">
        <v>841</v>
      </c>
      <c r="P20" s="197">
        <v>10</v>
      </c>
      <c r="Q20" s="197">
        <v>11</v>
      </c>
      <c r="R20" s="205"/>
      <c r="S20" s="205"/>
      <c r="T20" s="205"/>
      <c r="U20" s="205"/>
      <c r="V20" s="205"/>
      <c r="W20" s="205"/>
      <c r="X20" s="205"/>
      <c r="Y20" s="205"/>
      <c r="Z20" s="205"/>
      <c r="AA20" s="205"/>
      <c r="AB20" s="205"/>
      <c r="AC20" s="205"/>
      <c r="AD20" s="205"/>
      <c r="AE20" s="205"/>
      <c r="AF20" s="205"/>
      <c r="AG20" s="205"/>
      <c r="AH20" s="205"/>
      <c r="AI20" s="205"/>
      <c r="AJ20" s="205"/>
      <c r="AK20" s="205"/>
      <c r="AL20" s="205"/>
      <c r="AM20" s="205"/>
      <c r="AN20" s="205"/>
      <c r="AO20" s="205"/>
      <c r="AP20" s="205"/>
      <c r="AQ20" s="205"/>
    </row>
    <row r="21" spans="1:48" s="148" customFormat="1" x14ac:dyDescent="0.3">
      <c r="A21" s="194" t="s">
        <v>747</v>
      </c>
      <c r="B21" s="194">
        <v>14</v>
      </c>
      <c r="C21" s="209" t="s">
        <v>832</v>
      </c>
      <c r="D21" s="196">
        <f>'GERAL 2022'!G39</f>
        <v>580</v>
      </c>
      <c r="E21" s="192">
        <v>0</v>
      </c>
      <c r="F21" s="196">
        <f t="shared" si="1"/>
        <v>580</v>
      </c>
      <c r="G21" s="192">
        <f>50</f>
        <v>50</v>
      </c>
      <c r="H21" s="192">
        <f t="shared" si="3"/>
        <v>49.9</v>
      </c>
      <c r="I21" s="192">
        <f>E75</f>
        <v>1.2516548463356973</v>
      </c>
      <c r="J21" s="192">
        <f t="shared" si="6"/>
        <v>1.1944444444444444</v>
      </c>
      <c r="K21" s="192">
        <f>'GERAL 2023'!K16</f>
        <v>19.696666666666669</v>
      </c>
      <c r="L21" s="191">
        <f t="shared" si="2"/>
        <v>702.04276595744682</v>
      </c>
      <c r="M21" s="192">
        <f t="shared" si="4"/>
        <v>49.142993617021283</v>
      </c>
      <c r="N21" s="192">
        <f t="shared" si="5"/>
        <v>652.89977234042556</v>
      </c>
      <c r="O21" s="193" t="s">
        <v>845</v>
      </c>
      <c r="P21" s="197">
        <v>10</v>
      </c>
      <c r="Q21" s="194">
        <v>11</v>
      </c>
      <c r="R21" s="208"/>
      <c r="S21" s="208"/>
      <c r="T21" s="208"/>
      <c r="U21" s="208"/>
      <c r="V21" s="208"/>
      <c r="W21" s="208"/>
      <c r="X21" s="208"/>
      <c r="Y21" s="208"/>
      <c r="Z21" s="208"/>
      <c r="AA21" s="208"/>
      <c r="AB21" s="208"/>
      <c r="AC21" s="208"/>
      <c r="AD21" s="208"/>
      <c r="AE21" s="208"/>
      <c r="AF21" s="208"/>
      <c r="AG21" s="208"/>
      <c r="AH21" s="208"/>
      <c r="AI21" s="208"/>
      <c r="AJ21" s="208"/>
      <c r="AK21" s="208"/>
      <c r="AL21" s="208"/>
      <c r="AM21" s="208"/>
      <c r="AN21" s="208"/>
      <c r="AO21" s="208"/>
      <c r="AP21" s="208"/>
      <c r="AQ21" s="208"/>
      <c r="AR21" s="208"/>
      <c r="AS21" s="208"/>
      <c r="AT21" s="208"/>
      <c r="AU21" s="208"/>
      <c r="AV21" s="208"/>
    </row>
    <row r="22" spans="1:48" s="204" customFormat="1" x14ac:dyDescent="0.3">
      <c r="A22" s="193" t="s">
        <v>748</v>
      </c>
      <c r="B22" s="193">
        <v>15</v>
      </c>
      <c r="C22" s="193" t="s">
        <v>827</v>
      </c>
      <c r="D22" s="196">
        <f>'GERAL 2023'!G36</f>
        <v>680</v>
      </c>
      <c r="E22" s="192">
        <v>0</v>
      </c>
      <c r="F22" s="196">
        <f t="shared" si="1"/>
        <v>680</v>
      </c>
      <c r="G22" s="192">
        <v>25</v>
      </c>
      <c r="H22" s="192">
        <f t="shared" si="3"/>
        <v>49.9</v>
      </c>
      <c r="I22" s="192">
        <f>'GERAL 2023'!I36</f>
        <v>1.7523167848699763</v>
      </c>
      <c r="J22" s="192">
        <f t="shared" si="6"/>
        <v>1.1944444444444444</v>
      </c>
      <c r="K22" s="192">
        <f>'GERAL 2023'!K36</f>
        <v>19.836666666666666</v>
      </c>
      <c r="L22" s="191">
        <f t="shared" si="2"/>
        <v>777.68342789598114</v>
      </c>
      <c r="M22" s="192">
        <f t="shared" si="4"/>
        <v>54.437839952718683</v>
      </c>
      <c r="N22" s="192">
        <f t="shared" si="5"/>
        <v>723.24558794326242</v>
      </c>
      <c r="O22" s="193" t="s">
        <v>841</v>
      </c>
      <c r="P22" s="197">
        <v>10</v>
      </c>
      <c r="Q22" s="194">
        <v>11</v>
      </c>
      <c r="R22" s="200"/>
      <c r="S22" s="200"/>
      <c r="T22" s="200"/>
      <c r="U22" s="200"/>
      <c r="V22" s="200"/>
      <c r="W22" s="200"/>
      <c r="X22" s="200"/>
      <c r="Y22" s="200"/>
      <c r="Z22" s="200"/>
    </row>
    <row r="23" spans="1:48" s="206" customFormat="1" x14ac:dyDescent="0.3">
      <c r="A23" s="197" t="s">
        <v>757</v>
      </c>
      <c r="B23" s="197">
        <v>16</v>
      </c>
      <c r="C23" s="197" t="s">
        <v>829</v>
      </c>
      <c r="D23" s="196">
        <f>'GERAL 2023'!G37</f>
        <v>610</v>
      </c>
      <c r="E23" s="192">
        <v>0</v>
      </c>
      <c r="F23" s="196">
        <f>D23-E23</f>
        <v>610</v>
      </c>
      <c r="G23" s="192">
        <v>0</v>
      </c>
      <c r="H23" s="192">
        <f t="shared" si="3"/>
        <v>49.9</v>
      </c>
      <c r="I23" s="192">
        <f>E79</f>
        <v>1.2516548463356973</v>
      </c>
      <c r="J23" s="192">
        <f t="shared" si="6"/>
        <v>1.1944444444444444</v>
      </c>
      <c r="K23" s="192">
        <v>0</v>
      </c>
      <c r="L23" s="191">
        <f t="shared" si="2"/>
        <v>662.3460992907801</v>
      </c>
      <c r="M23" s="192">
        <f t="shared" si="4"/>
        <v>46.364226950354613</v>
      </c>
      <c r="N23" s="192">
        <f t="shared" si="5"/>
        <v>615.98187234042553</v>
      </c>
      <c r="O23" s="193" t="s">
        <v>838</v>
      </c>
      <c r="P23" s="197">
        <v>10</v>
      </c>
      <c r="Q23" s="197">
        <v>11</v>
      </c>
      <c r="R23" s="205"/>
      <c r="S23" s="205"/>
      <c r="T23" s="205"/>
      <c r="U23" s="205"/>
      <c r="V23" s="205"/>
      <c r="W23" s="205"/>
      <c r="X23" s="205"/>
      <c r="Y23" s="205"/>
      <c r="Z23" s="205"/>
      <c r="AA23" s="205"/>
      <c r="AB23" s="205"/>
      <c r="AC23" s="205"/>
      <c r="AD23" s="205"/>
      <c r="AE23" s="205"/>
      <c r="AF23" s="205"/>
      <c r="AG23" s="205"/>
      <c r="AH23" s="205"/>
      <c r="AI23" s="205"/>
      <c r="AJ23" s="205"/>
      <c r="AK23" s="205"/>
      <c r="AL23" s="205"/>
      <c r="AM23" s="205"/>
      <c r="AN23" s="205"/>
      <c r="AO23" s="205"/>
      <c r="AP23" s="205"/>
      <c r="AQ23" s="205"/>
    </row>
    <row r="24" spans="1:48" s="206" customFormat="1" x14ac:dyDescent="0.3">
      <c r="A24" s="195" t="s">
        <v>741</v>
      </c>
      <c r="B24" s="195">
        <v>17</v>
      </c>
      <c r="C24" s="195" t="s">
        <v>825</v>
      </c>
      <c r="D24" s="196">
        <f>'GERAL 2022'!G41</f>
        <v>580</v>
      </c>
      <c r="E24" s="192">
        <v>0</v>
      </c>
      <c r="F24" s="196">
        <f t="shared" si="1"/>
        <v>580</v>
      </c>
      <c r="G24" s="192">
        <v>0</v>
      </c>
      <c r="H24" s="192">
        <f t="shared" si="3"/>
        <v>49.9</v>
      </c>
      <c r="I24" s="192">
        <f>E81</f>
        <v>1.2516548463356973</v>
      </c>
      <c r="J24" s="192">
        <f t="shared" si="6"/>
        <v>1.1944444444444444</v>
      </c>
      <c r="K24" s="192">
        <v>19.7</v>
      </c>
      <c r="L24" s="191">
        <f t="shared" si="2"/>
        <v>652.04609929078015</v>
      </c>
      <c r="M24" s="192">
        <f t="shared" si="4"/>
        <v>45.643226950354617</v>
      </c>
      <c r="N24" s="192">
        <f t="shared" si="5"/>
        <v>606.40287234042557</v>
      </c>
      <c r="O24" s="196" t="s">
        <v>840</v>
      </c>
      <c r="P24" s="197">
        <v>10</v>
      </c>
      <c r="Q24" s="197">
        <v>11</v>
      </c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  <c r="AP24" s="205"/>
      <c r="AQ24" s="205"/>
    </row>
    <row r="25" spans="1:48" s="206" customFormat="1" x14ac:dyDescent="0.3">
      <c r="A25" s="195" t="s">
        <v>749</v>
      </c>
      <c r="B25" s="193">
        <v>18</v>
      </c>
      <c r="C25" s="193" t="s">
        <v>830</v>
      </c>
      <c r="D25" s="196">
        <f>'GERAL 2023'!G20</f>
        <v>640</v>
      </c>
      <c r="E25" s="192">
        <v>0</v>
      </c>
      <c r="F25" s="196">
        <f>D25-E25</f>
        <v>640</v>
      </c>
      <c r="G25" s="192">
        <v>50</v>
      </c>
      <c r="H25" s="192">
        <f t="shared" si="3"/>
        <v>49.9</v>
      </c>
      <c r="I25" s="192">
        <f>E83</f>
        <v>1.2516548463356973</v>
      </c>
      <c r="J25" s="192">
        <f t="shared" si="6"/>
        <v>1.1944444444444444</v>
      </c>
      <c r="K25" s="192">
        <v>0</v>
      </c>
      <c r="L25" s="191">
        <f t="shared" si="2"/>
        <v>742.3460992907801</v>
      </c>
      <c r="M25" s="192">
        <f t="shared" si="4"/>
        <v>51.964226950354615</v>
      </c>
      <c r="N25" s="192">
        <f t="shared" si="5"/>
        <v>690.3818723404255</v>
      </c>
      <c r="O25" s="193" t="s">
        <v>838</v>
      </c>
      <c r="P25" s="197">
        <v>10</v>
      </c>
      <c r="Q25" s="197">
        <v>11</v>
      </c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  <c r="AQ25" s="205"/>
    </row>
    <row r="26" spans="1:48" s="206" customFormat="1" x14ac:dyDescent="0.3">
      <c r="A26" s="193" t="s">
        <v>738</v>
      </c>
      <c r="B26" s="193">
        <v>19</v>
      </c>
      <c r="C26" s="193" t="s">
        <v>825</v>
      </c>
      <c r="D26" s="196">
        <f>'GERAL 2023'!G38</f>
        <v>610</v>
      </c>
      <c r="E26" s="192">
        <v>0</v>
      </c>
      <c r="F26" s="196">
        <f>(D26-E26)</f>
        <v>610</v>
      </c>
      <c r="G26" s="192">
        <v>0</v>
      </c>
      <c r="H26" s="192">
        <f t="shared" si="3"/>
        <v>49.9</v>
      </c>
      <c r="I26" s="192">
        <f>'GERAL 2023'!I38</f>
        <v>1.2516548463356973</v>
      </c>
      <c r="J26" s="192">
        <f t="shared" si="6"/>
        <v>1.1944444444444444</v>
      </c>
      <c r="K26" s="192">
        <f>'GERAL 2023'!K38</f>
        <v>19.754999999999999</v>
      </c>
      <c r="L26" s="191">
        <f t="shared" si="2"/>
        <v>682.1010992907801</v>
      </c>
      <c r="M26" s="192">
        <f t="shared" si="4"/>
        <v>47.747076950354611</v>
      </c>
      <c r="N26" s="192">
        <f t="shared" si="5"/>
        <v>634.35402234042544</v>
      </c>
      <c r="O26" s="193" t="s">
        <v>840</v>
      </c>
      <c r="P26" s="197">
        <v>10</v>
      </c>
      <c r="Q26" s="197">
        <v>11</v>
      </c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  <c r="AQ26" s="205"/>
    </row>
    <row r="27" spans="1:48" s="206" customFormat="1" x14ac:dyDescent="0.3">
      <c r="A27" s="195"/>
      <c r="B27" s="193">
        <v>20</v>
      </c>
      <c r="C27" s="193"/>
      <c r="D27" s="196">
        <v>0</v>
      </c>
      <c r="E27" s="192">
        <v>0</v>
      </c>
      <c r="F27" s="196">
        <f t="shared" ref="F27:F34" si="7">D27-E27</f>
        <v>0</v>
      </c>
      <c r="G27" s="192">
        <v>0</v>
      </c>
      <c r="H27" s="192">
        <v>0</v>
      </c>
      <c r="I27" s="192">
        <v>0</v>
      </c>
      <c r="J27" s="192">
        <v>0</v>
      </c>
      <c r="K27" s="192">
        <v>0</v>
      </c>
      <c r="L27" s="191">
        <f t="shared" si="2"/>
        <v>0</v>
      </c>
      <c r="M27" s="192">
        <f t="shared" si="4"/>
        <v>0</v>
      </c>
      <c r="N27" s="192">
        <f t="shared" si="5"/>
        <v>0</v>
      </c>
      <c r="O27" s="193" t="s">
        <v>525</v>
      </c>
      <c r="P27" s="207"/>
      <c r="Q27" s="197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  <c r="AQ27" s="205"/>
    </row>
    <row r="28" spans="1:48" s="206" customFormat="1" x14ac:dyDescent="0.3">
      <c r="A28" s="195" t="s">
        <v>788</v>
      </c>
      <c r="B28" s="193">
        <v>21</v>
      </c>
      <c r="C28" s="193" t="s">
        <v>822</v>
      </c>
      <c r="D28" s="196">
        <f>'GERAL 2023'!G39</f>
        <v>580</v>
      </c>
      <c r="E28" s="192">
        <v>0</v>
      </c>
      <c r="F28" s="196">
        <f t="shared" si="7"/>
        <v>580</v>
      </c>
      <c r="G28" s="192">
        <v>25</v>
      </c>
      <c r="H28" s="192">
        <f t="shared" si="3"/>
        <v>49.9</v>
      </c>
      <c r="I28" s="192">
        <f>'GERAL 2023'!I39</f>
        <v>1.2516548463356973</v>
      </c>
      <c r="J28" s="192">
        <f t="shared" si="6"/>
        <v>1.1944444444444444</v>
      </c>
      <c r="K28" s="192">
        <v>19.7</v>
      </c>
      <c r="L28" s="191">
        <f t="shared" si="2"/>
        <v>677.04609929078015</v>
      </c>
      <c r="M28" s="192">
        <f t="shared" si="4"/>
        <v>47.393226950354617</v>
      </c>
      <c r="N28" s="192">
        <f t="shared" si="5"/>
        <v>629.65287234042557</v>
      </c>
      <c r="O28" s="193" t="s">
        <v>837</v>
      </c>
      <c r="P28" s="207">
        <v>10</v>
      </c>
      <c r="Q28" s="197">
        <v>11</v>
      </c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  <c r="AQ28" s="205"/>
    </row>
    <row r="29" spans="1:48" s="206" customFormat="1" ht="15.75" customHeight="1" x14ac:dyDescent="0.3">
      <c r="A29" s="195" t="s">
        <v>759</v>
      </c>
      <c r="B29" s="193">
        <v>22</v>
      </c>
      <c r="C29" s="193" t="s">
        <v>827</v>
      </c>
      <c r="D29" s="196">
        <f>'GERAL 2022'!G24</f>
        <v>500</v>
      </c>
      <c r="E29" s="192">
        <v>0</v>
      </c>
      <c r="F29" s="196">
        <f t="shared" si="7"/>
        <v>500</v>
      </c>
      <c r="G29" s="192">
        <v>25</v>
      </c>
      <c r="H29" s="192">
        <f t="shared" si="3"/>
        <v>49.9</v>
      </c>
      <c r="I29" s="192">
        <f>E91</f>
        <v>1.2516548463356973</v>
      </c>
      <c r="J29" s="192">
        <f t="shared" si="6"/>
        <v>1.1944444444444444</v>
      </c>
      <c r="K29" s="192">
        <f>E90</f>
        <v>19.543333333333333</v>
      </c>
      <c r="L29" s="191">
        <f t="shared" si="2"/>
        <v>596.8894326241134</v>
      </c>
      <c r="M29" s="192">
        <f t="shared" si="4"/>
        <v>41.78226028368794</v>
      </c>
      <c r="N29" s="192">
        <f t="shared" si="5"/>
        <v>555.10717234042545</v>
      </c>
      <c r="O29" s="193" t="s">
        <v>841</v>
      </c>
      <c r="P29" s="207">
        <v>10</v>
      </c>
      <c r="Q29" s="197">
        <v>11</v>
      </c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  <c r="AQ29" s="205"/>
    </row>
    <row r="30" spans="1:48" s="206" customFormat="1" ht="17.25" customHeight="1" x14ac:dyDescent="0.3">
      <c r="A30" s="195" t="s">
        <v>750</v>
      </c>
      <c r="B30" s="193">
        <v>23</v>
      </c>
      <c r="C30" s="193" t="s">
        <v>827</v>
      </c>
      <c r="D30" s="196">
        <f>'GERAL 2022'!G25</f>
        <v>550</v>
      </c>
      <c r="E30" s="192">
        <v>0</v>
      </c>
      <c r="F30" s="196">
        <f t="shared" si="7"/>
        <v>550</v>
      </c>
      <c r="G30" s="192">
        <v>0</v>
      </c>
      <c r="H30" s="192">
        <f t="shared" si="3"/>
        <v>49.9</v>
      </c>
      <c r="I30" s="192">
        <f>E93</f>
        <v>1.2516548463356973</v>
      </c>
      <c r="J30" s="192">
        <f t="shared" si="6"/>
        <v>1.1944444444444444</v>
      </c>
      <c r="K30" s="192">
        <f>E92</f>
        <v>19.641666666666666</v>
      </c>
      <c r="L30" s="191">
        <f t="shared" si="2"/>
        <v>621.98776595744675</v>
      </c>
      <c r="M30" s="192">
        <f t="shared" si="4"/>
        <v>43.539143617021274</v>
      </c>
      <c r="N30" s="192">
        <f t="shared" si="5"/>
        <v>578.44862234042546</v>
      </c>
      <c r="O30" s="193" t="s">
        <v>841</v>
      </c>
      <c r="P30" s="197">
        <v>10</v>
      </c>
      <c r="Q30" s="197">
        <v>11</v>
      </c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  <c r="AQ30" s="205"/>
    </row>
    <row r="31" spans="1:48" s="204" customFormat="1" ht="15" customHeight="1" x14ac:dyDescent="0.3">
      <c r="A31" s="209" t="s">
        <v>844</v>
      </c>
      <c r="B31" s="193">
        <v>24</v>
      </c>
      <c r="C31" s="209" t="s">
        <v>832</v>
      </c>
      <c r="D31" s="196">
        <f>'GERAL 2023'!G41/31*26</f>
        <v>570.32258064516122</v>
      </c>
      <c r="E31" s="192">
        <v>0</v>
      </c>
      <c r="F31" s="196">
        <f t="shared" si="7"/>
        <v>570.32258064516122</v>
      </c>
      <c r="G31" s="192">
        <f>25/31*26</f>
        <v>20.967741935483868</v>
      </c>
      <c r="H31" s="192">
        <f>(1347.3/27)/31*26</f>
        <v>41.851612903225806</v>
      </c>
      <c r="I31" s="192">
        <f>E77/31*26</f>
        <v>1.4696850453748187</v>
      </c>
      <c r="J31" s="192">
        <f>((193.5/27)/6)/31*26</f>
        <v>1.0017921146953404</v>
      </c>
      <c r="K31" s="192">
        <v>19.91</v>
      </c>
      <c r="L31" s="191">
        <f t="shared" si="2"/>
        <v>655.52341264394113</v>
      </c>
      <c r="M31" s="192">
        <f t="shared" si="4"/>
        <v>45.886638885075882</v>
      </c>
      <c r="N31" s="192">
        <f t="shared" si="5"/>
        <v>609.63677375886527</v>
      </c>
      <c r="O31" s="193" t="s">
        <v>843</v>
      </c>
      <c r="P31" s="207">
        <v>10</v>
      </c>
      <c r="Q31" s="197">
        <v>11</v>
      </c>
      <c r="R31" s="200"/>
      <c r="S31" s="200"/>
      <c r="T31" s="200"/>
      <c r="U31" s="200"/>
      <c r="V31" s="200"/>
      <c r="W31" s="200"/>
      <c r="X31" s="200"/>
      <c r="Y31" s="200"/>
      <c r="Z31" s="200"/>
    </row>
    <row r="32" spans="1:48" s="204" customFormat="1" ht="15" customHeight="1" x14ac:dyDescent="0.3">
      <c r="A32" s="206" t="s">
        <v>809</v>
      </c>
      <c r="B32" s="193">
        <v>25</v>
      </c>
      <c r="C32" s="209" t="s">
        <v>832</v>
      </c>
      <c r="D32" s="196">
        <f>'GERAL 2022'!G44</f>
        <v>610</v>
      </c>
      <c r="E32" s="192">
        <v>0</v>
      </c>
      <c r="F32" s="196">
        <f t="shared" si="7"/>
        <v>610</v>
      </c>
      <c r="G32" s="192">
        <v>0</v>
      </c>
      <c r="H32" s="192">
        <f t="shared" si="3"/>
        <v>49.9</v>
      </c>
      <c r="I32" s="192">
        <f>E97</f>
        <v>1.2516548463356973</v>
      </c>
      <c r="J32" s="192">
        <f t="shared" si="6"/>
        <v>1.1944444444444444</v>
      </c>
      <c r="K32" s="192">
        <f>'GERAL 2023'!K27</f>
        <v>19.754999999999999</v>
      </c>
      <c r="L32" s="191">
        <f t="shared" si="2"/>
        <v>682.1010992907801</v>
      </c>
      <c r="M32" s="192">
        <f t="shared" si="4"/>
        <v>47.747076950354611</v>
      </c>
      <c r="N32" s="192">
        <f t="shared" si="5"/>
        <v>634.35402234042544</v>
      </c>
      <c r="O32" s="193" t="s">
        <v>846</v>
      </c>
      <c r="P32" s="207">
        <v>10</v>
      </c>
      <c r="Q32" s="197">
        <v>11</v>
      </c>
      <c r="R32" s="200"/>
      <c r="S32" s="200"/>
      <c r="T32" s="200"/>
      <c r="U32" s="200"/>
      <c r="V32" s="200"/>
      <c r="W32" s="200"/>
      <c r="X32" s="200"/>
      <c r="Y32" s="200"/>
      <c r="Z32" s="200"/>
    </row>
    <row r="33" spans="1:61" s="206" customFormat="1" x14ac:dyDescent="0.3">
      <c r="A33" s="195" t="s">
        <v>751</v>
      </c>
      <c r="B33" s="193">
        <v>26</v>
      </c>
      <c r="C33" s="193" t="s">
        <v>827</v>
      </c>
      <c r="D33" s="196">
        <f>'GERAL 2022'!G28</f>
        <v>560</v>
      </c>
      <c r="E33" s="192">
        <v>0</v>
      </c>
      <c r="F33" s="196">
        <f t="shared" si="7"/>
        <v>560</v>
      </c>
      <c r="G33" s="192">
        <v>25</v>
      </c>
      <c r="H33" s="192">
        <f t="shared" si="3"/>
        <v>49.9</v>
      </c>
      <c r="I33" s="192">
        <f>E99</f>
        <v>1.2516548463356973</v>
      </c>
      <c r="J33" s="192">
        <f t="shared" si="6"/>
        <v>1.1944444444444444</v>
      </c>
      <c r="K33" s="192">
        <f>E98</f>
        <v>19.658333333333335</v>
      </c>
      <c r="L33" s="191">
        <f t="shared" si="2"/>
        <v>657.00443262411341</v>
      </c>
      <c r="M33" s="192">
        <f t="shared" si="4"/>
        <v>45.99031028368794</v>
      </c>
      <c r="N33" s="192">
        <f t="shared" si="5"/>
        <v>611.0141223404255</v>
      </c>
      <c r="O33" s="193" t="s">
        <v>841</v>
      </c>
      <c r="P33" s="197">
        <v>10</v>
      </c>
      <c r="Q33" s="197">
        <v>11</v>
      </c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  <c r="AC33" s="205"/>
      <c r="AD33" s="205"/>
      <c r="AE33" s="205"/>
      <c r="AF33" s="205"/>
      <c r="AG33" s="205"/>
      <c r="AH33" s="205"/>
      <c r="AI33" s="205"/>
      <c r="AJ33" s="205"/>
      <c r="AK33" s="205"/>
      <c r="AL33" s="205"/>
      <c r="AM33" s="205"/>
      <c r="AN33" s="205"/>
      <c r="AO33" s="205"/>
      <c r="AP33" s="205"/>
      <c r="AQ33" s="205"/>
    </row>
    <row r="34" spans="1:61" s="206" customFormat="1" x14ac:dyDescent="0.3">
      <c r="A34" s="195" t="s">
        <v>752</v>
      </c>
      <c r="B34" s="193">
        <v>27</v>
      </c>
      <c r="C34" s="216" t="s">
        <v>827</v>
      </c>
      <c r="D34" s="217">
        <f>'GERAL 2022'!G45</f>
        <v>580</v>
      </c>
      <c r="E34" s="210">
        <v>0</v>
      </c>
      <c r="F34" s="196">
        <f t="shared" si="7"/>
        <v>580</v>
      </c>
      <c r="G34" s="210">
        <v>0</v>
      </c>
      <c r="H34" s="192">
        <f t="shared" si="3"/>
        <v>49.9</v>
      </c>
      <c r="I34" s="210">
        <f>E101</f>
        <v>1.2516548463356973</v>
      </c>
      <c r="J34" s="192">
        <f>(193.5)/27/6</f>
        <v>1.1944444444444444</v>
      </c>
      <c r="K34" s="210">
        <f>E100</f>
        <v>19.696666666666669</v>
      </c>
      <c r="L34" s="191">
        <f t="shared" si="2"/>
        <v>652.04276595744682</v>
      </c>
      <c r="M34" s="192">
        <f t="shared" si="4"/>
        <v>45.642993617021283</v>
      </c>
      <c r="N34" s="192">
        <f>L34-M34</f>
        <v>606.39977234042556</v>
      </c>
      <c r="O34" s="193" t="s">
        <v>841</v>
      </c>
      <c r="P34" s="197">
        <v>10</v>
      </c>
      <c r="Q34" s="197">
        <v>11</v>
      </c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205"/>
    </row>
    <row r="35" spans="1:61" s="11" customFormat="1" x14ac:dyDescent="0.3">
      <c r="A35" s="518" t="s">
        <v>4</v>
      </c>
      <c r="B35" s="518"/>
      <c r="C35" s="95"/>
      <c r="D35" s="109">
        <f>SUM(D8:D34)</f>
        <v>13391.935483870968</v>
      </c>
      <c r="E35" s="109">
        <f t="shared" ref="E35:N35" si="8">SUM(E8:E34)</f>
        <v>0</v>
      </c>
      <c r="F35" s="109">
        <f t="shared" si="8"/>
        <v>13391.935483870968</v>
      </c>
      <c r="G35" s="109">
        <f t="shared" si="8"/>
        <v>637.9032258064517</v>
      </c>
      <c r="H35" s="109">
        <f t="shared" si="8"/>
        <v>1181.5032258064516</v>
      </c>
      <c r="I35" s="109">
        <f t="shared" si="8"/>
        <v>29.805535727903603</v>
      </c>
      <c r="J35" s="109">
        <f t="shared" si="8"/>
        <v>27.086917562724004</v>
      </c>
      <c r="K35" s="109">
        <f t="shared" si="8"/>
        <v>374.39500000000004</v>
      </c>
      <c r="L35" s="109">
        <f t="shared" si="8"/>
        <v>15642.629388774498</v>
      </c>
      <c r="M35" s="109">
        <f t="shared" si="8"/>
        <v>1094.984057214215</v>
      </c>
      <c r="N35" s="109">
        <f t="shared" si="8"/>
        <v>14547.645331560287</v>
      </c>
      <c r="O35" s="90"/>
      <c r="P35" s="3"/>
      <c r="Q35" s="3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</row>
    <row r="36" spans="1:61" s="11" customFormat="1" ht="28.5" customHeight="1" x14ac:dyDescent="0.3">
      <c r="A36" s="521" t="s">
        <v>836</v>
      </c>
      <c r="B36" s="521"/>
      <c r="C36" s="521"/>
      <c r="D36" s="521"/>
      <c r="E36" s="521"/>
      <c r="F36" s="521"/>
      <c r="G36" s="521"/>
      <c r="H36" s="521"/>
      <c r="I36" s="521"/>
      <c r="J36" s="521"/>
      <c r="K36" s="521"/>
      <c r="L36" s="521"/>
      <c r="M36" s="521"/>
      <c r="N36" s="521"/>
      <c r="O36" s="521"/>
      <c r="P36" s="521"/>
      <c r="Q36" s="521"/>
      <c r="R36" s="10"/>
      <c r="S36" s="10"/>
      <c r="T36" s="10"/>
      <c r="U36" s="10"/>
      <c r="V36" s="10"/>
      <c r="W36" s="10"/>
      <c r="X36" s="10"/>
      <c r="Y36" s="10"/>
      <c r="Z36" s="10"/>
    </row>
    <row r="37" spans="1:61" s="11" customFormat="1" ht="27.75" customHeight="1" x14ac:dyDescent="0.3">
      <c r="A37" s="127" t="s">
        <v>3</v>
      </c>
      <c r="B37" s="127" t="s">
        <v>0</v>
      </c>
      <c r="C37" s="127"/>
      <c r="D37" s="128" t="s">
        <v>174</v>
      </c>
      <c r="E37" s="555" t="s">
        <v>175</v>
      </c>
      <c r="F37" s="556"/>
      <c r="G37" s="556"/>
      <c r="H37" s="556"/>
      <c r="I37" s="556"/>
      <c r="J37" s="556"/>
      <c r="K37" s="557"/>
      <c r="L37" s="128" t="s">
        <v>4</v>
      </c>
      <c r="M37" s="128" t="s">
        <v>5</v>
      </c>
      <c r="N37" s="128" t="s">
        <v>70</v>
      </c>
      <c r="O37" s="127" t="s">
        <v>59</v>
      </c>
      <c r="P37" s="130" t="s">
        <v>8</v>
      </c>
      <c r="Q37" s="130" t="s">
        <v>10</v>
      </c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spans="1:61" s="199" customFormat="1" x14ac:dyDescent="0.3">
      <c r="A38" s="193"/>
      <c r="B38" s="193"/>
      <c r="C38" s="193"/>
      <c r="D38" s="192"/>
      <c r="E38" s="551"/>
      <c r="F38" s="580"/>
      <c r="G38" s="580"/>
      <c r="H38" s="580"/>
      <c r="I38" s="580"/>
      <c r="J38" s="580"/>
      <c r="K38" s="552"/>
      <c r="L38" s="192"/>
      <c r="M38" s="192"/>
      <c r="N38" s="192"/>
      <c r="O38" s="193"/>
      <c r="P38" s="197"/>
      <c r="Q38" s="197"/>
      <c r="R38" s="198"/>
      <c r="S38" s="198"/>
      <c r="T38" s="198"/>
      <c r="U38" s="198"/>
      <c r="V38" s="198"/>
      <c r="W38" s="198"/>
      <c r="X38" s="198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</row>
    <row r="39" spans="1:61" s="11" customFormat="1" x14ac:dyDescent="0.3">
      <c r="A39" s="518" t="s">
        <v>4</v>
      </c>
      <c r="B39" s="518"/>
      <c r="C39" s="518"/>
      <c r="D39" s="518"/>
      <c r="E39" s="518"/>
      <c r="F39" s="518"/>
      <c r="G39" s="518"/>
      <c r="H39" s="518"/>
      <c r="I39" s="518"/>
      <c r="J39" s="518"/>
      <c r="K39" s="518"/>
      <c r="L39" s="109">
        <f>SUM(L38:L38)</f>
        <v>0</v>
      </c>
      <c r="M39" s="109">
        <f>SUM(M38:M38)</f>
        <v>0</v>
      </c>
      <c r="N39" s="109">
        <f>SUM(N38:N38)</f>
        <v>0</v>
      </c>
      <c r="O39" s="527"/>
      <c r="P39" s="527"/>
      <c r="Q39" s="527"/>
      <c r="R39" s="10"/>
      <c r="S39" s="10"/>
      <c r="T39" s="10"/>
      <c r="U39" s="10"/>
      <c r="V39" s="10"/>
      <c r="W39" s="10"/>
      <c r="X39" s="10"/>
      <c r="Y39" s="10"/>
      <c r="Z39" s="10"/>
    </row>
    <row r="40" spans="1:61" s="11" customFormat="1" x14ac:dyDescent="0.3">
      <c r="A40" s="518"/>
      <c r="B40" s="518"/>
      <c r="C40" s="518"/>
      <c r="D40" s="518"/>
      <c r="E40" s="518"/>
      <c r="F40" s="518"/>
      <c r="G40" s="518"/>
      <c r="H40" s="518"/>
      <c r="I40" s="518"/>
      <c r="J40" s="518"/>
      <c r="K40" s="518"/>
      <c r="L40" s="518"/>
      <c r="M40" s="518"/>
      <c r="N40" s="518"/>
      <c r="O40" s="518"/>
      <c r="P40" s="109"/>
      <c r="Q40" s="109"/>
      <c r="R40" s="10"/>
      <c r="S40" s="10"/>
      <c r="T40" s="10"/>
      <c r="U40" s="10"/>
      <c r="V40" s="10"/>
      <c r="W40" s="10"/>
      <c r="X40" s="10"/>
      <c r="Y40" s="10"/>
      <c r="Z40" s="10"/>
    </row>
    <row r="41" spans="1:61" s="11" customFormat="1" ht="28.5" customHeight="1" x14ac:dyDescent="0.3">
      <c r="A41" s="521" t="s">
        <v>177</v>
      </c>
      <c r="B41" s="521"/>
      <c r="C41" s="521"/>
      <c r="D41" s="521"/>
      <c r="E41" s="521"/>
      <c r="F41" s="521"/>
      <c r="G41" s="521"/>
      <c r="H41" s="521"/>
      <c r="I41" s="521"/>
      <c r="J41" s="521"/>
      <c r="K41" s="521"/>
      <c r="L41" s="521"/>
      <c r="M41" s="521"/>
      <c r="N41" s="521"/>
      <c r="O41" s="521"/>
      <c r="P41" s="521"/>
      <c r="Q41" s="521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61" s="11" customFormat="1" ht="25.5" customHeight="1" x14ac:dyDescent="0.3">
      <c r="A42" s="126" t="s">
        <v>173</v>
      </c>
      <c r="B42" s="126" t="s">
        <v>0</v>
      </c>
      <c r="C42" s="126"/>
      <c r="D42" s="126" t="s">
        <v>174</v>
      </c>
      <c r="E42" s="521" t="s">
        <v>175</v>
      </c>
      <c r="F42" s="521"/>
      <c r="G42" s="521"/>
      <c r="H42" s="521"/>
      <c r="I42" s="521"/>
      <c r="J42" s="521"/>
      <c r="K42" s="521"/>
      <c r="L42" s="129" t="s">
        <v>4</v>
      </c>
      <c r="M42" s="128"/>
      <c r="N42" s="128"/>
      <c r="O42" s="127" t="s">
        <v>59</v>
      </c>
      <c r="P42" s="130" t="s">
        <v>8</v>
      </c>
      <c r="Q42" s="130" t="s">
        <v>10</v>
      </c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61" s="69" customFormat="1" ht="15" customHeight="1" x14ac:dyDescent="0.3">
      <c r="A43" s="4" t="s">
        <v>132</v>
      </c>
      <c r="B43" s="4">
        <v>1</v>
      </c>
      <c r="C43" s="4"/>
      <c r="D43" s="5">
        <f>4977.59-1520</f>
        <v>3457.59</v>
      </c>
      <c r="E43" s="546" t="s">
        <v>284</v>
      </c>
      <c r="F43" s="547"/>
      <c r="G43" s="547"/>
      <c r="H43" s="547"/>
      <c r="I43" s="547"/>
      <c r="J43" s="547"/>
      <c r="K43" s="548"/>
      <c r="L43" s="5">
        <f>4977.59-1520</f>
        <v>3457.59</v>
      </c>
      <c r="M43" s="5"/>
      <c r="N43" s="5"/>
      <c r="O43" s="5" t="s">
        <v>510</v>
      </c>
      <c r="P43" s="140">
        <v>10</v>
      </c>
      <c r="Q43" s="4">
        <v>11</v>
      </c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</row>
    <row r="44" spans="1:61" s="11" customFormat="1" x14ac:dyDescent="0.3">
      <c r="A44" s="90" t="s">
        <v>87</v>
      </c>
      <c r="B44" s="90">
        <v>25</v>
      </c>
      <c r="C44" s="90"/>
      <c r="D44" s="5">
        <v>3013.33</v>
      </c>
      <c r="E44" s="546" t="s">
        <v>543</v>
      </c>
      <c r="F44" s="547"/>
      <c r="G44" s="547"/>
      <c r="H44" s="547"/>
      <c r="I44" s="547"/>
      <c r="J44" s="547"/>
      <c r="K44" s="548"/>
      <c r="L44" s="5">
        <v>3040.58</v>
      </c>
      <c r="M44" s="2"/>
      <c r="N44" s="2"/>
      <c r="O44" s="5" t="s">
        <v>545</v>
      </c>
      <c r="P44" s="98">
        <v>10</v>
      </c>
      <c r="Q44" s="3">
        <v>11</v>
      </c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</row>
    <row r="45" spans="1:61" s="40" customFormat="1" ht="15" customHeight="1" thickBot="1" x14ac:dyDescent="0.35">
      <c r="A45" s="534" t="s">
        <v>4</v>
      </c>
      <c r="B45" s="549"/>
      <c r="C45" s="549"/>
      <c r="D45" s="549"/>
      <c r="E45" s="549"/>
      <c r="F45" s="549"/>
      <c r="G45" s="549"/>
      <c r="H45" s="549"/>
      <c r="I45" s="549"/>
      <c r="J45" s="549"/>
      <c r="K45" s="535"/>
      <c r="L45" s="114">
        <f>SUM(L43:L44)</f>
        <v>6498.17</v>
      </c>
      <c r="M45" s="90"/>
      <c r="N45" s="90"/>
      <c r="O45" s="90"/>
      <c r="P45" s="90"/>
      <c r="Q45" s="9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1"/>
      <c r="AV45" s="11"/>
      <c r="AW45" s="11"/>
      <c r="AX45" s="11"/>
    </row>
    <row r="46" spans="1:61" s="19" customFormat="1" x14ac:dyDescent="0.3">
      <c r="A46" s="179"/>
      <c r="B46" s="180"/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1"/>
      <c r="Q46" s="182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</row>
    <row r="47" spans="1:61" s="40" customFormat="1" x14ac:dyDescent="0.3">
      <c r="A47" s="575" t="s">
        <v>9</v>
      </c>
      <c r="B47" s="576"/>
      <c r="C47" s="576"/>
      <c r="D47" s="576"/>
      <c r="E47" s="577"/>
      <c r="F47" s="574"/>
      <c r="G47" s="540"/>
      <c r="H47" s="540"/>
      <c r="I47" s="46"/>
      <c r="J47" s="46"/>
      <c r="K47" s="46"/>
      <c r="L47" s="46"/>
      <c r="M47" s="46"/>
      <c r="N47" s="46"/>
      <c r="O47" s="544" t="s">
        <v>315</v>
      </c>
      <c r="P47" s="544"/>
      <c r="Q47" s="545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1"/>
      <c r="AV47" s="11"/>
      <c r="AW47" s="11"/>
      <c r="AX47" s="11"/>
    </row>
    <row r="48" spans="1:61" s="40" customFormat="1" x14ac:dyDescent="0.3">
      <c r="A48" s="76" t="s">
        <v>40</v>
      </c>
      <c r="B48" s="77">
        <f>'GERAL 2022'!J35</f>
        <v>118.18</v>
      </c>
      <c r="C48" s="77"/>
      <c r="D48" s="78">
        <v>6</v>
      </c>
      <c r="E48" s="77">
        <f t="shared" ref="E48:E101" si="9">B48/D48</f>
        <v>19.696666666666669</v>
      </c>
      <c r="F48" s="574"/>
      <c r="G48" s="540"/>
      <c r="H48" s="540"/>
      <c r="I48" s="11"/>
      <c r="J48" s="11"/>
      <c r="K48" s="11"/>
      <c r="L48" s="87"/>
      <c r="M48" s="87"/>
      <c r="N48" s="87"/>
      <c r="O48" s="527" t="s">
        <v>94</v>
      </c>
      <c r="P48" s="527"/>
      <c r="Q48" s="114">
        <f>M35+M39</f>
        <v>1094.984057214215</v>
      </c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1"/>
      <c r="AV48" s="11"/>
      <c r="AW48" s="11"/>
      <c r="AX48" s="11"/>
    </row>
    <row r="49" spans="1:50" s="40" customFormat="1" x14ac:dyDescent="0.3">
      <c r="A49" s="12" t="s">
        <v>46</v>
      </c>
      <c r="B49" s="2">
        <f>'GERAL 2023'!H3</f>
        <v>15.019858156028368</v>
      </c>
      <c r="C49" s="2"/>
      <c r="D49" s="88">
        <v>12</v>
      </c>
      <c r="E49" s="2">
        <f t="shared" si="9"/>
        <v>1.2516548463356973</v>
      </c>
      <c r="F49" s="574"/>
      <c r="G49" s="540"/>
      <c r="H49" s="540"/>
      <c r="I49" s="11"/>
      <c r="J49" s="11"/>
      <c r="K49" s="11"/>
      <c r="L49" s="14"/>
      <c r="M49" s="14"/>
      <c r="N49" s="14"/>
      <c r="O49" s="518" t="s">
        <v>260</v>
      </c>
      <c r="P49" s="518"/>
      <c r="Q49" s="114">
        <f>M5</f>
        <v>0</v>
      </c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1"/>
      <c r="AV49" s="11"/>
      <c r="AW49" s="11"/>
      <c r="AX49" s="11"/>
    </row>
    <row r="50" spans="1:50" s="40" customFormat="1" x14ac:dyDescent="0.3">
      <c r="A50" s="79" t="s">
        <v>29</v>
      </c>
      <c r="B50" s="80">
        <f>'GERAL 2022'!J4</f>
        <v>118.18</v>
      </c>
      <c r="C50" s="77"/>
      <c r="D50" s="78">
        <v>6</v>
      </c>
      <c r="E50" s="80">
        <f t="shared" si="9"/>
        <v>19.696666666666669</v>
      </c>
      <c r="F50" s="574"/>
      <c r="G50" s="540"/>
      <c r="H50" s="540"/>
      <c r="I50" s="11"/>
      <c r="J50" s="11"/>
      <c r="K50" s="11"/>
      <c r="L50" s="14"/>
      <c r="M50" s="14"/>
      <c r="N50" s="14"/>
      <c r="O50" s="520"/>
      <c r="P50" s="520"/>
      <c r="Q50" s="52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1"/>
      <c r="AV50" s="11"/>
      <c r="AW50" s="11"/>
      <c r="AX50" s="11"/>
    </row>
    <row r="51" spans="1:50" s="40" customFormat="1" x14ac:dyDescent="0.3">
      <c r="A51" s="12" t="s">
        <v>30</v>
      </c>
      <c r="B51" s="2">
        <f>'GERAL 2023'!H4</f>
        <v>15.019858156028368</v>
      </c>
      <c r="C51" s="2"/>
      <c r="D51" s="88">
        <v>12</v>
      </c>
      <c r="E51" s="2">
        <f t="shared" si="9"/>
        <v>1.2516548463356973</v>
      </c>
      <c r="F51" s="574"/>
      <c r="G51" s="540"/>
      <c r="H51" s="540"/>
      <c r="I51" s="11"/>
      <c r="J51" s="11"/>
      <c r="K51" s="11"/>
      <c r="L51" s="62"/>
      <c r="M51" s="62"/>
      <c r="N51" s="62"/>
      <c r="O51" s="520"/>
      <c r="P51" s="520"/>
      <c r="Q51" s="52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1"/>
      <c r="AV51" s="11"/>
      <c r="AW51" s="11"/>
      <c r="AX51" s="11"/>
    </row>
    <row r="52" spans="1:50" s="40" customFormat="1" ht="14.4" x14ac:dyDescent="0.3">
      <c r="A52" s="79" t="s">
        <v>65</v>
      </c>
      <c r="B52" s="80">
        <f>'GERAL 2022'!J5</f>
        <v>117.85</v>
      </c>
      <c r="C52" s="77"/>
      <c r="D52" s="78">
        <v>6</v>
      </c>
      <c r="E52" s="80">
        <f t="shared" si="9"/>
        <v>19.641666666666666</v>
      </c>
      <c r="F52" s="574"/>
      <c r="G52" s="540"/>
      <c r="H52" s="540"/>
      <c r="I52" s="11"/>
      <c r="J52" s="11"/>
      <c r="K52" s="11"/>
      <c r="L52" s="14"/>
      <c r="M52" s="14"/>
      <c r="N52" s="14"/>
      <c r="O52" s="529" t="s">
        <v>12</v>
      </c>
      <c r="P52" s="529"/>
      <c r="Q52" s="529"/>
      <c r="R52" s="175"/>
      <c r="S52" s="178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1"/>
      <c r="AV52" s="11"/>
      <c r="AW52" s="11"/>
      <c r="AX52" s="11"/>
    </row>
    <row r="53" spans="1:50" s="11" customFormat="1" ht="15" customHeight="1" x14ac:dyDescent="0.3">
      <c r="A53" s="12" t="s">
        <v>62</v>
      </c>
      <c r="B53" s="2">
        <f>'GERAL 2023'!H5</f>
        <v>15.019858156028368</v>
      </c>
      <c r="C53" s="2"/>
      <c r="D53" s="88">
        <v>12</v>
      </c>
      <c r="E53" s="2">
        <f t="shared" si="9"/>
        <v>1.2516548463356973</v>
      </c>
      <c r="F53" s="574"/>
      <c r="G53" s="540"/>
      <c r="H53" s="540"/>
      <c r="L53" s="63"/>
      <c r="M53" s="63"/>
      <c r="N53" s="63"/>
      <c r="O53" s="514" t="s">
        <v>567</v>
      </c>
      <c r="P53" s="514"/>
      <c r="Q53" s="192">
        <v>19.7</v>
      </c>
      <c r="R53" s="190"/>
      <c r="S53" s="178"/>
    </row>
    <row r="54" spans="1:50" s="11" customFormat="1" ht="14.4" x14ac:dyDescent="0.3">
      <c r="A54" s="79" t="s">
        <v>60</v>
      </c>
      <c r="B54" s="80">
        <f>'GERAL 2022'!J6</f>
        <v>117.85</v>
      </c>
      <c r="C54" s="77"/>
      <c r="D54" s="78">
        <v>6</v>
      </c>
      <c r="E54" s="80">
        <f t="shared" si="9"/>
        <v>19.641666666666666</v>
      </c>
      <c r="F54" s="574"/>
      <c r="G54" s="540"/>
      <c r="H54" s="540"/>
      <c r="L54" s="14"/>
      <c r="M54" s="14"/>
      <c r="N54" s="14"/>
      <c r="O54" s="514" t="s">
        <v>568</v>
      </c>
      <c r="P54" s="514"/>
      <c r="Q54" s="192">
        <v>19.64</v>
      </c>
      <c r="R54" s="175"/>
      <c r="S54" s="178"/>
    </row>
    <row r="55" spans="1:50" s="11" customFormat="1" ht="15" customHeight="1" x14ac:dyDescent="0.3">
      <c r="A55" s="12" t="s">
        <v>61</v>
      </c>
      <c r="B55" s="2">
        <f>'GERAL 2023'!H6</f>
        <v>15.019858156028368</v>
      </c>
      <c r="C55" s="2"/>
      <c r="D55" s="88">
        <v>12</v>
      </c>
      <c r="E55" s="2">
        <f t="shared" si="9"/>
        <v>1.2516548463356973</v>
      </c>
      <c r="F55" s="574"/>
      <c r="G55" s="540"/>
      <c r="H55" s="540"/>
      <c r="L55" s="63"/>
      <c r="M55" s="63"/>
      <c r="N55" s="63"/>
      <c r="O55" s="514" t="s">
        <v>269</v>
      </c>
      <c r="P55" s="514"/>
      <c r="Q55" s="192">
        <v>19.78</v>
      </c>
      <c r="R55" s="190"/>
      <c r="S55" s="178"/>
    </row>
    <row r="56" spans="1:50" s="11" customFormat="1" ht="14.4" x14ac:dyDescent="0.3">
      <c r="A56" s="79" t="s">
        <v>31</v>
      </c>
      <c r="B56" s="80">
        <f>'GERAL 2023'!J7</f>
        <v>118.18</v>
      </c>
      <c r="C56" s="77"/>
      <c r="D56" s="78">
        <v>6</v>
      </c>
      <c r="E56" s="80">
        <f>B56/D56</f>
        <v>19.696666666666669</v>
      </c>
      <c r="F56" s="574"/>
      <c r="G56" s="540"/>
      <c r="H56" s="540"/>
      <c r="L56" s="14"/>
      <c r="M56" s="14"/>
      <c r="N56" s="14"/>
      <c r="O56" s="514" t="s">
        <v>570</v>
      </c>
      <c r="P56" s="514"/>
      <c r="Q56" s="192">
        <v>19.760000000000002</v>
      </c>
      <c r="R56" s="175"/>
      <c r="S56" s="178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</row>
    <row r="57" spans="1:50" s="11" customFormat="1" ht="14.4" x14ac:dyDescent="0.3">
      <c r="A57" s="12" t="s">
        <v>32</v>
      </c>
      <c r="B57" s="2">
        <f>'GERAL 2023'!H7</f>
        <v>15.019858156028368</v>
      </c>
      <c r="C57" s="2"/>
      <c r="D57" s="88">
        <v>12</v>
      </c>
      <c r="E57" s="2">
        <f t="shared" si="9"/>
        <v>1.2516548463356973</v>
      </c>
      <c r="F57" s="574"/>
      <c r="G57" s="540"/>
      <c r="H57" s="540"/>
      <c r="L57" s="63"/>
      <c r="M57" s="63"/>
      <c r="N57" s="63"/>
      <c r="O57" s="514" t="s">
        <v>326</v>
      </c>
      <c r="P57" s="514"/>
      <c r="Q57" s="192">
        <v>19.7</v>
      </c>
      <c r="R57" s="175"/>
      <c r="S57" s="178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</row>
    <row r="58" spans="1:50" s="11" customFormat="1" ht="14.4" x14ac:dyDescent="0.3">
      <c r="A58" s="79" t="s">
        <v>57</v>
      </c>
      <c r="B58" s="80">
        <f>'GERAL 2022'!J36</f>
        <v>119.36</v>
      </c>
      <c r="C58" s="77"/>
      <c r="D58" s="78">
        <v>6</v>
      </c>
      <c r="E58" s="80">
        <f t="shared" si="9"/>
        <v>19.893333333333334</v>
      </c>
      <c r="F58" s="574"/>
      <c r="G58" s="540"/>
      <c r="H58" s="540"/>
      <c r="L58" s="14"/>
      <c r="M58" s="14"/>
      <c r="N58" s="14"/>
      <c r="O58" s="514" t="s">
        <v>182</v>
      </c>
      <c r="P58" s="514"/>
      <c r="Q58" s="192">
        <v>19.64</v>
      </c>
      <c r="R58" s="175"/>
      <c r="S58" s="185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</row>
    <row r="59" spans="1:50" s="11" customFormat="1" ht="14.4" x14ac:dyDescent="0.3">
      <c r="A59" s="12" t="s">
        <v>58</v>
      </c>
      <c r="B59" s="2">
        <f>'GERAL 2023'!H8</f>
        <v>21.027801418439715</v>
      </c>
      <c r="C59" s="2"/>
      <c r="D59" s="88">
        <v>12</v>
      </c>
      <c r="E59" s="2">
        <f t="shared" si="9"/>
        <v>1.7523167848699763</v>
      </c>
      <c r="F59" s="574"/>
      <c r="G59" s="540"/>
      <c r="H59" s="540"/>
      <c r="L59" s="14"/>
      <c r="M59" s="14"/>
      <c r="N59" s="14"/>
      <c r="O59" s="514" t="s">
        <v>847</v>
      </c>
      <c r="P59" s="514"/>
      <c r="Q59" s="192">
        <v>19.64</v>
      </c>
      <c r="R59" s="175"/>
      <c r="S59" s="185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</row>
    <row r="60" spans="1:50" s="11" customFormat="1" ht="14.4" x14ac:dyDescent="0.3">
      <c r="A60" s="79" t="s">
        <v>63</v>
      </c>
      <c r="B60" s="80">
        <f>'GERAL 2022'!J9</f>
        <v>118.18</v>
      </c>
      <c r="C60" s="77"/>
      <c r="D60" s="78">
        <v>6</v>
      </c>
      <c r="E60" s="80">
        <f t="shared" si="9"/>
        <v>19.696666666666669</v>
      </c>
      <c r="F60" s="574"/>
      <c r="G60" s="540"/>
      <c r="H60" s="540"/>
      <c r="L60" s="63"/>
      <c r="M60" s="63"/>
      <c r="N60" s="63"/>
      <c r="O60" s="514" t="s">
        <v>571</v>
      </c>
      <c r="P60" s="514"/>
      <c r="Q60" s="192">
        <v>19.64</v>
      </c>
      <c r="R60" s="175"/>
      <c r="S60" s="178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</row>
    <row r="61" spans="1:50" s="11" customFormat="1" ht="14.4" x14ac:dyDescent="0.3">
      <c r="A61" s="12" t="s">
        <v>64</v>
      </c>
      <c r="B61" s="2">
        <f>'GERAL 2023'!H9</f>
        <v>15.019858156028368</v>
      </c>
      <c r="C61" s="2"/>
      <c r="D61" s="88">
        <v>12</v>
      </c>
      <c r="E61" s="2">
        <f t="shared" si="9"/>
        <v>1.2516548463356973</v>
      </c>
      <c r="F61" s="574"/>
      <c r="G61" s="540"/>
      <c r="H61" s="540"/>
      <c r="L61" s="14"/>
      <c r="M61" s="14"/>
      <c r="N61" s="14"/>
      <c r="O61" s="514" t="s">
        <v>310</v>
      </c>
      <c r="P61" s="514"/>
      <c r="Q61" s="192">
        <v>19.7</v>
      </c>
      <c r="R61" s="175"/>
      <c r="S61" s="178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</row>
    <row r="62" spans="1:50" s="11" customFormat="1" ht="15" customHeight="1" x14ac:dyDescent="0.3">
      <c r="A62" s="79" t="s">
        <v>33</v>
      </c>
      <c r="B62" s="80">
        <f>'GERAL 2022'!J37</f>
        <v>118.18</v>
      </c>
      <c r="C62" s="77"/>
      <c r="D62" s="78">
        <v>6</v>
      </c>
      <c r="E62" s="80">
        <f t="shared" si="9"/>
        <v>19.696666666666669</v>
      </c>
      <c r="F62" s="574"/>
      <c r="G62" s="540"/>
      <c r="H62" s="540"/>
      <c r="L62" s="63"/>
      <c r="M62" s="63"/>
      <c r="N62" s="63"/>
      <c r="O62" s="514" t="s">
        <v>237</v>
      </c>
      <c r="P62" s="514"/>
      <c r="Q62" s="192">
        <v>19.84</v>
      </c>
      <c r="S62" s="14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</row>
    <row r="63" spans="1:50" s="11" customFormat="1" ht="14.4" x14ac:dyDescent="0.3">
      <c r="A63" s="12" t="s">
        <v>34</v>
      </c>
      <c r="B63" s="2">
        <f>'GERAL 2023'!H10</f>
        <v>15.019858156028368</v>
      </c>
      <c r="C63" s="2"/>
      <c r="D63" s="88">
        <v>12</v>
      </c>
      <c r="E63" s="2">
        <f t="shared" si="9"/>
        <v>1.2516548463356973</v>
      </c>
      <c r="F63" s="574"/>
      <c r="G63" s="540"/>
      <c r="H63" s="540"/>
      <c r="L63" s="14"/>
      <c r="M63" s="14"/>
      <c r="N63" s="14"/>
      <c r="O63" s="514" t="s">
        <v>204</v>
      </c>
      <c r="P63" s="514"/>
      <c r="Q63" s="192">
        <v>19.7</v>
      </c>
      <c r="R63" s="175"/>
      <c r="S63" s="178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</row>
    <row r="64" spans="1:50" s="11" customFormat="1" ht="14.4" x14ac:dyDescent="0.3">
      <c r="A64" s="79" t="s">
        <v>41</v>
      </c>
      <c r="B64" s="80">
        <f>'GERAL 2022'!J11</f>
        <v>118.18</v>
      </c>
      <c r="C64" s="77"/>
      <c r="D64" s="78">
        <v>6</v>
      </c>
      <c r="E64" s="80">
        <f t="shared" si="9"/>
        <v>19.696666666666669</v>
      </c>
      <c r="F64" s="574"/>
      <c r="G64" s="540"/>
      <c r="H64" s="540"/>
      <c r="L64" s="63"/>
      <c r="M64" s="63"/>
      <c r="N64" s="63"/>
      <c r="O64" s="514" t="s">
        <v>225</v>
      </c>
      <c r="P64" s="514"/>
      <c r="Q64" s="192">
        <v>19.760000000000002</v>
      </c>
      <c r="R64" s="175"/>
      <c r="S64" s="178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</row>
    <row r="65" spans="1:49" s="11" customFormat="1" ht="14.4" x14ac:dyDescent="0.3">
      <c r="A65" s="12" t="s">
        <v>42</v>
      </c>
      <c r="B65" s="2">
        <f>'GERAL 2023'!H11</f>
        <v>15.019858156028368</v>
      </c>
      <c r="C65" s="2"/>
      <c r="D65" s="88">
        <v>12</v>
      </c>
      <c r="E65" s="2">
        <f t="shared" si="9"/>
        <v>1.2516548463356973</v>
      </c>
      <c r="F65" s="574"/>
      <c r="G65" s="540"/>
      <c r="H65" s="540"/>
      <c r="O65" s="514" t="s">
        <v>485</v>
      </c>
      <c r="P65" s="514"/>
      <c r="Q65" s="192">
        <v>19.7</v>
      </c>
      <c r="R65" s="175"/>
      <c r="S65" s="178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</row>
    <row r="66" spans="1:49" s="11" customFormat="1" ht="14.4" x14ac:dyDescent="0.3">
      <c r="A66" s="79" t="s">
        <v>66</v>
      </c>
      <c r="B66" s="80">
        <f>'GERAL 2022'!J38</f>
        <v>117.85</v>
      </c>
      <c r="C66" s="77"/>
      <c r="D66" s="78">
        <v>6</v>
      </c>
      <c r="E66" s="80">
        <f t="shared" si="9"/>
        <v>19.641666666666666</v>
      </c>
      <c r="F66" s="574"/>
      <c r="G66" s="540"/>
      <c r="H66" s="540"/>
      <c r="L66" s="63"/>
      <c r="M66" s="63"/>
      <c r="N66" s="63"/>
      <c r="O66" s="514" t="s">
        <v>574</v>
      </c>
      <c r="P66" s="514"/>
      <c r="Q66" s="192">
        <v>19.54</v>
      </c>
      <c r="R66" s="175"/>
      <c r="S66" s="178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</row>
    <row r="67" spans="1:49" s="11" customFormat="1" ht="14.4" x14ac:dyDescent="0.3">
      <c r="A67" s="12" t="s">
        <v>67</v>
      </c>
      <c r="B67" s="2">
        <f>'GERAL 2023'!H12</f>
        <v>15.019858156028368</v>
      </c>
      <c r="C67" s="2"/>
      <c r="D67" s="88">
        <v>12</v>
      </c>
      <c r="E67" s="2">
        <f t="shared" si="9"/>
        <v>1.2516548463356973</v>
      </c>
      <c r="F67" s="574"/>
      <c r="G67" s="540"/>
      <c r="H67" s="540"/>
      <c r="L67" s="14"/>
      <c r="M67" s="14"/>
      <c r="N67" s="14"/>
      <c r="O67" s="514" t="s">
        <v>575</v>
      </c>
      <c r="P67" s="514"/>
      <c r="Q67" s="192">
        <v>19.64</v>
      </c>
      <c r="R67" s="175"/>
      <c r="S67" s="185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</row>
    <row r="68" spans="1:49" s="11" customFormat="1" ht="14.4" x14ac:dyDescent="0.3">
      <c r="A68" s="79" t="s">
        <v>14</v>
      </c>
      <c r="B68" s="80">
        <f>'GERAL 2022'!J13</f>
        <v>117.85</v>
      </c>
      <c r="C68" s="77"/>
      <c r="D68" s="78">
        <v>6</v>
      </c>
      <c r="E68" s="80">
        <f t="shared" si="9"/>
        <v>19.641666666666666</v>
      </c>
      <c r="F68" s="574"/>
      <c r="G68" s="540"/>
      <c r="H68" s="540"/>
      <c r="L68" s="63"/>
      <c r="M68" s="63"/>
      <c r="N68" s="63"/>
      <c r="O68" s="514" t="s">
        <v>271</v>
      </c>
      <c r="P68" s="514"/>
      <c r="Q68" s="192">
        <v>19.91</v>
      </c>
      <c r="R68" s="175"/>
      <c r="S68" s="176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</row>
    <row r="69" spans="1:49" s="11" customFormat="1" ht="14.4" x14ac:dyDescent="0.3">
      <c r="A69" s="12" t="s">
        <v>15</v>
      </c>
      <c r="B69" s="2">
        <f>'GERAL 2023'!H13</f>
        <v>15.019858156028368</v>
      </c>
      <c r="C69" s="2"/>
      <c r="D69" s="88">
        <v>12</v>
      </c>
      <c r="E69" s="2">
        <f t="shared" si="9"/>
        <v>1.2516548463356973</v>
      </c>
      <c r="F69" s="574"/>
      <c r="G69" s="540"/>
      <c r="H69" s="540"/>
      <c r="L69" s="14"/>
      <c r="M69" s="14"/>
      <c r="N69" s="14"/>
      <c r="O69" s="514" t="s">
        <v>112</v>
      </c>
      <c r="P69" s="514"/>
      <c r="Q69" s="192">
        <v>19.760000000000002</v>
      </c>
      <c r="R69" s="175"/>
      <c r="S69" s="176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</row>
    <row r="70" spans="1:49" s="11" customFormat="1" ht="14.4" x14ac:dyDescent="0.3">
      <c r="A70" s="79" t="s">
        <v>55</v>
      </c>
      <c r="B70" s="80">
        <f>'GERAL 2022'!J14</f>
        <v>117.85</v>
      </c>
      <c r="C70" s="77"/>
      <c r="D70" s="78">
        <v>6</v>
      </c>
      <c r="E70" s="80">
        <f t="shared" si="9"/>
        <v>19.641666666666666</v>
      </c>
      <c r="F70" s="574"/>
      <c r="G70" s="540"/>
      <c r="H70" s="540"/>
      <c r="L70" s="87"/>
      <c r="M70" s="87"/>
      <c r="N70" s="87"/>
      <c r="O70" s="514" t="s">
        <v>576</v>
      </c>
      <c r="P70" s="514"/>
      <c r="Q70" s="192">
        <v>19.66</v>
      </c>
      <c r="R70" s="175"/>
      <c r="S70" s="176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</row>
    <row r="71" spans="1:49" s="11" customFormat="1" ht="14.4" x14ac:dyDescent="0.3">
      <c r="A71" s="12" t="s">
        <v>56</v>
      </c>
      <c r="B71" s="2">
        <f>'GERAL 2023'!H14</f>
        <v>15.019858156028368</v>
      </c>
      <c r="C71" s="2"/>
      <c r="D71" s="88">
        <v>12</v>
      </c>
      <c r="E71" s="2">
        <f t="shared" si="9"/>
        <v>1.2516548463356973</v>
      </c>
      <c r="F71" s="574"/>
      <c r="G71" s="540"/>
      <c r="H71" s="540"/>
      <c r="O71" s="514" t="s">
        <v>189</v>
      </c>
      <c r="P71" s="514"/>
      <c r="Q71" s="192">
        <v>19.7</v>
      </c>
      <c r="R71" s="175"/>
      <c r="S71" s="176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</row>
    <row r="72" spans="1:49" s="11" customFormat="1" ht="14.4" x14ac:dyDescent="0.3">
      <c r="A72" s="79" t="s">
        <v>35</v>
      </c>
      <c r="B72" s="80">
        <f>'GERAL 2022'!J15</f>
        <v>117.85</v>
      </c>
      <c r="C72" s="77"/>
      <c r="D72" s="78">
        <v>6</v>
      </c>
      <c r="E72" s="80">
        <f t="shared" si="9"/>
        <v>19.641666666666666</v>
      </c>
      <c r="F72" s="574"/>
      <c r="G72" s="540"/>
      <c r="H72" s="540"/>
      <c r="O72" s="514" t="s">
        <v>126</v>
      </c>
      <c r="P72" s="514"/>
      <c r="Q72" s="192">
        <v>102.11</v>
      </c>
      <c r="R72" s="175"/>
      <c r="S72" s="176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</row>
    <row r="73" spans="1:49" s="11" customFormat="1" ht="14.4" x14ac:dyDescent="0.3">
      <c r="A73" s="12" t="s">
        <v>36</v>
      </c>
      <c r="B73" s="2">
        <f>'GERAL 2023'!H15</f>
        <v>15.019858156028368</v>
      </c>
      <c r="C73" s="2"/>
      <c r="D73" s="88">
        <v>12</v>
      </c>
      <c r="E73" s="2">
        <f t="shared" si="9"/>
        <v>1.2516548463356973</v>
      </c>
      <c r="F73" s="574"/>
      <c r="G73" s="540"/>
      <c r="H73" s="540"/>
      <c r="O73" s="583" t="s">
        <v>127</v>
      </c>
      <c r="P73" s="583"/>
      <c r="Q73" s="192">
        <v>1347.3</v>
      </c>
      <c r="R73" s="175"/>
      <c r="S73" s="178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</row>
    <row r="74" spans="1:49" s="11" customFormat="1" ht="14.4" x14ac:dyDescent="0.3">
      <c r="A74" s="79" t="s">
        <v>47</v>
      </c>
      <c r="B74" s="80">
        <f>'GERAL 2022'!J39</f>
        <v>118.18</v>
      </c>
      <c r="C74" s="77"/>
      <c r="D74" s="78">
        <v>6</v>
      </c>
      <c r="E74" s="80">
        <f t="shared" si="9"/>
        <v>19.696666666666669</v>
      </c>
      <c r="F74" s="574"/>
      <c r="G74" s="540"/>
      <c r="H74" s="540"/>
      <c r="L74" s="14"/>
      <c r="M74" s="14"/>
      <c r="N74" s="14"/>
      <c r="O74" s="514" t="s">
        <v>793</v>
      </c>
      <c r="P74" s="514"/>
      <c r="Q74" s="196">
        <v>25.08</v>
      </c>
      <c r="R74" s="175"/>
      <c r="S74" s="178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</row>
    <row r="75" spans="1:49" s="11" customFormat="1" ht="14.4" x14ac:dyDescent="0.3">
      <c r="A75" s="12" t="s">
        <v>48</v>
      </c>
      <c r="B75" s="2">
        <f>'GERAL 2023'!H16</f>
        <v>15.019858156028368</v>
      </c>
      <c r="C75" s="2"/>
      <c r="D75" s="88">
        <v>12</v>
      </c>
      <c r="E75" s="2">
        <f t="shared" si="9"/>
        <v>1.2516548463356973</v>
      </c>
      <c r="F75" s="574"/>
      <c r="G75" s="540"/>
      <c r="H75" s="540"/>
      <c r="L75" s="15"/>
      <c r="M75" s="15"/>
      <c r="N75" s="15"/>
      <c r="O75" s="581"/>
      <c r="P75" s="582"/>
      <c r="Q75" s="212"/>
      <c r="R75" s="175"/>
      <c r="S75" s="178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</row>
    <row r="76" spans="1:49" s="11" customFormat="1" ht="14.4" x14ac:dyDescent="0.3">
      <c r="A76" s="79" t="s">
        <v>16</v>
      </c>
      <c r="B76" s="80">
        <f>'GERAL 2023'!J36</f>
        <v>119.02</v>
      </c>
      <c r="C76" s="77"/>
      <c r="D76" s="78">
        <v>6</v>
      </c>
      <c r="E76" s="80">
        <f t="shared" si="9"/>
        <v>19.836666666666666</v>
      </c>
      <c r="F76" s="574"/>
      <c r="G76" s="540"/>
      <c r="H76" s="540"/>
      <c r="L76" s="14"/>
      <c r="M76" s="14"/>
      <c r="N76" s="14"/>
      <c r="O76" s="520"/>
      <c r="P76" s="520"/>
      <c r="Q76" s="5"/>
      <c r="R76" s="175"/>
      <c r="S76" s="178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</row>
    <row r="77" spans="1:49" s="11" customFormat="1" ht="14.4" x14ac:dyDescent="0.3">
      <c r="A77" s="12" t="s">
        <v>17</v>
      </c>
      <c r="B77" s="2">
        <f>'GERAL 2023'!H36</f>
        <v>21.027801418439715</v>
      </c>
      <c r="C77" s="2"/>
      <c r="D77" s="88">
        <v>12</v>
      </c>
      <c r="E77" s="2">
        <f t="shared" si="9"/>
        <v>1.7523167848699763</v>
      </c>
      <c r="F77" s="574"/>
      <c r="G77" s="540"/>
      <c r="H77" s="540"/>
      <c r="L77" s="14"/>
      <c r="M77" s="14"/>
      <c r="N77" s="14"/>
      <c r="O77" s="563"/>
      <c r="P77" s="563"/>
      <c r="Q77" s="141"/>
      <c r="R77" s="175"/>
      <c r="S77" s="178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</row>
    <row r="78" spans="1:49" s="11" customFormat="1" ht="14.4" x14ac:dyDescent="0.3">
      <c r="A78" s="79" t="s">
        <v>27</v>
      </c>
      <c r="B78" s="80">
        <f>'GERAL 2023'!J37</f>
        <v>118.68</v>
      </c>
      <c r="C78" s="77"/>
      <c r="D78" s="78">
        <v>6</v>
      </c>
      <c r="E78" s="80">
        <f t="shared" si="9"/>
        <v>19.78</v>
      </c>
      <c r="F78" s="574"/>
      <c r="G78" s="540"/>
      <c r="H78" s="540"/>
      <c r="L78" s="14"/>
      <c r="M78" s="14"/>
      <c r="N78" s="14"/>
      <c r="O78" s="520"/>
      <c r="P78" s="520"/>
      <c r="Q78" s="165"/>
      <c r="R78" s="175"/>
      <c r="S78" s="178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</row>
    <row r="79" spans="1:49" s="11" customFormat="1" x14ac:dyDescent="0.3">
      <c r="A79" s="12" t="s">
        <v>28</v>
      </c>
      <c r="B79" s="2">
        <f>'GERAL 2023'!H37</f>
        <v>15.019858156028368</v>
      </c>
      <c r="C79" s="2"/>
      <c r="D79" s="88">
        <v>12</v>
      </c>
      <c r="E79" s="2">
        <f t="shared" si="9"/>
        <v>1.2516548463356973</v>
      </c>
      <c r="F79" s="574"/>
      <c r="G79" s="540"/>
      <c r="H79" s="540"/>
      <c r="L79" s="14"/>
      <c r="M79" s="14"/>
      <c r="N79" s="14"/>
      <c r="O79" s="518" t="s">
        <v>26</v>
      </c>
      <c r="P79" s="518"/>
      <c r="Q79" s="109">
        <f>SUM(Q48:Q78)</f>
        <v>2943.8840572142153</v>
      </c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</row>
    <row r="80" spans="1:49" s="69" customFormat="1" x14ac:dyDescent="0.3">
      <c r="A80" s="79" t="s">
        <v>18</v>
      </c>
      <c r="B80" s="80">
        <f>'GERAL 2022'!J41</f>
        <v>118.18</v>
      </c>
      <c r="C80" s="77"/>
      <c r="D80" s="78">
        <v>6</v>
      </c>
      <c r="E80" s="80">
        <f t="shared" si="9"/>
        <v>19.696666666666669</v>
      </c>
      <c r="F80" s="574"/>
      <c r="G80" s="540"/>
      <c r="H80" s="540"/>
      <c r="I80" s="11"/>
      <c r="J80" s="11"/>
      <c r="K80" s="11"/>
      <c r="L80" s="14"/>
      <c r="M80" s="14"/>
      <c r="N80" s="14"/>
      <c r="O80" s="543"/>
      <c r="P80" s="543"/>
      <c r="Q80" s="135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s="69" customFormat="1" x14ac:dyDescent="0.3">
      <c r="A81" s="12" t="s">
        <v>19</v>
      </c>
      <c r="B81" s="2">
        <f>'GERAL 2023'!H19</f>
        <v>15.019858156028368</v>
      </c>
      <c r="C81" s="2"/>
      <c r="D81" s="88">
        <v>12</v>
      </c>
      <c r="E81" s="2">
        <f>B81/D81</f>
        <v>1.2516548463356973</v>
      </c>
      <c r="F81" s="574"/>
      <c r="G81" s="540"/>
      <c r="H81" s="540"/>
      <c r="I81" s="11"/>
      <c r="J81" s="11"/>
      <c r="K81" s="11"/>
      <c r="L81" s="14"/>
      <c r="M81" s="14"/>
      <c r="N81" s="14"/>
      <c r="O81" s="564" t="s">
        <v>11</v>
      </c>
      <c r="P81" s="565"/>
      <c r="Q81" s="153">
        <f>L5+L35+L39</f>
        <v>15642.629388774498</v>
      </c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s="69" customFormat="1" x14ac:dyDescent="0.3">
      <c r="A82" s="79" t="s">
        <v>37</v>
      </c>
      <c r="B82" s="80">
        <f>'GERAL 2022'!J42</f>
        <v>118.92</v>
      </c>
      <c r="C82" s="77"/>
      <c r="D82" s="78">
        <v>6</v>
      </c>
      <c r="E82" s="80">
        <f t="shared" si="9"/>
        <v>19.82</v>
      </c>
      <c r="F82" s="574"/>
      <c r="G82" s="540"/>
      <c r="H82" s="540"/>
      <c r="I82" s="11"/>
      <c r="J82" s="11"/>
      <c r="K82" s="11"/>
      <c r="L82" s="14"/>
      <c r="M82" s="14"/>
      <c r="N82" s="14"/>
      <c r="O82" s="518"/>
      <c r="P82" s="518"/>
      <c r="Q82" s="519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s="69" customFormat="1" x14ac:dyDescent="0.3">
      <c r="A83" s="12" t="s">
        <v>38</v>
      </c>
      <c r="B83" s="2">
        <f>'GERAL 2023'!H20</f>
        <v>15.019858156028368</v>
      </c>
      <c r="C83" s="2"/>
      <c r="D83" s="88">
        <v>12</v>
      </c>
      <c r="E83" s="2">
        <f t="shared" si="9"/>
        <v>1.2516548463356973</v>
      </c>
      <c r="F83" s="574"/>
      <c r="G83" s="540"/>
      <c r="H83" s="540"/>
      <c r="I83" s="11"/>
      <c r="J83" s="11"/>
      <c r="K83" s="11"/>
      <c r="L83" s="14"/>
      <c r="M83" s="14"/>
      <c r="N83" s="14"/>
      <c r="O83" s="513" t="s">
        <v>13</v>
      </c>
      <c r="P83" s="513"/>
      <c r="Q83" s="151">
        <f>Q81-Q79</f>
        <v>12698.745331560283</v>
      </c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s="69" customFormat="1" x14ac:dyDescent="0.3">
      <c r="A84" s="79" t="s">
        <v>45</v>
      </c>
      <c r="B84" s="80">
        <f>'GERAL 2022'!J43</f>
        <v>117.85</v>
      </c>
      <c r="C84" s="77"/>
      <c r="D84" s="78">
        <v>6</v>
      </c>
      <c r="E84" s="80">
        <f t="shared" si="9"/>
        <v>19.641666666666666</v>
      </c>
      <c r="F84" s="574"/>
      <c r="G84" s="540"/>
      <c r="H84" s="540"/>
      <c r="I84" s="11"/>
      <c r="J84" s="11"/>
      <c r="K84" s="11"/>
      <c r="L84" s="14"/>
      <c r="M84" s="14"/>
      <c r="N84" s="14"/>
      <c r="O84" s="124"/>
      <c r="P84" s="124"/>
      <c r="Q84" s="57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s="69" customFormat="1" x14ac:dyDescent="0.3">
      <c r="A85" s="12" t="s">
        <v>39</v>
      </c>
      <c r="B85" s="2">
        <f>'GERAL 2023'!H21</f>
        <v>15.019858156028368</v>
      </c>
      <c r="C85" s="2"/>
      <c r="D85" s="88">
        <v>12</v>
      </c>
      <c r="E85" s="2">
        <f t="shared" si="9"/>
        <v>1.2516548463356973</v>
      </c>
      <c r="F85" s="574"/>
      <c r="G85" s="540"/>
      <c r="H85" s="540"/>
      <c r="I85" s="11"/>
      <c r="J85" s="11"/>
      <c r="K85" s="11"/>
      <c r="L85" s="14"/>
      <c r="M85" s="14"/>
      <c r="N85" s="14"/>
      <c r="O85" s="124"/>
      <c r="P85" s="124"/>
      <c r="Q85" s="57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s="69" customFormat="1" x14ac:dyDescent="0.3">
      <c r="A86" s="81" t="s">
        <v>49</v>
      </c>
      <c r="B86" s="80">
        <f>'GERAL 2022'!J22</f>
        <v>119.12</v>
      </c>
      <c r="C86" s="77"/>
      <c r="D86" s="78">
        <v>6</v>
      </c>
      <c r="E86" s="80">
        <f t="shared" si="9"/>
        <v>19.853333333333335</v>
      </c>
      <c r="F86" s="574"/>
      <c r="G86" s="540"/>
      <c r="H86" s="540"/>
      <c r="I86" s="11"/>
      <c r="J86" s="11"/>
      <c r="K86" s="11"/>
      <c r="L86" s="14"/>
      <c r="M86" s="14"/>
      <c r="N86" s="14"/>
      <c r="O86" s="124"/>
      <c r="P86" s="124"/>
      <c r="Q86" s="57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s="69" customFormat="1" x14ac:dyDescent="0.3">
      <c r="A87" s="90" t="s">
        <v>50</v>
      </c>
      <c r="B87" s="2">
        <f>'GERAL 2023'!H22</f>
        <v>15.019858156028368</v>
      </c>
      <c r="C87" s="2"/>
      <c r="D87" s="88">
        <v>12</v>
      </c>
      <c r="E87" s="2">
        <f t="shared" si="9"/>
        <v>1.2516548463356973</v>
      </c>
      <c r="F87" s="574"/>
      <c r="G87" s="540"/>
      <c r="H87" s="540"/>
      <c r="I87" s="11"/>
      <c r="J87" s="11"/>
      <c r="K87" s="11"/>
      <c r="L87" s="14"/>
      <c r="M87" s="14"/>
      <c r="N87" s="14"/>
      <c r="O87" s="124"/>
      <c r="P87" s="124"/>
      <c r="Q87" s="57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s="69" customFormat="1" x14ac:dyDescent="0.3">
      <c r="A88" s="81" t="s">
        <v>43</v>
      </c>
      <c r="B88" s="80">
        <f>'GERAL 2022'!J23</f>
        <v>117.26</v>
      </c>
      <c r="C88" s="77"/>
      <c r="D88" s="78">
        <v>6</v>
      </c>
      <c r="E88" s="80">
        <f t="shared" si="9"/>
        <v>19.543333333333333</v>
      </c>
      <c r="F88" s="574"/>
      <c r="G88" s="540"/>
      <c r="H88" s="540"/>
      <c r="I88" s="11"/>
      <c r="J88" s="11"/>
      <c r="K88" s="11"/>
      <c r="L88" s="14"/>
      <c r="M88" s="14"/>
      <c r="N88" s="14"/>
      <c r="O88" s="15"/>
      <c r="P88" s="14"/>
      <c r="Q88" s="57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69" customFormat="1" x14ac:dyDescent="0.3">
      <c r="A89" s="90" t="s">
        <v>44</v>
      </c>
      <c r="B89" s="2">
        <f>'GERAL 2023'!H23</f>
        <v>15.019858156028368</v>
      </c>
      <c r="C89" s="2"/>
      <c r="D89" s="88">
        <v>12</v>
      </c>
      <c r="E89" s="2">
        <f t="shared" si="9"/>
        <v>1.2516548463356973</v>
      </c>
      <c r="F89" s="574"/>
      <c r="G89" s="540"/>
      <c r="H89" s="540"/>
      <c r="I89" s="11"/>
      <c r="J89" s="11"/>
      <c r="K89" s="11"/>
      <c r="L89" s="14"/>
      <c r="M89" s="14"/>
      <c r="N89" s="14"/>
      <c r="O89" s="11"/>
      <c r="P89" s="15"/>
      <c r="Q89" s="57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s="69" customFormat="1" x14ac:dyDescent="0.3">
      <c r="A90" s="81" t="s">
        <v>51</v>
      </c>
      <c r="B90" s="80">
        <f>'GERAL 2022'!J24</f>
        <v>117.26</v>
      </c>
      <c r="C90" s="77"/>
      <c r="D90" s="78">
        <v>6</v>
      </c>
      <c r="E90" s="80">
        <f t="shared" si="9"/>
        <v>19.543333333333333</v>
      </c>
      <c r="F90" s="574"/>
      <c r="G90" s="540"/>
      <c r="H90" s="540"/>
      <c r="I90" s="11"/>
      <c r="J90" s="11"/>
      <c r="K90" s="11"/>
      <c r="L90" s="14"/>
      <c r="M90" s="14"/>
      <c r="N90" s="14"/>
      <c r="O90" s="11"/>
      <c r="P90" s="11"/>
      <c r="Q90" s="57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s="69" customFormat="1" x14ac:dyDescent="0.3">
      <c r="A91" s="90" t="s">
        <v>52</v>
      </c>
      <c r="B91" s="2">
        <f>'GERAL 2023'!H24</f>
        <v>15.019858156028368</v>
      </c>
      <c r="C91" s="2"/>
      <c r="D91" s="88">
        <v>12</v>
      </c>
      <c r="E91" s="2">
        <f t="shared" si="9"/>
        <v>1.2516548463356973</v>
      </c>
      <c r="F91" s="574"/>
      <c r="G91" s="540"/>
      <c r="H91" s="540"/>
      <c r="L91" s="142"/>
      <c r="M91" s="142"/>
      <c r="N91" s="142"/>
      <c r="O91" s="14"/>
      <c r="P91" s="14"/>
      <c r="Q91" s="57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</row>
    <row r="92" spans="1:49" s="70" customFormat="1" x14ac:dyDescent="0.3">
      <c r="A92" s="81" t="s">
        <v>53</v>
      </c>
      <c r="B92" s="80">
        <f>'GERAL 2022'!J25</f>
        <v>117.85</v>
      </c>
      <c r="C92" s="77"/>
      <c r="D92" s="78">
        <v>6</v>
      </c>
      <c r="E92" s="80">
        <f t="shared" si="9"/>
        <v>19.641666666666666</v>
      </c>
      <c r="F92" s="574"/>
      <c r="G92" s="540"/>
      <c r="H92" s="540"/>
      <c r="I92" s="63"/>
      <c r="J92" s="63"/>
      <c r="K92" s="63"/>
      <c r="L92" s="69"/>
      <c r="M92" s="69"/>
      <c r="N92" s="69"/>
      <c r="O92" s="14"/>
      <c r="P92" s="15"/>
      <c r="Q92" s="57"/>
    </row>
    <row r="93" spans="1:49" s="70" customFormat="1" ht="15" customHeight="1" x14ac:dyDescent="0.3">
      <c r="A93" s="90" t="s">
        <v>54</v>
      </c>
      <c r="B93" s="2">
        <f>'GERAL 2023'!H25</f>
        <v>15.019858156028368</v>
      </c>
      <c r="C93" s="2"/>
      <c r="D93" s="88">
        <v>12</v>
      </c>
      <c r="E93" s="2">
        <f t="shared" si="9"/>
        <v>1.2516548463356973</v>
      </c>
      <c r="F93" s="574"/>
      <c r="G93" s="540"/>
      <c r="H93" s="540"/>
      <c r="I93" s="11"/>
      <c r="J93" s="11"/>
      <c r="K93" s="63"/>
      <c r="L93" s="142"/>
      <c r="M93" s="142"/>
      <c r="N93" s="142"/>
      <c r="O93" s="14"/>
      <c r="P93" s="11"/>
      <c r="Q93" s="57"/>
      <c r="AW93" s="69"/>
    </row>
    <row r="94" spans="1:49" s="70" customFormat="1" x14ac:dyDescent="0.3">
      <c r="A94" s="81" t="s">
        <v>78</v>
      </c>
      <c r="B94" s="80">
        <f>'GERAL 2022'!J26</f>
        <v>119.02</v>
      </c>
      <c r="C94" s="77"/>
      <c r="D94" s="78">
        <v>6</v>
      </c>
      <c r="E94" s="80">
        <f t="shared" si="9"/>
        <v>19.836666666666666</v>
      </c>
      <c r="F94" s="574"/>
      <c r="G94" s="540"/>
      <c r="H94" s="540"/>
      <c r="I94" s="142"/>
      <c r="J94" s="142"/>
      <c r="K94" s="142"/>
      <c r="L94" s="142"/>
      <c r="M94" s="142"/>
      <c r="N94" s="142"/>
      <c r="O94" s="14"/>
      <c r="P94" s="11"/>
      <c r="Q94" s="57"/>
      <c r="AW94" s="69"/>
    </row>
    <row r="95" spans="1:49" s="70" customFormat="1" x14ac:dyDescent="0.3">
      <c r="A95" s="90" t="s">
        <v>79</v>
      </c>
      <c r="B95" s="2">
        <f>'GERAL 2023'!H26</f>
        <v>21.027801418439715</v>
      </c>
      <c r="C95" s="2"/>
      <c r="D95" s="88">
        <v>12</v>
      </c>
      <c r="E95" s="2">
        <f t="shared" si="9"/>
        <v>1.7523167848699763</v>
      </c>
      <c r="F95" s="574"/>
      <c r="G95" s="540"/>
      <c r="H95" s="540"/>
      <c r="I95" s="11"/>
      <c r="J95" s="11"/>
      <c r="K95" s="63"/>
      <c r="L95" s="142"/>
      <c r="M95" s="142"/>
      <c r="N95" s="142"/>
      <c r="O95" s="11"/>
      <c r="P95" s="11"/>
      <c r="Q95" s="57"/>
      <c r="AW95" s="69"/>
    </row>
    <row r="96" spans="1:49" s="70" customFormat="1" x14ac:dyDescent="0.3">
      <c r="A96" s="81" t="s">
        <v>80</v>
      </c>
      <c r="B96" s="80">
        <f>'GERAL 2022'!J44</f>
        <v>118.53</v>
      </c>
      <c r="C96" s="77"/>
      <c r="D96" s="78">
        <v>6</v>
      </c>
      <c r="E96" s="80">
        <f t="shared" si="9"/>
        <v>19.754999999999999</v>
      </c>
      <c r="F96" s="574"/>
      <c r="G96" s="540"/>
      <c r="H96" s="540"/>
      <c r="I96" s="142"/>
      <c r="J96" s="142"/>
      <c r="K96" s="142"/>
      <c r="L96" s="142"/>
      <c r="M96" s="142"/>
      <c r="N96" s="142"/>
      <c r="O96" s="11"/>
      <c r="P96" s="14"/>
      <c r="Q96" s="57"/>
      <c r="AW96" s="69"/>
    </row>
    <row r="97" spans="1:49" s="70" customFormat="1" x14ac:dyDescent="0.3">
      <c r="A97" s="90" t="s">
        <v>81</v>
      </c>
      <c r="B97" s="2">
        <f>'GERAL 2023'!H27</f>
        <v>15.019858156028368</v>
      </c>
      <c r="C97" s="2"/>
      <c r="D97" s="88">
        <v>12</v>
      </c>
      <c r="E97" s="2">
        <f t="shared" si="9"/>
        <v>1.2516548463356973</v>
      </c>
      <c r="F97" s="574"/>
      <c r="G97" s="540"/>
      <c r="H97" s="540"/>
      <c r="I97" s="11"/>
      <c r="J97" s="11"/>
      <c r="K97" s="63"/>
      <c r="L97" s="142"/>
      <c r="M97" s="142"/>
      <c r="N97" s="142"/>
      <c r="O97" s="11"/>
      <c r="P97" s="14"/>
      <c r="Q97" s="57"/>
      <c r="AW97" s="69"/>
    </row>
    <row r="98" spans="1:49" s="70" customFormat="1" x14ac:dyDescent="0.3">
      <c r="A98" s="81" t="s">
        <v>82</v>
      </c>
      <c r="B98" s="80">
        <f>'GERAL 2022'!J28</f>
        <v>117.95</v>
      </c>
      <c r="C98" s="77"/>
      <c r="D98" s="78">
        <v>6</v>
      </c>
      <c r="E98" s="80">
        <f t="shared" si="9"/>
        <v>19.658333333333335</v>
      </c>
      <c r="F98" s="574"/>
      <c r="G98" s="540"/>
      <c r="H98" s="540"/>
      <c r="I98" s="142"/>
      <c r="J98" s="142"/>
      <c r="K98" s="142"/>
      <c r="L98" s="142"/>
      <c r="M98" s="142"/>
      <c r="N98" s="142"/>
      <c r="O98" s="11"/>
      <c r="P98" s="14"/>
      <c r="Q98" s="57"/>
      <c r="AW98" s="69"/>
    </row>
    <row r="99" spans="1:49" s="70" customFormat="1" x14ac:dyDescent="0.3">
      <c r="A99" s="90" t="s">
        <v>83</v>
      </c>
      <c r="B99" s="2">
        <f>'GERAL 2023'!H28</f>
        <v>15.019858156028368</v>
      </c>
      <c r="C99" s="2"/>
      <c r="D99" s="88">
        <v>12</v>
      </c>
      <c r="E99" s="2">
        <f t="shared" si="9"/>
        <v>1.2516548463356973</v>
      </c>
      <c r="F99" s="574"/>
      <c r="G99" s="540"/>
      <c r="H99" s="540"/>
      <c r="I99" s="11"/>
      <c r="J99" s="11"/>
      <c r="K99" s="63"/>
      <c r="L99" s="142"/>
      <c r="M99" s="142"/>
      <c r="N99" s="142"/>
      <c r="O99" s="11"/>
      <c r="P99" s="14"/>
      <c r="Q99" s="57"/>
      <c r="AW99" s="69"/>
    </row>
    <row r="100" spans="1:49" s="70" customFormat="1" x14ac:dyDescent="0.3">
      <c r="A100" s="81" t="s">
        <v>84</v>
      </c>
      <c r="B100" s="80">
        <f>'GERAL 2022'!J45</f>
        <v>118.18</v>
      </c>
      <c r="C100" s="77"/>
      <c r="D100" s="78">
        <v>6</v>
      </c>
      <c r="E100" s="80">
        <f t="shared" si="9"/>
        <v>19.696666666666669</v>
      </c>
      <c r="F100" s="574"/>
      <c r="G100" s="540"/>
      <c r="H100" s="540"/>
      <c r="I100" s="142"/>
      <c r="J100" s="142"/>
      <c r="K100" s="142"/>
      <c r="L100" s="142"/>
      <c r="M100" s="142"/>
      <c r="N100" s="142"/>
      <c r="O100" s="11"/>
      <c r="P100" s="11"/>
      <c r="Q100" s="57"/>
      <c r="AW100" s="69"/>
    </row>
    <row r="101" spans="1:49" s="70" customFormat="1" x14ac:dyDescent="0.3">
      <c r="A101" s="90" t="s">
        <v>85</v>
      </c>
      <c r="B101" s="2">
        <f>'GERAL 2023'!H29</f>
        <v>15.019858156028368</v>
      </c>
      <c r="C101" s="2"/>
      <c r="D101" s="88">
        <v>12</v>
      </c>
      <c r="E101" s="2">
        <f t="shared" si="9"/>
        <v>1.2516548463356973</v>
      </c>
      <c r="F101" s="574"/>
      <c r="G101" s="540"/>
      <c r="H101" s="540"/>
      <c r="I101" s="11"/>
      <c r="J101" s="11"/>
      <c r="K101" s="63"/>
      <c r="L101" s="142"/>
      <c r="M101" s="142"/>
      <c r="N101" s="142"/>
      <c r="O101" s="11"/>
      <c r="P101" s="11"/>
      <c r="Q101" s="57"/>
      <c r="AW101" s="69"/>
    </row>
    <row r="102" spans="1:49" s="70" customFormat="1" x14ac:dyDescent="0.3">
      <c r="A102" s="69"/>
      <c r="B102" s="189"/>
      <c r="C102" s="189"/>
      <c r="D102" s="189"/>
      <c r="E102" s="189"/>
      <c r="F102" s="574"/>
      <c r="G102" s="540"/>
      <c r="H102" s="540"/>
      <c r="I102" s="142"/>
      <c r="J102" s="142"/>
      <c r="K102" s="142"/>
      <c r="L102" s="142"/>
      <c r="M102" s="142"/>
      <c r="N102" s="142"/>
      <c r="O102" s="69"/>
      <c r="P102" s="69"/>
      <c r="Q102" s="69"/>
      <c r="AW102" s="69"/>
    </row>
    <row r="103" spans="1:49" s="70" customFormat="1" x14ac:dyDescent="0.3">
      <c r="A103" s="69"/>
      <c r="B103" s="69"/>
      <c r="C103" s="69"/>
      <c r="D103" s="69"/>
      <c r="E103" s="69"/>
      <c r="F103" s="69"/>
      <c r="G103" s="69"/>
      <c r="H103" s="69"/>
      <c r="I103" s="142"/>
      <c r="J103" s="142"/>
      <c r="K103" s="142"/>
      <c r="L103" s="142"/>
      <c r="M103" s="142"/>
      <c r="N103" s="142"/>
      <c r="O103" s="69"/>
      <c r="P103" s="69"/>
      <c r="Q103" s="69"/>
      <c r="AW103" s="69"/>
    </row>
    <row r="104" spans="1:49" s="70" customFormat="1" x14ac:dyDescent="0.3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142"/>
      <c r="M104" s="142"/>
      <c r="N104" s="142"/>
      <c r="O104" s="69"/>
      <c r="P104" s="69"/>
      <c r="Q104" s="69"/>
      <c r="AW104" s="69"/>
    </row>
    <row r="105" spans="1:49" s="70" customFormat="1" x14ac:dyDescent="0.3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142"/>
      <c r="M105" s="142"/>
      <c r="N105" s="142"/>
      <c r="O105" s="69"/>
      <c r="P105" s="69"/>
      <c r="Q105" s="69"/>
      <c r="AW105" s="69"/>
    </row>
    <row r="106" spans="1:49" s="70" customFormat="1" x14ac:dyDescent="0.3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142"/>
      <c r="M106" s="142"/>
      <c r="N106" s="142"/>
      <c r="O106" s="69"/>
      <c r="P106" s="69"/>
      <c r="Q106" s="69"/>
      <c r="AW106" s="69"/>
    </row>
    <row r="107" spans="1:49" s="70" customFormat="1" x14ac:dyDescent="0.3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142"/>
      <c r="M107" s="142"/>
      <c r="N107" s="142"/>
      <c r="O107" s="69"/>
      <c r="P107" s="69"/>
      <c r="Q107" s="69"/>
      <c r="AW107" s="69"/>
    </row>
    <row r="108" spans="1:49" s="70" customFormat="1" x14ac:dyDescent="0.3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142"/>
      <c r="M108" s="142"/>
      <c r="N108" s="142"/>
      <c r="O108" s="69"/>
      <c r="P108" s="69"/>
      <c r="Q108" s="69"/>
      <c r="AW108" s="69"/>
    </row>
    <row r="109" spans="1:49" s="70" customFormat="1" x14ac:dyDescent="0.3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142"/>
      <c r="M109" s="142"/>
      <c r="N109" s="142"/>
      <c r="O109" s="144"/>
      <c r="P109" s="69"/>
      <c r="Q109" s="69"/>
      <c r="AW109" s="69"/>
    </row>
    <row r="110" spans="1:49" s="70" customFormat="1" x14ac:dyDescent="0.3">
      <c r="F110" s="69"/>
      <c r="G110" s="69"/>
      <c r="H110" s="69"/>
      <c r="I110" s="69"/>
      <c r="J110" s="69"/>
      <c r="K110" s="69"/>
      <c r="L110" s="142"/>
      <c r="M110" s="142"/>
      <c r="N110" s="142"/>
      <c r="O110" s="144"/>
      <c r="P110" s="69"/>
      <c r="Q110" s="69"/>
      <c r="AW110" s="69"/>
    </row>
    <row r="111" spans="1:49" s="70" customFormat="1" x14ac:dyDescent="0.3">
      <c r="I111" s="69"/>
      <c r="J111" s="69"/>
      <c r="K111" s="69"/>
      <c r="L111" s="142"/>
      <c r="M111" s="142"/>
      <c r="N111" s="142"/>
      <c r="O111" s="144"/>
      <c r="P111" s="69"/>
      <c r="AW111" s="69"/>
    </row>
    <row r="112" spans="1:49" s="70" customFormat="1" x14ac:dyDescent="0.3">
      <c r="L112" s="142"/>
      <c r="M112" s="142"/>
      <c r="N112" s="142"/>
      <c r="O112" s="144"/>
      <c r="P112" s="69"/>
      <c r="AW112" s="69"/>
    </row>
    <row r="113" spans="12:49" s="70" customFormat="1" x14ac:dyDescent="0.3">
      <c r="L113" s="142"/>
      <c r="M113" s="142"/>
      <c r="N113" s="142"/>
      <c r="O113" s="144"/>
      <c r="P113" s="69"/>
      <c r="AW113" s="69"/>
    </row>
    <row r="114" spans="12:49" s="70" customFormat="1" x14ac:dyDescent="0.3">
      <c r="L114" s="142"/>
      <c r="M114" s="142"/>
      <c r="N114" s="142"/>
      <c r="O114" s="144"/>
      <c r="P114" s="144"/>
      <c r="AW114" s="69"/>
    </row>
    <row r="115" spans="12:49" s="70" customFormat="1" x14ac:dyDescent="0.3">
      <c r="L115" s="142"/>
      <c r="M115" s="142"/>
      <c r="N115" s="142"/>
      <c r="O115" s="144"/>
      <c r="P115" s="144"/>
      <c r="AW115" s="69"/>
    </row>
    <row r="116" spans="12:49" s="70" customFormat="1" x14ac:dyDescent="0.3">
      <c r="L116" s="142"/>
      <c r="M116" s="142"/>
      <c r="N116" s="142"/>
      <c r="O116" s="144"/>
      <c r="P116" s="144"/>
      <c r="AW116" s="69"/>
    </row>
    <row r="117" spans="12:49" s="70" customFormat="1" x14ac:dyDescent="0.3">
      <c r="L117" s="142"/>
      <c r="M117" s="142"/>
      <c r="N117" s="142"/>
      <c r="O117" s="144"/>
      <c r="P117" s="144"/>
      <c r="AW117" s="69"/>
    </row>
    <row r="118" spans="12:49" s="70" customFormat="1" x14ac:dyDescent="0.3">
      <c r="L118" s="142"/>
      <c r="M118" s="142"/>
      <c r="N118" s="142"/>
      <c r="O118" s="144"/>
      <c r="P118" s="144"/>
      <c r="AW118" s="69"/>
    </row>
    <row r="119" spans="12:49" s="70" customFormat="1" x14ac:dyDescent="0.3">
      <c r="L119" s="142"/>
      <c r="M119" s="142"/>
      <c r="N119" s="142"/>
      <c r="O119" s="144"/>
      <c r="P119" s="144"/>
      <c r="AW119" s="69"/>
    </row>
    <row r="120" spans="12:49" s="70" customFormat="1" x14ac:dyDescent="0.3">
      <c r="L120" s="142"/>
      <c r="M120" s="142"/>
      <c r="N120" s="142"/>
      <c r="O120" s="144"/>
      <c r="P120" s="144"/>
      <c r="AW120" s="69"/>
    </row>
    <row r="121" spans="12:49" s="70" customFormat="1" x14ac:dyDescent="0.3">
      <c r="L121" s="142"/>
      <c r="M121" s="142"/>
      <c r="N121" s="142"/>
      <c r="O121" s="144"/>
      <c r="P121" s="144"/>
      <c r="AW121" s="69"/>
    </row>
    <row r="122" spans="12:49" s="70" customFormat="1" x14ac:dyDescent="0.3">
      <c r="L122" s="142"/>
      <c r="M122" s="142"/>
      <c r="N122" s="142"/>
      <c r="O122" s="144"/>
      <c r="P122" s="144"/>
      <c r="AW122" s="69"/>
    </row>
    <row r="123" spans="12:49" s="70" customFormat="1" x14ac:dyDescent="0.3">
      <c r="L123" s="142"/>
      <c r="M123" s="142"/>
      <c r="N123" s="142"/>
      <c r="O123" s="144"/>
      <c r="P123" s="144"/>
      <c r="AW123" s="69"/>
    </row>
    <row r="124" spans="12:49" s="70" customFormat="1" x14ac:dyDescent="0.3">
      <c r="L124" s="142"/>
      <c r="M124" s="142"/>
      <c r="N124" s="142"/>
      <c r="O124" s="144"/>
      <c r="P124" s="144"/>
      <c r="AW124" s="69"/>
    </row>
    <row r="125" spans="12:49" s="70" customFormat="1" x14ac:dyDescent="0.3">
      <c r="L125" s="142"/>
      <c r="M125" s="142"/>
      <c r="N125" s="142"/>
      <c r="O125" s="144"/>
      <c r="P125" s="144"/>
      <c r="AW125" s="69"/>
    </row>
    <row r="126" spans="12:49" s="70" customFormat="1" x14ac:dyDescent="0.3">
      <c r="L126" s="142"/>
      <c r="M126" s="142"/>
      <c r="N126" s="142"/>
      <c r="O126" s="144"/>
      <c r="P126" s="144"/>
      <c r="AW126" s="69"/>
    </row>
    <row r="127" spans="12:49" s="70" customFormat="1" x14ac:dyDescent="0.3">
      <c r="L127" s="142"/>
      <c r="M127" s="142"/>
      <c r="N127" s="142"/>
      <c r="O127" s="144"/>
      <c r="P127" s="144"/>
      <c r="AW127" s="69"/>
    </row>
    <row r="128" spans="12:49" s="70" customFormat="1" x14ac:dyDescent="0.3">
      <c r="L128" s="142"/>
      <c r="M128" s="142"/>
      <c r="N128" s="142"/>
      <c r="O128" s="144"/>
      <c r="P128" s="144"/>
      <c r="AW128" s="69"/>
    </row>
    <row r="129" spans="12:49" s="70" customFormat="1" x14ac:dyDescent="0.3">
      <c r="L129" s="142"/>
      <c r="M129" s="142"/>
      <c r="N129" s="142"/>
      <c r="O129" s="144"/>
      <c r="P129" s="144"/>
      <c r="AW129" s="69"/>
    </row>
    <row r="130" spans="12:49" s="70" customFormat="1" x14ac:dyDescent="0.3">
      <c r="L130" s="142"/>
      <c r="M130" s="142"/>
      <c r="N130" s="142"/>
      <c r="O130" s="144"/>
      <c r="P130" s="144"/>
      <c r="AW130" s="69"/>
    </row>
    <row r="131" spans="12:49" s="70" customFormat="1" x14ac:dyDescent="0.3">
      <c r="L131" s="142"/>
      <c r="M131" s="142"/>
      <c r="N131" s="142"/>
      <c r="O131" s="144"/>
      <c r="P131" s="144"/>
      <c r="AW131" s="69"/>
    </row>
    <row r="132" spans="12:49" s="70" customFormat="1" x14ac:dyDescent="0.3">
      <c r="L132" s="142"/>
      <c r="M132" s="142"/>
      <c r="N132" s="142"/>
      <c r="O132" s="144"/>
      <c r="P132" s="144"/>
      <c r="AW132" s="69"/>
    </row>
    <row r="133" spans="12:49" s="70" customFormat="1" x14ac:dyDescent="0.3">
      <c r="L133" s="142"/>
      <c r="M133" s="142"/>
      <c r="N133" s="142"/>
      <c r="O133" s="144"/>
      <c r="P133" s="144"/>
      <c r="AW133" s="69"/>
    </row>
    <row r="134" spans="12:49" s="70" customFormat="1" x14ac:dyDescent="0.3">
      <c r="L134" s="142"/>
      <c r="M134" s="142"/>
      <c r="N134" s="142"/>
      <c r="O134" s="144"/>
      <c r="P134" s="144"/>
      <c r="AW134" s="69"/>
    </row>
    <row r="135" spans="12:49" s="70" customFormat="1" x14ac:dyDescent="0.3">
      <c r="L135" s="142"/>
      <c r="M135" s="142"/>
      <c r="N135" s="142"/>
      <c r="O135" s="144"/>
      <c r="P135" s="144"/>
      <c r="AW135" s="69"/>
    </row>
    <row r="136" spans="12:49" s="70" customFormat="1" x14ac:dyDescent="0.3">
      <c r="L136" s="142"/>
      <c r="M136" s="142"/>
      <c r="N136" s="142"/>
      <c r="O136" s="144"/>
      <c r="P136" s="144"/>
      <c r="AW136" s="69"/>
    </row>
    <row r="137" spans="12:49" s="70" customFormat="1" x14ac:dyDescent="0.3">
      <c r="L137" s="142"/>
      <c r="M137" s="142"/>
      <c r="N137" s="142"/>
      <c r="O137" s="144"/>
      <c r="P137" s="144"/>
      <c r="AW137" s="69"/>
    </row>
    <row r="138" spans="12:49" s="70" customFormat="1" x14ac:dyDescent="0.3">
      <c r="L138" s="142"/>
      <c r="M138" s="142"/>
      <c r="N138" s="142"/>
      <c r="O138" s="144"/>
      <c r="P138" s="144"/>
      <c r="AW138" s="69"/>
    </row>
    <row r="139" spans="12:49" s="70" customFormat="1" x14ac:dyDescent="0.3">
      <c r="L139" s="142"/>
      <c r="M139" s="142"/>
      <c r="N139" s="142"/>
      <c r="O139" s="144"/>
      <c r="P139" s="144"/>
      <c r="AW139" s="69"/>
    </row>
    <row r="140" spans="12:49" s="70" customFormat="1" x14ac:dyDescent="0.3">
      <c r="L140" s="142"/>
      <c r="M140" s="142"/>
      <c r="N140" s="142"/>
      <c r="O140" s="144"/>
      <c r="P140" s="144"/>
      <c r="AW140" s="69"/>
    </row>
    <row r="141" spans="12:49" s="70" customFormat="1" x14ac:dyDescent="0.3">
      <c r="L141" s="142"/>
      <c r="M141" s="142"/>
      <c r="N141" s="142"/>
      <c r="O141" s="144"/>
      <c r="P141" s="144"/>
      <c r="AW141" s="69"/>
    </row>
    <row r="142" spans="12:49" s="70" customFormat="1" x14ac:dyDescent="0.3">
      <c r="L142" s="142"/>
      <c r="M142" s="142"/>
      <c r="N142" s="142"/>
      <c r="O142" s="144"/>
      <c r="P142" s="144"/>
      <c r="AW142" s="69"/>
    </row>
    <row r="143" spans="12:49" s="70" customFormat="1" x14ac:dyDescent="0.3">
      <c r="L143" s="142"/>
      <c r="M143" s="142"/>
      <c r="N143" s="142"/>
      <c r="O143" s="144"/>
      <c r="P143" s="144"/>
      <c r="AW143" s="69"/>
    </row>
    <row r="144" spans="12:49" s="70" customFormat="1" x14ac:dyDescent="0.3">
      <c r="L144" s="142"/>
      <c r="M144" s="142"/>
      <c r="N144" s="142"/>
      <c r="O144" s="144"/>
      <c r="P144" s="144"/>
      <c r="AW144" s="69"/>
    </row>
    <row r="145" spans="12:49" s="70" customFormat="1" x14ac:dyDescent="0.3">
      <c r="L145" s="142"/>
      <c r="M145" s="142"/>
      <c r="N145" s="142"/>
      <c r="O145" s="144"/>
      <c r="P145" s="144"/>
      <c r="AW145" s="69"/>
    </row>
    <row r="146" spans="12:49" s="70" customFormat="1" x14ac:dyDescent="0.3">
      <c r="L146" s="142"/>
      <c r="M146" s="142"/>
      <c r="N146" s="142"/>
      <c r="O146" s="144"/>
      <c r="P146" s="144"/>
      <c r="AW146" s="69"/>
    </row>
    <row r="147" spans="12:49" s="70" customFormat="1" x14ac:dyDescent="0.3">
      <c r="L147" s="142"/>
      <c r="M147" s="142"/>
      <c r="N147" s="142"/>
      <c r="O147" s="144"/>
      <c r="P147" s="144"/>
      <c r="AW147" s="69"/>
    </row>
    <row r="148" spans="12:49" s="70" customFormat="1" x14ac:dyDescent="0.3">
      <c r="L148" s="142"/>
      <c r="M148" s="142"/>
      <c r="N148" s="142"/>
      <c r="O148" s="144"/>
      <c r="P148" s="144"/>
      <c r="AW148" s="69"/>
    </row>
    <row r="149" spans="12:49" s="70" customFormat="1" x14ac:dyDescent="0.3">
      <c r="L149" s="142"/>
      <c r="M149" s="142"/>
      <c r="N149" s="142"/>
      <c r="O149" s="144"/>
      <c r="P149" s="144"/>
      <c r="AW149" s="69"/>
    </row>
    <row r="150" spans="12:49" s="70" customFormat="1" x14ac:dyDescent="0.3">
      <c r="L150" s="142"/>
      <c r="M150" s="142"/>
      <c r="N150" s="142"/>
      <c r="O150" s="144"/>
      <c r="P150" s="144"/>
      <c r="AW150" s="69"/>
    </row>
    <row r="151" spans="12:49" s="70" customFormat="1" x14ac:dyDescent="0.3">
      <c r="L151" s="142"/>
      <c r="M151" s="142"/>
      <c r="N151" s="142"/>
      <c r="O151" s="144"/>
      <c r="P151" s="144"/>
      <c r="AW151" s="69"/>
    </row>
    <row r="152" spans="12:49" s="70" customFormat="1" x14ac:dyDescent="0.3">
      <c r="L152" s="142"/>
      <c r="M152" s="142"/>
      <c r="N152" s="142"/>
      <c r="O152" s="144"/>
      <c r="P152" s="144"/>
      <c r="AW152" s="69"/>
    </row>
    <row r="153" spans="12:49" s="70" customFormat="1" x14ac:dyDescent="0.3">
      <c r="L153" s="142"/>
      <c r="M153" s="142"/>
      <c r="N153" s="142"/>
      <c r="O153" s="144"/>
      <c r="P153" s="144"/>
      <c r="AW153" s="69"/>
    </row>
    <row r="154" spans="12:49" s="70" customFormat="1" x14ac:dyDescent="0.3">
      <c r="L154" s="142"/>
      <c r="M154" s="142"/>
      <c r="N154" s="142"/>
      <c r="O154" s="144"/>
      <c r="P154" s="144"/>
      <c r="AW154" s="69"/>
    </row>
    <row r="155" spans="12:49" s="70" customFormat="1" x14ac:dyDescent="0.3">
      <c r="L155" s="142"/>
      <c r="M155" s="142"/>
      <c r="N155" s="142"/>
      <c r="O155" s="144"/>
      <c r="P155" s="144"/>
      <c r="AW155" s="69"/>
    </row>
    <row r="156" spans="12:49" s="70" customFormat="1" x14ac:dyDescent="0.3">
      <c r="L156" s="142"/>
      <c r="M156" s="142"/>
      <c r="N156" s="142"/>
      <c r="O156" s="144"/>
      <c r="P156" s="144"/>
      <c r="AW156" s="69"/>
    </row>
    <row r="157" spans="12:49" s="70" customFormat="1" x14ac:dyDescent="0.3">
      <c r="L157" s="142"/>
      <c r="M157" s="142"/>
      <c r="N157" s="142"/>
      <c r="O157" s="144"/>
      <c r="P157" s="144"/>
      <c r="AW157" s="69"/>
    </row>
    <row r="158" spans="12:49" s="70" customFormat="1" x14ac:dyDescent="0.3">
      <c r="L158" s="142"/>
      <c r="M158" s="142"/>
      <c r="N158" s="142"/>
      <c r="O158" s="144"/>
      <c r="P158" s="144"/>
      <c r="AW158" s="69"/>
    </row>
    <row r="159" spans="12:49" s="70" customFormat="1" x14ac:dyDescent="0.3">
      <c r="L159" s="142"/>
      <c r="M159" s="142"/>
      <c r="N159" s="142"/>
      <c r="O159" s="144"/>
      <c r="P159" s="144"/>
      <c r="AW159" s="69"/>
    </row>
    <row r="160" spans="12:49" s="70" customFormat="1" x14ac:dyDescent="0.3">
      <c r="L160" s="142"/>
      <c r="M160" s="142"/>
      <c r="N160" s="142"/>
      <c r="O160" s="144"/>
      <c r="P160" s="144"/>
      <c r="AW160" s="69"/>
    </row>
    <row r="161" spans="1:50" s="70" customFormat="1" x14ac:dyDescent="0.3">
      <c r="L161" s="142"/>
      <c r="M161" s="142"/>
      <c r="N161" s="142"/>
      <c r="O161" s="144"/>
      <c r="P161" s="144"/>
      <c r="AW161" s="69"/>
    </row>
    <row r="162" spans="1:50" s="70" customFormat="1" x14ac:dyDescent="0.3">
      <c r="L162" s="142"/>
      <c r="M162" s="142"/>
      <c r="N162" s="142"/>
      <c r="O162" s="144"/>
      <c r="P162" s="144"/>
      <c r="AW162" s="69"/>
    </row>
    <row r="163" spans="1:50" s="70" customFormat="1" x14ac:dyDescent="0.3">
      <c r="L163" s="142"/>
      <c r="M163" s="142"/>
      <c r="N163" s="142"/>
      <c r="O163" s="144"/>
      <c r="P163" s="144"/>
      <c r="AW163" s="69"/>
    </row>
    <row r="164" spans="1:50" s="70" customFormat="1" x14ac:dyDescent="0.3">
      <c r="L164" s="142"/>
      <c r="M164" s="142"/>
      <c r="N164" s="142"/>
      <c r="O164" s="144"/>
      <c r="P164" s="144"/>
      <c r="AW164" s="69"/>
    </row>
    <row r="165" spans="1:50" s="70" customFormat="1" x14ac:dyDescent="0.3">
      <c r="L165" s="142"/>
      <c r="M165" s="142"/>
      <c r="N165" s="142"/>
      <c r="O165" s="144"/>
      <c r="P165" s="144"/>
      <c r="AW165" s="69"/>
    </row>
    <row r="166" spans="1:50" s="70" customFormat="1" x14ac:dyDescent="0.3">
      <c r="L166" s="142"/>
      <c r="M166" s="142"/>
      <c r="N166" s="142"/>
      <c r="O166" s="144"/>
      <c r="P166" s="144"/>
      <c r="AW166" s="69"/>
    </row>
    <row r="167" spans="1:50" s="145" customFormat="1" x14ac:dyDescent="0.3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142"/>
      <c r="M167" s="142"/>
      <c r="N167" s="142"/>
      <c r="O167" s="144"/>
      <c r="P167" s="144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69"/>
      <c r="AX167" s="70"/>
    </row>
    <row r="168" spans="1:50" s="145" customFormat="1" x14ac:dyDescent="0.3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142"/>
      <c r="M168" s="142"/>
      <c r="N168" s="142"/>
      <c r="O168" s="144"/>
      <c r="P168" s="144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69"/>
      <c r="AX168" s="70"/>
    </row>
    <row r="169" spans="1:50" s="145" customFormat="1" x14ac:dyDescent="0.3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142"/>
      <c r="M169" s="142"/>
      <c r="N169" s="142"/>
      <c r="O169" s="144"/>
      <c r="P169" s="144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69"/>
      <c r="AX169" s="70"/>
    </row>
    <row r="170" spans="1:50" s="145" customFormat="1" x14ac:dyDescent="0.3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142"/>
      <c r="M170" s="142"/>
      <c r="N170" s="142"/>
      <c r="O170" s="144"/>
      <c r="P170" s="144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69"/>
      <c r="AX170" s="70"/>
    </row>
    <row r="171" spans="1:50" s="145" customFormat="1" x14ac:dyDescent="0.3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142"/>
      <c r="M171" s="142"/>
      <c r="N171" s="142"/>
      <c r="O171" s="144"/>
      <c r="P171" s="144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69"/>
      <c r="AX171" s="70"/>
    </row>
    <row r="172" spans="1:50" s="145" customFormat="1" x14ac:dyDescent="0.3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142"/>
      <c r="M172" s="142"/>
      <c r="N172" s="142"/>
      <c r="O172" s="144"/>
      <c r="P172" s="144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69"/>
      <c r="AX172" s="70"/>
    </row>
    <row r="173" spans="1:50" s="145" customFormat="1" x14ac:dyDescent="0.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142"/>
      <c r="M173" s="142"/>
      <c r="N173" s="142"/>
      <c r="O173" s="144"/>
      <c r="P173" s="144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69"/>
      <c r="AX173" s="70"/>
    </row>
    <row r="174" spans="1:50" s="145" customFormat="1" x14ac:dyDescent="0.3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142"/>
      <c r="M174" s="142"/>
      <c r="N174" s="142"/>
      <c r="O174" s="144"/>
      <c r="P174" s="144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69"/>
      <c r="AX174" s="70"/>
    </row>
    <row r="175" spans="1:50" s="145" customFormat="1" x14ac:dyDescent="0.3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142"/>
      <c r="M175" s="142"/>
      <c r="N175" s="142"/>
      <c r="O175" s="144"/>
      <c r="P175" s="144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69"/>
      <c r="AX175" s="70"/>
    </row>
    <row r="176" spans="1:50" s="145" customFormat="1" x14ac:dyDescent="0.3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142"/>
      <c r="M176" s="142"/>
      <c r="N176" s="142"/>
      <c r="O176" s="144"/>
      <c r="P176" s="144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69"/>
      <c r="AX176" s="70"/>
    </row>
    <row r="177" spans="1:50" s="145" customFormat="1" x14ac:dyDescent="0.3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142"/>
      <c r="M177" s="142"/>
      <c r="N177" s="142"/>
      <c r="O177" s="144"/>
      <c r="P177" s="144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69"/>
      <c r="AX177" s="70"/>
    </row>
    <row r="178" spans="1:50" s="145" customFormat="1" x14ac:dyDescent="0.3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142"/>
      <c r="M178" s="142"/>
      <c r="N178" s="142"/>
      <c r="O178" s="144"/>
      <c r="P178" s="144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69"/>
      <c r="AX178" s="70"/>
    </row>
    <row r="179" spans="1:50" s="145" customFormat="1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146"/>
      <c r="M179" s="146"/>
      <c r="N179" s="146"/>
      <c r="O179" s="144"/>
      <c r="P179" s="144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69"/>
      <c r="AX179" s="70"/>
    </row>
    <row r="180" spans="1:50" s="145" customFormat="1" x14ac:dyDescent="0.3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146"/>
      <c r="M180" s="146"/>
      <c r="N180" s="146"/>
      <c r="O180" s="144"/>
      <c r="P180" s="144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69"/>
      <c r="AX180" s="70"/>
    </row>
    <row r="181" spans="1:50" s="145" customFormat="1" x14ac:dyDescent="0.3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146"/>
      <c r="M181" s="146"/>
      <c r="N181" s="146"/>
      <c r="O181" s="144"/>
      <c r="P181" s="144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69"/>
      <c r="AX181" s="70"/>
    </row>
    <row r="182" spans="1:50" s="145" customFormat="1" x14ac:dyDescent="0.3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146"/>
      <c r="M182" s="146"/>
      <c r="N182" s="146"/>
      <c r="O182" s="144"/>
      <c r="P182" s="144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69"/>
      <c r="AX182" s="70"/>
    </row>
    <row r="183" spans="1:50" s="145" customFormat="1" x14ac:dyDescent="0.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146"/>
      <c r="M183" s="146"/>
      <c r="N183" s="146"/>
      <c r="O183" s="144"/>
      <c r="P183" s="144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69"/>
      <c r="AX183" s="70"/>
    </row>
    <row r="184" spans="1:50" x14ac:dyDescent="0.3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146"/>
      <c r="M184" s="146"/>
      <c r="N184" s="146"/>
      <c r="O184" s="144"/>
      <c r="P184" s="144"/>
      <c r="Q184" s="70"/>
      <c r="AW184" s="148"/>
      <c r="AX184" s="148"/>
    </row>
    <row r="185" spans="1:50" x14ac:dyDescent="0.3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146"/>
      <c r="M185" s="146"/>
      <c r="N185" s="146"/>
      <c r="O185" s="144"/>
      <c r="P185" s="144"/>
      <c r="Q185" s="70"/>
      <c r="AW185" s="148"/>
      <c r="AX185" s="148"/>
    </row>
    <row r="186" spans="1:50" x14ac:dyDescent="0.3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146"/>
      <c r="M186" s="146"/>
      <c r="N186" s="146"/>
      <c r="O186" s="147"/>
      <c r="P186" s="144"/>
      <c r="Q186" s="70"/>
      <c r="AW186" s="148"/>
      <c r="AX186" s="148"/>
    </row>
    <row r="187" spans="1:50" x14ac:dyDescent="0.3">
      <c r="A187" s="149"/>
      <c r="B187" s="149"/>
      <c r="C187" s="149"/>
      <c r="D187" s="149"/>
      <c r="E187" s="149"/>
      <c r="F187" s="70"/>
      <c r="G187" s="70"/>
      <c r="H187" s="70"/>
      <c r="I187" s="70"/>
      <c r="J187" s="70"/>
      <c r="K187" s="70"/>
      <c r="L187" s="146"/>
      <c r="M187" s="146"/>
      <c r="N187" s="146"/>
      <c r="O187" s="147"/>
      <c r="P187" s="144"/>
      <c r="Q187" s="70"/>
      <c r="AW187" s="148"/>
      <c r="AX187" s="148"/>
    </row>
    <row r="188" spans="1:50" x14ac:dyDescent="0.3">
      <c r="A188" s="149"/>
      <c r="B188" s="149"/>
      <c r="C188" s="149"/>
      <c r="D188" s="149"/>
      <c r="E188" s="149"/>
      <c r="F188" s="149"/>
      <c r="G188" s="149"/>
      <c r="H188" s="149"/>
      <c r="I188" s="70"/>
      <c r="J188" s="70"/>
      <c r="K188" s="70"/>
      <c r="L188" s="146"/>
      <c r="M188" s="146"/>
      <c r="N188" s="146"/>
      <c r="O188" s="147"/>
      <c r="P188" s="144"/>
      <c r="Q188" s="70"/>
      <c r="AW188" s="148"/>
      <c r="AX188" s="148"/>
    </row>
    <row r="189" spans="1:50" x14ac:dyDescent="0.3">
      <c r="A189" s="149"/>
      <c r="B189" s="149"/>
      <c r="C189" s="149"/>
      <c r="D189" s="149"/>
      <c r="E189" s="149"/>
      <c r="F189" s="149"/>
      <c r="G189" s="149"/>
      <c r="H189" s="149"/>
      <c r="I189" s="149"/>
      <c r="J189" s="149"/>
      <c r="K189" s="149"/>
      <c r="L189" s="146"/>
      <c r="M189" s="146"/>
      <c r="N189" s="146"/>
      <c r="O189" s="147"/>
      <c r="P189" s="144"/>
      <c r="Q189" s="149"/>
      <c r="AW189" s="148"/>
      <c r="AX189" s="148"/>
    </row>
    <row r="190" spans="1:50" x14ac:dyDescent="0.3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6"/>
      <c r="M190" s="146"/>
      <c r="N190" s="146"/>
      <c r="O190" s="147"/>
      <c r="P190" s="144"/>
      <c r="Q190" s="149"/>
      <c r="AW190" s="148"/>
      <c r="AX190" s="148"/>
    </row>
    <row r="191" spans="1:50" x14ac:dyDescent="0.3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6"/>
      <c r="M191" s="146"/>
      <c r="N191" s="146"/>
      <c r="O191" s="147"/>
      <c r="P191" s="147"/>
      <c r="Q191" s="149"/>
      <c r="AW191" s="148"/>
      <c r="AX191" s="148"/>
    </row>
    <row r="192" spans="1:50" x14ac:dyDescent="0.3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6"/>
      <c r="M192" s="146"/>
      <c r="N192" s="146"/>
      <c r="O192" s="147"/>
      <c r="P192" s="147"/>
      <c r="Q192" s="149"/>
      <c r="AW192" s="148"/>
      <c r="AX192" s="148"/>
    </row>
    <row r="193" spans="1:50" x14ac:dyDescent="0.3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6"/>
      <c r="M193" s="146"/>
      <c r="N193" s="146"/>
      <c r="O193" s="147"/>
      <c r="P193" s="147"/>
      <c r="Q193" s="149"/>
      <c r="AW193" s="148"/>
      <c r="AX193" s="148"/>
    </row>
    <row r="194" spans="1:50" x14ac:dyDescent="0.3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6"/>
      <c r="M194" s="146"/>
      <c r="N194" s="146"/>
      <c r="O194" s="147"/>
      <c r="P194" s="147"/>
      <c r="Q194" s="149"/>
      <c r="AW194" s="148"/>
      <c r="AX194" s="148"/>
    </row>
    <row r="195" spans="1:50" x14ac:dyDescent="0.3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6"/>
      <c r="M195" s="146"/>
      <c r="N195" s="146"/>
      <c r="O195" s="147"/>
      <c r="P195" s="147"/>
      <c r="Q195" s="149"/>
      <c r="AW195" s="148"/>
      <c r="AX195" s="148"/>
    </row>
    <row r="196" spans="1:50" x14ac:dyDescent="0.3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O196" s="147"/>
      <c r="P196" s="147"/>
      <c r="Q196" s="149"/>
    </row>
    <row r="197" spans="1:50" x14ac:dyDescent="0.3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O197" s="147"/>
      <c r="P197" s="147"/>
      <c r="Q197" s="14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69"/>
      <c r="AJ197" s="69"/>
      <c r="AK197" s="69"/>
      <c r="AL197" s="69"/>
      <c r="AM197" s="69"/>
      <c r="AN197" s="69"/>
      <c r="AO197" s="69"/>
      <c r="AP197" s="69"/>
      <c r="AQ197" s="69"/>
      <c r="AR197" s="69"/>
      <c r="AS197" s="69"/>
      <c r="AT197" s="69"/>
      <c r="AU197" s="69"/>
      <c r="AV197" s="69"/>
      <c r="AW197" s="148"/>
      <c r="AX197" s="148"/>
    </row>
    <row r="198" spans="1:50" x14ac:dyDescent="0.3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O198" s="147"/>
      <c r="P198" s="147"/>
      <c r="Q198" s="149"/>
    </row>
    <row r="199" spans="1:50" x14ac:dyDescent="0.3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O199" s="147"/>
      <c r="P199" s="147"/>
      <c r="Q199" s="149"/>
    </row>
    <row r="200" spans="1:50" x14ac:dyDescent="0.3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  <c r="O200" s="147"/>
      <c r="P200" s="147"/>
      <c r="Q200" s="149"/>
    </row>
    <row r="201" spans="1:50" x14ac:dyDescent="0.3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  <c r="O201" s="147"/>
      <c r="P201" s="147"/>
    </row>
    <row r="202" spans="1:50" x14ac:dyDescent="0.3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  <c r="O202" s="147"/>
      <c r="P202" s="147"/>
    </row>
    <row r="203" spans="1:50" x14ac:dyDescent="0.3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  <c r="P203" s="147"/>
    </row>
    <row r="204" spans="1:50" x14ac:dyDescent="0.3">
      <c r="F204" s="149"/>
      <c r="G204" s="149"/>
      <c r="H204" s="149"/>
      <c r="I204" s="149"/>
      <c r="J204" s="149"/>
      <c r="K204" s="149"/>
      <c r="P204" s="147"/>
    </row>
    <row r="205" spans="1:50" x14ac:dyDescent="0.3">
      <c r="I205" s="149"/>
      <c r="J205" s="149"/>
      <c r="K205" s="149"/>
      <c r="P205" s="147"/>
    </row>
    <row r="206" spans="1:50" x14ac:dyDescent="0.3">
      <c r="P206" s="147"/>
    </row>
    <row r="207" spans="1:50" x14ac:dyDescent="0.3">
      <c r="O207" s="148"/>
      <c r="P207" s="147"/>
    </row>
    <row r="209" spans="12:14" x14ac:dyDescent="0.3">
      <c r="L209" s="148"/>
      <c r="M209" s="148"/>
      <c r="N209" s="148"/>
    </row>
    <row r="1048541" spans="1:61" s="70" customFormat="1" x14ac:dyDescent="0.3">
      <c r="A1048541" s="148"/>
      <c r="B1048541" s="148"/>
      <c r="C1048541" s="148"/>
      <c r="D1048541" s="148"/>
      <c r="E1048541" s="148"/>
      <c r="F1048541" s="148"/>
      <c r="G1048541" s="148"/>
      <c r="H1048541" s="148"/>
      <c r="I1048541" s="148"/>
      <c r="J1048541" s="148"/>
      <c r="K1048541" s="148"/>
      <c r="L1048541" s="150"/>
      <c r="M1048541" s="150"/>
      <c r="N1048541" s="150"/>
      <c r="O1048541" s="150"/>
      <c r="P1048541" s="150"/>
      <c r="Q1048541" s="148"/>
      <c r="AW1048541" s="69"/>
      <c r="AX1048541" s="69"/>
      <c r="AY1048541" s="148"/>
      <c r="AZ1048541" s="148"/>
      <c r="BA1048541" s="148"/>
      <c r="BB1048541" s="148"/>
      <c r="BC1048541" s="148"/>
      <c r="BD1048541" s="148"/>
      <c r="BE1048541" s="148"/>
      <c r="BF1048541" s="148"/>
      <c r="BG1048541" s="148"/>
      <c r="BH1048541" s="148"/>
      <c r="BI1048541" s="148"/>
    </row>
    <row r="1048545" spans="17:17" x14ac:dyDescent="0.3">
      <c r="Q1048545" s="57"/>
    </row>
  </sheetData>
  <mergeCells count="54">
    <mergeCell ref="O82:Q82"/>
    <mergeCell ref="O83:P83"/>
    <mergeCell ref="O55:P55"/>
    <mergeCell ref="O68:P68"/>
    <mergeCell ref="O61:P61"/>
    <mergeCell ref="O69:P69"/>
    <mergeCell ref="O76:P76"/>
    <mergeCell ref="O77:P77"/>
    <mergeCell ref="O78:P78"/>
    <mergeCell ref="O79:P79"/>
    <mergeCell ref="O80:P80"/>
    <mergeCell ref="O81:P81"/>
    <mergeCell ref="O70:P70"/>
    <mergeCell ref="O71:P71"/>
    <mergeCell ref="O72:P72"/>
    <mergeCell ref="O73:P73"/>
    <mergeCell ref="O74:P74"/>
    <mergeCell ref="O75:P75"/>
    <mergeCell ref="O62:P62"/>
    <mergeCell ref="O63:P63"/>
    <mergeCell ref="O64:P64"/>
    <mergeCell ref="O65:P65"/>
    <mergeCell ref="O66:P66"/>
    <mergeCell ref="O67:P67"/>
    <mergeCell ref="O60:P60"/>
    <mergeCell ref="O47:Q47"/>
    <mergeCell ref="O48:P48"/>
    <mergeCell ref="O49:P49"/>
    <mergeCell ref="O50:Q51"/>
    <mergeCell ref="O52:Q52"/>
    <mergeCell ref="O53:P53"/>
    <mergeCell ref="O54:P54"/>
    <mergeCell ref="O56:P56"/>
    <mergeCell ref="O57:P57"/>
    <mergeCell ref="O58:P58"/>
    <mergeCell ref="O59:P59"/>
    <mergeCell ref="E42:K42"/>
    <mergeCell ref="E43:K43"/>
    <mergeCell ref="E44:K44"/>
    <mergeCell ref="A45:K45"/>
    <mergeCell ref="A47:E47"/>
    <mergeCell ref="F47:H102"/>
    <mergeCell ref="A41:Q41"/>
    <mergeCell ref="A1:Q1"/>
    <mergeCell ref="A2:Q2"/>
    <mergeCell ref="A5:B5"/>
    <mergeCell ref="A6:Q6"/>
    <mergeCell ref="A35:B35"/>
    <mergeCell ref="A36:Q36"/>
    <mergeCell ref="E37:K37"/>
    <mergeCell ref="E38:K38"/>
    <mergeCell ref="A39:K39"/>
    <mergeCell ref="O39:Q39"/>
    <mergeCell ref="A40:O40"/>
  </mergeCells>
  <pageMargins left="0" right="0" top="0" bottom="0" header="0.31496062992125984" footer="0.31496062992125984"/>
  <pageSetup paperSize="9" scale="1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4CB4B-7239-4F77-831D-7AD7ADD1CDFF}">
  <sheetPr>
    <pageSetUpPr fitToPage="1"/>
  </sheetPr>
  <dimension ref="A1:BI1048542"/>
  <sheetViews>
    <sheetView zoomScale="70" zoomScaleNormal="70" workbookViewId="0">
      <selection activeCell="E60" sqref="E60"/>
    </sheetView>
  </sheetViews>
  <sheetFormatPr defaultColWidth="9.109375" defaultRowHeight="13.8" x14ac:dyDescent="0.3"/>
  <cols>
    <col min="1" max="1" width="52.109375" style="148" customWidth="1"/>
    <col min="2" max="2" width="11.109375" style="148" bestFit="1" customWidth="1"/>
    <col min="3" max="3" width="19" style="148" customWidth="1"/>
    <col min="4" max="4" width="17.6640625" style="148" bestFit="1" customWidth="1"/>
    <col min="5" max="5" width="15.44140625" style="148" bestFit="1" customWidth="1"/>
    <col min="6" max="6" width="17.6640625" style="148" bestFit="1" customWidth="1"/>
    <col min="7" max="7" width="16" style="148" customWidth="1"/>
    <col min="8" max="8" width="16.6640625" style="148" bestFit="1" customWidth="1"/>
    <col min="9" max="10" width="13.109375" style="148" bestFit="1" customWidth="1"/>
    <col min="11" max="11" width="15.5546875" style="148" bestFit="1" customWidth="1"/>
    <col min="12" max="12" width="18.109375" style="150" bestFit="1" customWidth="1"/>
    <col min="13" max="13" width="16.6640625" style="150" bestFit="1" customWidth="1"/>
    <col min="14" max="14" width="17.33203125" style="150" bestFit="1" customWidth="1"/>
    <col min="15" max="15" width="92.33203125" style="150" bestFit="1" customWidth="1"/>
    <col min="16" max="16" width="8.88671875" style="150" customWidth="1"/>
    <col min="17" max="17" width="18.109375" style="148" bestFit="1" customWidth="1"/>
    <col min="18" max="19" width="13.109375" style="70" bestFit="1" customWidth="1"/>
    <col min="20" max="48" width="9.109375" style="70"/>
    <col min="49" max="50" width="9.109375" style="69"/>
    <col min="51" max="16384" width="9.109375" style="148"/>
  </cols>
  <sheetData>
    <row r="1" spans="1:43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</row>
    <row r="2" spans="1:43" s="10" customFormat="1" ht="28.5" customHeight="1" x14ac:dyDescent="0.3">
      <c r="A2" s="571" t="s">
        <v>849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3"/>
    </row>
    <row r="3" spans="1:43" s="10" customFormat="1" ht="30.75" customHeight="1" x14ac:dyDescent="0.3">
      <c r="A3" s="83" t="s">
        <v>3</v>
      </c>
      <c r="B3" s="83" t="s">
        <v>0</v>
      </c>
      <c r="C3" s="83" t="s">
        <v>821</v>
      </c>
      <c r="D3" s="84" t="s">
        <v>1</v>
      </c>
      <c r="E3" s="84" t="s">
        <v>68</v>
      </c>
      <c r="F3" s="84" t="s">
        <v>69</v>
      </c>
      <c r="G3" s="85" t="s">
        <v>2</v>
      </c>
      <c r="H3" s="85" t="s">
        <v>592</v>
      </c>
      <c r="I3" s="84" t="s">
        <v>6</v>
      </c>
      <c r="J3" s="84" t="s">
        <v>764</v>
      </c>
      <c r="K3" s="84" t="s">
        <v>7</v>
      </c>
      <c r="L3" s="84" t="s">
        <v>4</v>
      </c>
      <c r="M3" s="84" t="s">
        <v>5</v>
      </c>
      <c r="N3" s="84" t="s">
        <v>70</v>
      </c>
      <c r="O3" s="83" t="s">
        <v>59</v>
      </c>
      <c r="P3" s="86" t="s">
        <v>8</v>
      </c>
      <c r="Q3" s="86" t="s">
        <v>10</v>
      </c>
    </row>
    <row r="4" spans="1:43" s="199" customFormat="1" ht="15" customHeight="1" x14ac:dyDescent="0.3">
      <c r="A4" s="193" t="s">
        <v>842</v>
      </c>
      <c r="B4" s="193">
        <v>4</v>
      </c>
      <c r="C4" s="193" t="s">
        <v>832</v>
      </c>
      <c r="D4" s="196">
        <f>'GERAL 2023'!G40</f>
        <v>610</v>
      </c>
      <c r="E4" s="196">
        <v>0</v>
      </c>
      <c r="F4" s="196">
        <f>D4-E4</f>
        <v>610</v>
      </c>
      <c r="G4" s="192">
        <f>50</f>
        <v>50</v>
      </c>
      <c r="H4" s="192">
        <f>(1412.1/27)</f>
        <v>52.3</v>
      </c>
      <c r="I4" s="192">
        <f>'GERAL 2023'!I40</f>
        <v>1.2516548463356973</v>
      </c>
      <c r="J4" s="192">
        <f>((193.5/27)/6)</f>
        <v>1.1944444444444444</v>
      </c>
      <c r="K4" s="192">
        <v>19.760000000000002</v>
      </c>
      <c r="L4" s="191">
        <f>SUM(F4:K4)</f>
        <v>734.50609929078007</v>
      </c>
      <c r="M4" s="192">
        <f>60%*(D4+G4)</f>
        <v>396</v>
      </c>
      <c r="N4" s="192">
        <f>L4-M4</f>
        <v>338.50609929078007</v>
      </c>
      <c r="O4" s="193" t="s">
        <v>851</v>
      </c>
      <c r="P4" s="197">
        <v>10</v>
      </c>
      <c r="Q4" s="194">
        <v>11</v>
      </c>
      <c r="R4" s="198"/>
      <c r="S4" s="198"/>
      <c r="T4" s="198"/>
      <c r="U4" s="198"/>
      <c r="V4" s="198"/>
      <c r="W4" s="198"/>
      <c r="X4" s="198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8"/>
      <c r="AK4" s="198"/>
      <c r="AL4" s="198"/>
      <c r="AM4" s="198"/>
      <c r="AN4" s="198"/>
      <c r="AO4" s="198"/>
      <c r="AP4" s="198"/>
      <c r="AQ4" s="198"/>
    </row>
    <row r="5" spans="1:43" s="204" customFormat="1" ht="15" customHeight="1" x14ac:dyDescent="0.3">
      <c r="A5" s="193" t="s">
        <v>844</v>
      </c>
      <c r="B5" s="193">
        <v>24</v>
      </c>
      <c r="C5" s="193" t="s">
        <v>832</v>
      </c>
      <c r="D5" s="196">
        <f>'GERAL 2023'!G41</f>
        <v>680</v>
      </c>
      <c r="E5" s="192">
        <v>0</v>
      </c>
      <c r="F5" s="196">
        <f>D5-E5</f>
        <v>680</v>
      </c>
      <c r="G5" s="192">
        <f>25</f>
        <v>25</v>
      </c>
      <c r="H5" s="192">
        <f>(1412.1/27)</f>
        <v>52.3</v>
      </c>
      <c r="I5" s="192">
        <f>'GERAL 2023'!I41</f>
        <v>1.7523167848699763</v>
      </c>
      <c r="J5" s="192">
        <f>((193.5/27)/6)</f>
        <v>1.1944444444444444</v>
      </c>
      <c r="K5" s="192">
        <v>19.89</v>
      </c>
      <c r="L5" s="191">
        <f>SUM(F5:K5)</f>
        <v>780.1367612293144</v>
      </c>
      <c r="M5" s="192">
        <f>60%*(D5+G5)</f>
        <v>423</v>
      </c>
      <c r="N5" s="192">
        <f>L5-M5</f>
        <v>357.1367612293144</v>
      </c>
      <c r="O5" s="193" t="s">
        <v>850</v>
      </c>
      <c r="P5" s="207">
        <v>10</v>
      </c>
      <c r="Q5" s="197">
        <v>11</v>
      </c>
      <c r="R5" s="200"/>
      <c r="S5" s="200"/>
      <c r="T5" s="200"/>
      <c r="U5" s="200"/>
      <c r="V5" s="200"/>
      <c r="W5" s="200"/>
      <c r="X5" s="200"/>
      <c r="Y5" s="200"/>
      <c r="Z5" s="200"/>
    </row>
    <row r="6" spans="1:43" s="10" customFormat="1" x14ac:dyDescent="0.3">
      <c r="A6" s="518" t="s">
        <v>4</v>
      </c>
      <c r="B6" s="518"/>
      <c r="C6" s="95"/>
      <c r="D6" s="109">
        <f>SUM(D4:D5)</f>
        <v>1290</v>
      </c>
      <c r="E6" s="109">
        <f t="shared" ref="E6:N6" si="0">SUM(E4:E5)</f>
        <v>0</v>
      </c>
      <c r="F6" s="109">
        <f t="shared" si="0"/>
        <v>1290</v>
      </c>
      <c r="G6" s="109">
        <f t="shared" si="0"/>
        <v>75</v>
      </c>
      <c r="H6" s="109">
        <f t="shared" si="0"/>
        <v>104.6</v>
      </c>
      <c r="I6" s="109">
        <f t="shared" si="0"/>
        <v>3.0039716312056735</v>
      </c>
      <c r="J6" s="109">
        <f t="shared" si="0"/>
        <v>2.3888888888888888</v>
      </c>
      <c r="K6" s="109">
        <f t="shared" si="0"/>
        <v>39.650000000000006</v>
      </c>
      <c r="L6" s="109">
        <f t="shared" si="0"/>
        <v>1514.6428605200945</v>
      </c>
      <c r="M6" s="109">
        <f>SUM(M4:M5)</f>
        <v>819</v>
      </c>
      <c r="N6" s="109">
        <f t="shared" si="0"/>
        <v>695.64286052009447</v>
      </c>
      <c r="O6" s="90"/>
      <c r="P6" s="3"/>
      <c r="Q6" s="3"/>
    </row>
    <row r="7" spans="1:43" s="10" customFormat="1" ht="28.5" customHeight="1" x14ac:dyDescent="0.3">
      <c r="A7" s="571" t="s">
        <v>848</v>
      </c>
      <c r="B7" s="572"/>
      <c r="C7" s="572"/>
      <c r="D7" s="572"/>
      <c r="E7" s="572"/>
      <c r="F7" s="572"/>
      <c r="G7" s="572"/>
      <c r="H7" s="572"/>
      <c r="I7" s="572"/>
      <c r="J7" s="572"/>
      <c r="K7" s="572"/>
      <c r="L7" s="572"/>
      <c r="M7" s="572"/>
      <c r="N7" s="572"/>
      <c r="O7" s="572"/>
      <c r="P7" s="572"/>
      <c r="Q7" s="573"/>
    </row>
    <row r="8" spans="1:43" s="11" customFormat="1" ht="34.5" customHeight="1" x14ac:dyDescent="0.3">
      <c r="A8" s="83" t="s">
        <v>3</v>
      </c>
      <c r="B8" s="83" t="s">
        <v>0</v>
      </c>
      <c r="C8" s="83" t="s">
        <v>821</v>
      </c>
      <c r="D8" s="84" t="s">
        <v>1</v>
      </c>
      <c r="E8" s="84" t="s">
        <v>68</v>
      </c>
      <c r="F8" s="84" t="s">
        <v>69</v>
      </c>
      <c r="G8" s="85" t="s">
        <v>2</v>
      </c>
      <c r="H8" s="85" t="s">
        <v>592</v>
      </c>
      <c r="I8" s="84" t="s">
        <v>6</v>
      </c>
      <c r="J8" s="84" t="s">
        <v>764</v>
      </c>
      <c r="K8" s="84" t="s">
        <v>7</v>
      </c>
      <c r="L8" s="84" t="s">
        <v>4</v>
      </c>
      <c r="M8" s="84" t="s">
        <v>5</v>
      </c>
      <c r="N8" s="84" t="s">
        <v>70</v>
      </c>
      <c r="O8" s="83" t="s">
        <v>59</v>
      </c>
      <c r="P8" s="86" t="s">
        <v>8</v>
      </c>
      <c r="Q8" s="86" t="s">
        <v>10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</row>
    <row r="9" spans="1:43" s="199" customFormat="1" x14ac:dyDescent="0.3">
      <c r="A9" s="195" t="s">
        <v>766</v>
      </c>
      <c r="B9" s="193">
        <v>1</v>
      </c>
      <c r="C9" s="193" t="s">
        <v>822</v>
      </c>
      <c r="D9" s="196">
        <v>0</v>
      </c>
      <c r="E9" s="192">
        <v>0</v>
      </c>
      <c r="F9" s="192">
        <f t="shared" ref="F9:F25" si="1">D9-E9</f>
        <v>0</v>
      </c>
      <c r="G9" s="196">
        <v>0</v>
      </c>
      <c r="H9" s="192">
        <f>(1412.1/27)</f>
        <v>52.3</v>
      </c>
      <c r="I9" s="192">
        <v>0</v>
      </c>
      <c r="J9" s="192">
        <v>0</v>
      </c>
      <c r="K9" s="192">
        <v>0</v>
      </c>
      <c r="L9" s="191">
        <f t="shared" ref="L9:L35" si="2">SUM(F9:K9)</f>
        <v>52.3</v>
      </c>
      <c r="M9" s="192">
        <f>7%*L9</f>
        <v>3.661</v>
      </c>
      <c r="N9" s="192">
        <f>L9-M9</f>
        <v>48.638999999999996</v>
      </c>
      <c r="O9" s="196" t="s">
        <v>800</v>
      </c>
      <c r="P9" s="197">
        <v>10</v>
      </c>
      <c r="Q9" s="197">
        <v>11</v>
      </c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  <c r="AQ9" s="198"/>
    </row>
    <row r="10" spans="1:43" s="203" customFormat="1" x14ac:dyDescent="0.3">
      <c r="A10" s="193" t="s">
        <v>758</v>
      </c>
      <c r="B10" s="194">
        <v>2</v>
      </c>
      <c r="C10" s="194" t="s">
        <v>822</v>
      </c>
      <c r="D10" s="196">
        <f>'GERAL 2022'!G4</f>
        <v>580</v>
      </c>
      <c r="E10" s="196">
        <v>0</v>
      </c>
      <c r="F10" s="196">
        <f t="shared" si="1"/>
        <v>580</v>
      </c>
      <c r="G10" s="196">
        <v>50</v>
      </c>
      <c r="H10" s="192">
        <f t="shared" ref="H10:H35" si="3">(1412.1/27)</f>
        <v>52.3</v>
      </c>
      <c r="I10" s="192">
        <f>E52</f>
        <v>1.2516548463356973</v>
      </c>
      <c r="J10" s="192">
        <f>(193.5/27)/6</f>
        <v>1.1944444444444444</v>
      </c>
      <c r="K10" s="196">
        <v>19.7</v>
      </c>
      <c r="L10" s="191">
        <f t="shared" si="2"/>
        <v>704.44609929078013</v>
      </c>
      <c r="M10" s="192">
        <f>7%*L10</f>
        <v>49.311226950354616</v>
      </c>
      <c r="N10" s="192">
        <f t="shared" ref="N10:N34" si="4">L10-M10</f>
        <v>655.13487234042555</v>
      </c>
      <c r="O10" s="193" t="s">
        <v>853</v>
      </c>
      <c r="P10" s="197">
        <v>10</v>
      </c>
      <c r="Q10" s="197">
        <v>11</v>
      </c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0"/>
      <c r="AM10" s="201"/>
      <c r="AN10" s="202"/>
      <c r="AO10" s="202"/>
      <c r="AP10" s="202"/>
      <c r="AQ10" s="202"/>
    </row>
    <row r="11" spans="1:43" s="204" customFormat="1" x14ac:dyDescent="0.3">
      <c r="A11" s="193" t="s">
        <v>753</v>
      </c>
      <c r="B11" s="194">
        <v>3</v>
      </c>
      <c r="C11" s="194" t="s">
        <v>822</v>
      </c>
      <c r="D11" s="196">
        <f>'GERAL 2022'!G5</f>
        <v>550</v>
      </c>
      <c r="E11" s="196">
        <v>0</v>
      </c>
      <c r="F11" s="196">
        <f>D11-E11</f>
        <v>550</v>
      </c>
      <c r="G11" s="196">
        <v>0</v>
      </c>
      <c r="H11" s="192">
        <f t="shared" si="3"/>
        <v>52.3</v>
      </c>
      <c r="I11" s="192">
        <f>E54</f>
        <v>1.2516548463356973</v>
      </c>
      <c r="J11" s="192">
        <f t="shared" ref="J11:J34" si="5">(193.5/27)/6</f>
        <v>1.1944444444444444</v>
      </c>
      <c r="K11" s="196">
        <v>19.64</v>
      </c>
      <c r="L11" s="191">
        <f t="shared" si="2"/>
        <v>624.38609929078007</v>
      </c>
      <c r="M11" s="192">
        <f t="shared" ref="M11:M35" si="6">7%*L11</f>
        <v>43.70702695035461</v>
      </c>
      <c r="N11" s="192">
        <f t="shared" si="4"/>
        <v>580.67907234042548</v>
      </c>
      <c r="O11" s="193" t="s">
        <v>853</v>
      </c>
      <c r="P11" s="197">
        <v>10</v>
      </c>
      <c r="Q11" s="197">
        <v>11</v>
      </c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  <c r="AQ11" s="200"/>
    </row>
    <row r="12" spans="1:43" s="199" customFormat="1" ht="15.75" customHeight="1" x14ac:dyDescent="0.3">
      <c r="A12" s="193" t="s">
        <v>842</v>
      </c>
      <c r="B12" s="193">
        <v>4</v>
      </c>
      <c r="C12" s="193" t="s">
        <v>832</v>
      </c>
      <c r="D12" s="196">
        <v>0</v>
      </c>
      <c r="E12" s="196">
        <v>0</v>
      </c>
      <c r="F12" s="196">
        <f>D12-E12</f>
        <v>0</v>
      </c>
      <c r="G12" s="192">
        <v>0</v>
      </c>
      <c r="H12" s="192">
        <v>0</v>
      </c>
      <c r="I12" s="192">
        <v>0</v>
      </c>
      <c r="J12" s="192">
        <v>0</v>
      </c>
      <c r="K12" s="192">
        <v>0</v>
      </c>
      <c r="L12" s="191">
        <f t="shared" si="2"/>
        <v>0</v>
      </c>
      <c r="M12" s="192">
        <f t="shared" si="6"/>
        <v>0</v>
      </c>
      <c r="N12" s="192">
        <f t="shared" si="4"/>
        <v>0</v>
      </c>
      <c r="O12" s="193" t="s">
        <v>108</v>
      </c>
      <c r="P12" s="197">
        <v>10</v>
      </c>
      <c r="Q12" s="194">
        <v>11</v>
      </c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</row>
    <row r="13" spans="1:43" s="199" customFormat="1" x14ac:dyDescent="0.3">
      <c r="A13" s="193" t="s">
        <v>744</v>
      </c>
      <c r="B13" s="193">
        <v>5</v>
      </c>
      <c r="C13" s="193" t="s">
        <v>823</v>
      </c>
      <c r="D13" s="196">
        <f>'GERAL 2023'!G7</f>
        <v>580</v>
      </c>
      <c r="E13" s="192">
        <v>0</v>
      </c>
      <c r="F13" s="192">
        <f>D13-E13</f>
        <v>580</v>
      </c>
      <c r="G13" s="192">
        <f>50</f>
        <v>50</v>
      </c>
      <c r="H13" s="192">
        <f t="shared" si="3"/>
        <v>52.3</v>
      </c>
      <c r="I13" s="192">
        <f>E58</f>
        <v>1.2516548463356973</v>
      </c>
      <c r="J13" s="192">
        <f t="shared" si="5"/>
        <v>1.1944444444444444</v>
      </c>
      <c r="K13" s="192">
        <v>0</v>
      </c>
      <c r="L13" s="191">
        <f t="shared" si="2"/>
        <v>684.74609929078008</v>
      </c>
      <c r="M13" s="192">
        <f t="shared" si="6"/>
        <v>47.932226950354611</v>
      </c>
      <c r="N13" s="192">
        <f t="shared" si="4"/>
        <v>636.81387234042552</v>
      </c>
      <c r="O13" s="193" t="s">
        <v>854</v>
      </c>
      <c r="P13" s="197">
        <v>10</v>
      </c>
      <c r="Q13" s="197">
        <v>11</v>
      </c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</row>
    <row r="14" spans="1:43" s="206" customFormat="1" x14ac:dyDescent="0.3">
      <c r="A14" s="193" t="s">
        <v>745</v>
      </c>
      <c r="B14" s="193">
        <v>6</v>
      </c>
      <c r="C14" s="193" t="s">
        <v>823</v>
      </c>
      <c r="D14" s="196">
        <f>'GERAL 2023'!G8</f>
        <v>680</v>
      </c>
      <c r="E14" s="196">
        <v>0</v>
      </c>
      <c r="F14" s="192">
        <f>D14-E14</f>
        <v>680</v>
      </c>
      <c r="G14" s="192">
        <f>100</f>
        <v>100</v>
      </c>
      <c r="H14" s="192">
        <f t="shared" si="3"/>
        <v>52.3</v>
      </c>
      <c r="I14" s="192">
        <f>E60</f>
        <v>1.7523167848699763</v>
      </c>
      <c r="J14" s="192">
        <f t="shared" si="5"/>
        <v>1.1944444444444444</v>
      </c>
      <c r="K14" s="192">
        <v>0</v>
      </c>
      <c r="L14" s="191">
        <f t="shared" si="2"/>
        <v>835.24676122931442</v>
      </c>
      <c r="M14" s="192">
        <f t="shared" si="6"/>
        <v>58.467273286052013</v>
      </c>
      <c r="N14" s="192">
        <f>L14-M14</f>
        <v>776.77948794326244</v>
      </c>
      <c r="O14" s="193" t="s">
        <v>854</v>
      </c>
      <c r="P14" s="197">
        <v>10</v>
      </c>
      <c r="Q14" s="197">
        <v>11</v>
      </c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  <c r="AQ14" s="205"/>
    </row>
    <row r="15" spans="1:43" s="199" customFormat="1" x14ac:dyDescent="0.3">
      <c r="A15" s="193" t="s">
        <v>791</v>
      </c>
      <c r="B15" s="193">
        <v>7</v>
      </c>
      <c r="C15" s="193" t="s">
        <v>822</v>
      </c>
      <c r="D15" s="196">
        <f>'GERAL 2023'!G35</f>
        <v>610</v>
      </c>
      <c r="E15" s="192">
        <v>0</v>
      </c>
      <c r="F15" s="196">
        <f>D15-E15</f>
        <v>610</v>
      </c>
      <c r="G15" s="192">
        <v>50</v>
      </c>
      <c r="H15" s="192">
        <f t="shared" si="3"/>
        <v>52.3</v>
      </c>
      <c r="I15" s="192">
        <f>'GERAL 2023'!I35</f>
        <v>1.2516548463356973</v>
      </c>
      <c r="J15" s="192">
        <f t="shared" si="5"/>
        <v>1.1944444444444444</v>
      </c>
      <c r="K15" s="192">
        <v>19.75</v>
      </c>
      <c r="L15" s="191">
        <f t="shared" si="2"/>
        <v>734.49609929078008</v>
      </c>
      <c r="M15" s="192">
        <f t="shared" si="6"/>
        <v>51.414726950354613</v>
      </c>
      <c r="N15" s="192">
        <f t="shared" si="4"/>
        <v>683.08137234042545</v>
      </c>
      <c r="O15" s="193" t="s">
        <v>853</v>
      </c>
      <c r="P15" s="197">
        <v>10</v>
      </c>
      <c r="Q15" s="197">
        <v>11</v>
      </c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</row>
    <row r="16" spans="1:43" s="199" customFormat="1" x14ac:dyDescent="0.3">
      <c r="A16" s="193" t="s">
        <v>746</v>
      </c>
      <c r="B16" s="193">
        <v>8</v>
      </c>
      <c r="C16" s="193" t="s">
        <v>824</v>
      </c>
      <c r="D16" s="196">
        <f>'GERAL 2022'!G37</f>
        <v>580</v>
      </c>
      <c r="E16" s="192">
        <v>0</v>
      </c>
      <c r="F16" s="196">
        <f t="shared" si="1"/>
        <v>580</v>
      </c>
      <c r="G16" s="192">
        <v>50</v>
      </c>
      <c r="H16" s="192">
        <f t="shared" si="3"/>
        <v>52.3</v>
      </c>
      <c r="I16" s="192">
        <f>E64</f>
        <v>1.2516548463356973</v>
      </c>
      <c r="J16" s="192">
        <f t="shared" si="5"/>
        <v>1.1944444444444444</v>
      </c>
      <c r="K16" s="192">
        <v>19.7</v>
      </c>
      <c r="L16" s="191">
        <f t="shared" si="2"/>
        <v>704.44609929078013</v>
      </c>
      <c r="M16" s="192">
        <f t="shared" si="6"/>
        <v>49.311226950354616</v>
      </c>
      <c r="N16" s="192">
        <f t="shared" si="4"/>
        <v>655.13487234042555</v>
      </c>
      <c r="O16" s="193" t="s">
        <v>855</v>
      </c>
      <c r="P16" s="207">
        <v>10</v>
      </c>
      <c r="Q16" s="197">
        <v>11</v>
      </c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  <c r="AQ16" s="198"/>
    </row>
    <row r="17" spans="1:48" s="199" customFormat="1" x14ac:dyDescent="0.3">
      <c r="A17" s="209" t="s">
        <v>852</v>
      </c>
      <c r="B17" s="193">
        <v>9</v>
      </c>
      <c r="C17" s="209" t="s">
        <v>828</v>
      </c>
      <c r="D17" s="196">
        <f>'GERAL 2023'!G42/30*24</f>
        <v>512</v>
      </c>
      <c r="E17" s="192">
        <v>0</v>
      </c>
      <c r="F17" s="196">
        <f t="shared" si="1"/>
        <v>512</v>
      </c>
      <c r="G17" s="192">
        <v>0</v>
      </c>
      <c r="H17" s="192">
        <f>(1412.1/27)/30*24</f>
        <v>41.839999999999996</v>
      </c>
      <c r="I17" s="192">
        <f>'GERAL 2023'!I42/30*24</f>
        <v>1.0013238770685577</v>
      </c>
      <c r="J17" s="192">
        <f>((193.5/27)/6)/30*24</f>
        <v>0.9555555555555556</v>
      </c>
      <c r="K17" s="192">
        <v>19.82</v>
      </c>
      <c r="L17" s="191">
        <f t="shared" si="2"/>
        <v>575.61687943262416</v>
      </c>
      <c r="M17" s="192">
        <f t="shared" si="6"/>
        <v>40.293181560283692</v>
      </c>
      <c r="N17" s="192">
        <f>L17-M17</f>
        <v>535.32369787234052</v>
      </c>
      <c r="O17" s="193" t="s">
        <v>857</v>
      </c>
      <c r="P17" s="207">
        <v>10</v>
      </c>
      <c r="Q17" s="197">
        <v>11</v>
      </c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  <c r="AQ17" s="198"/>
    </row>
    <row r="18" spans="1:48" s="148" customFormat="1" x14ac:dyDescent="0.3">
      <c r="A18" s="194" t="s">
        <v>739</v>
      </c>
      <c r="B18" s="194">
        <v>10</v>
      </c>
      <c r="C18" s="194" t="s">
        <v>825</v>
      </c>
      <c r="D18" s="196">
        <f>'GERAL 2022'!G38</f>
        <v>550</v>
      </c>
      <c r="E18" s="192">
        <v>0</v>
      </c>
      <c r="F18" s="196">
        <f t="shared" si="1"/>
        <v>550</v>
      </c>
      <c r="G18" s="192">
        <v>50</v>
      </c>
      <c r="H18" s="192">
        <f t="shared" si="3"/>
        <v>52.3</v>
      </c>
      <c r="I18" s="192">
        <f>E68</f>
        <v>1.2516548463356973</v>
      </c>
      <c r="J18" s="192">
        <f t="shared" si="5"/>
        <v>1.1944444444444444</v>
      </c>
      <c r="K18" s="192">
        <v>19.64</v>
      </c>
      <c r="L18" s="191">
        <f t="shared" si="2"/>
        <v>674.38609929078007</v>
      </c>
      <c r="M18" s="192">
        <f t="shared" si="6"/>
        <v>47.20702695035461</v>
      </c>
      <c r="N18" s="192">
        <f t="shared" si="4"/>
        <v>627.17907234042548</v>
      </c>
      <c r="O18" s="193" t="s">
        <v>856</v>
      </c>
      <c r="P18" s="197">
        <v>10</v>
      </c>
      <c r="Q18" s="194">
        <v>11</v>
      </c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  <c r="AI18" s="208"/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  <c r="AT18" s="208"/>
      <c r="AU18" s="208"/>
      <c r="AV18" s="208"/>
    </row>
    <row r="19" spans="1:48" s="148" customFormat="1" x14ac:dyDescent="0.3">
      <c r="A19" s="194"/>
      <c r="B19" s="194">
        <v>11</v>
      </c>
      <c r="C19" s="194"/>
      <c r="D19" s="192">
        <v>0</v>
      </c>
      <c r="E19" s="192">
        <v>0</v>
      </c>
      <c r="F19" s="196">
        <f t="shared" si="1"/>
        <v>0</v>
      </c>
      <c r="G19" s="192">
        <v>0</v>
      </c>
      <c r="H19" s="192">
        <v>0</v>
      </c>
      <c r="I19" s="192">
        <v>0</v>
      </c>
      <c r="J19" s="192">
        <v>0</v>
      </c>
      <c r="K19" s="192">
        <v>0</v>
      </c>
      <c r="L19" s="191">
        <f t="shared" si="2"/>
        <v>0</v>
      </c>
      <c r="M19" s="192">
        <f>7%*L19</f>
        <v>0</v>
      </c>
      <c r="N19" s="192">
        <f t="shared" si="4"/>
        <v>0</v>
      </c>
      <c r="O19" s="196" t="s">
        <v>525</v>
      </c>
      <c r="P19" s="197"/>
      <c r="Q19" s="194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8"/>
      <c r="AR19" s="208"/>
      <c r="AS19" s="208"/>
      <c r="AT19" s="208"/>
      <c r="AU19" s="208"/>
      <c r="AV19" s="208"/>
    </row>
    <row r="20" spans="1:48" s="199" customFormat="1" x14ac:dyDescent="0.3">
      <c r="A20" s="193" t="s">
        <v>826</v>
      </c>
      <c r="B20" s="193">
        <v>12</v>
      </c>
      <c r="C20" s="193" t="s">
        <v>825</v>
      </c>
      <c r="D20" s="196">
        <f>'GERAL 2022'!G14</f>
        <v>550</v>
      </c>
      <c r="E20" s="192">
        <v>0</v>
      </c>
      <c r="F20" s="196">
        <f t="shared" si="1"/>
        <v>550</v>
      </c>
      <c r="G20" s="196">
        <v>25</v>
      </c>
      <c r="H20" s="192">
        <f t="shared" si="3"/>
        <v>52.3</v>
      </c>
      <c r="I20" s="192">
        <f>E72</f>
        <v>1.2516548463356973</v>
      </c>
      <c r="J20" s="192">
        <f t="shared" si="5"/>
        <v>1.1944444444444444</v>
      </c>
      <c r="K20" s="196">
        <v>19.64</v>
      </c>
      <c r="L20" s="191">
        <f t="shared" si="2"/>
        <v>649.38609929078007</v>
      </c>
      <c r="M20" s="192">
        <f t="shared" si="6"/>
        <v>45.45702695035461</v>
      </c>
      <c r="N20" s="192">
        <f t="shared" si="4"/>
        <v>603.92907234042548</v>
      </c>
      <c r="O20" s="193" t="s">
        <v>856</v>
      </c>
      <c r="P20" s="197">
        <v>10</v>
      </c>
      <c r="Q20" s="197">
        <v>11</v>
      </c>
      <c r="R20" s="198"/>
      <c r="S20" s="198"/>
      <c r="T20" s="198"/>
      <c r="U20" s="198"/>
      <c r="V20" s="198"/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  <c r="AQ20" s="198"/>
    </row>
    <row r="21" spans="1:48" s="206" customFormat="1" x14ac:dyDescent="0.3">
      <c r="A21" s="193" t="s">
        <v>756</v>
      </c>
      <c r="B21" s="193">
        <v>13</v>
      </c>
      <c r="C21" s="193" t="s">
        <v>827</v>
      </c>
      <c r="D21" s="196">
        <f>'GERAL 2022'!G15</f>
        <v>550</v>
      </c>
      <c r="E21" s="196">
        <v>0</v>
      </c>
      <c r="F21" s="196">
        <f t="shared" si="1"/>
        <v>550</v>
      </c>
      <c r="G21" s="192">
        <v>0</v>
      </c>
      <c r="H21" s="192">
        <f t="shared" si="3"/>
        <v>52.3</v>
      </c>
      <c r="I21" s="192">
        <f>E74</f>
        <v>1.2516548463356973</v>
      </c>
      <c r="J21" s="192">
        <f t="shared" si="5"/>
        <v>1.1944444444444444</v>
      </c>
      <c r="K21" s="192">
        <v>0</v>
      </c>
      <c r="L21" s="191">
        <f t="shared" si="2"/>
        <v>604.74609929078008</v>
      </c>
      <c r="M21" s="192">
        <f t="shared" si="6"/>
        <v>42.33222695035461</v>
      </c>
      <c r="N21" s="192">
        <f t="shared" si="4"/>
        <v>562.41387234042543</v>
      </c>
      <c r="O21" s="193" t="s">
        <v>854</v>
      </c>
      <c r="P21" s="197">
        <v>10</v>
      </c>
      <c r="Q21" s="197">
        <v>11</v>
      </c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  <c r="AQ21" s="205"/>
    </row>
    <row r="22" spans="1:48" s="148" customFormat="1" x14ac:dyDescent="0.3">
      <c r="A22" s="194" t="s">
        <v>747</v>
      </c>
      <c r="B22" s="194">
        <v>14</v>
      </c>
      <c r="C22" s="193" t="s">
        <v>832</v>
      </c>
      <c r="D22" s="196">
        <f>'GERAL 2022'!G39</f>
        <v>580</v>
      </c>
      <c r="E22" s="192">
        <v>0</v>
      </c>
      <c r="F22" s="196">
        <f t="shared" si="1"/>
        <v>580</v>
      </c>
      <c r="G22" s="192">
        <f>50</f>
        <v>50</v>
      </c>
      <c r="H22" s="192">
        <f t="shared" si="3"/>
        <v>52.3</v>
      </c>
      <c r="I22" s="192">
        <f>E76</f>
        <v>1.2516548463356973</v>
      </c>
      <c r="J22" s="192">
        <f t="shared" si="5"/>
        <v>1.1944444444444444</v>
      </c>
      <c r="K22" s="192">
        <f>'GERAL 2023'!K16</f>
        <v>19.696666666666669</v>
      </c>
      <c r="L22" s="191">
        <f t="shared" si="2"/>
        <v>704.4427659574468</v>
      </c>
      <c r="M22" s="192">
        <f t="shared" si="6"/>
        <v>49.310993617021282</v>
      </c>
      <c r="N22" s="192">
        <f t="shared" si="4"/>
        <v>655.13177234042553</v>
      </c>
      <c r="O22" s="193" t="s">
        <v>851</v>
      </c>
      <c r="P22" s="197">
        <v>10</v>
      </c>
      <c r="Q22" s="194">
        <v>11</v>
      </c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  <c r="AD22" s="208"/>
      <c r="AE22" s="208"/>
      <c r="AF22" s="208"/>
      <c r="AG22" s="208"/>
      <c r="AH22" s="208"/>
      <c r="AI22" s="208"/>
      <c r="AJ22" s="208"/>
      <c r="AK22" s="208"/>
      <c r="AL22" s="208"/>
      <c r="AM22" s="208"/>
      <c r="AN22" s="208"/>
      <c r="AO22" s="208"/>
      <c r="AP22" s="208"/>
      <c r="AQ22" s="208"/>
      <c r="AR22" s="208"/>
      <c r="AS22" s="208"/>
      <c r="AT22" s="208"/>
      <c r="AU22" s="208"/>
      <c r="AV22" s="208"/>
    </row>
    <row r="23" spans="1:48" s="204" customFormat="1" x14ac:dyDescent="0.3">
      <c r="A23" s="193" t="s">
        <v>748</v>
      </c>
      <c r="B23" s="193">
        <v>15</v>
      </c>
      <c r="C23" s="193" t="s">
        <v>827</v>
      </c>
      <c r="D23" s="196">
        <f>'GERAL 2023'!G36</f>
        <v>680</v>
      </c>
      <c r="E23" s="192">
        <v>0</v>
      </c>
      <c r="F23" s="196">
        <f t="shared" si="1"/>
        <v>680</v>
      </c>
      <c r="G23" s="192">
        <v>25</v>
      </c>
      <c r="H23" s="192">
        <f t="shared" si="3"/>
        <v>52.3</v>
      </c>
      <c r="I23" s="192">
        <f>'GERAL 2023'!I36</f>
        <v>1.7523167848699763</v>
      </c>
      <c r="J23" s="192">
        <f t="shared" si="5"/>
        <v>1.1944444444444444</v>
      </c>
      <c r="K23" s="192">
        <v>0</v>
      </c>
      <c r="L23" s="191">
        <f t="shared" si="2"/>
        <v>760.24676122931442</v>
      </c>
      <c r="M23" s="192">
        <f t="shared" si="6"/>
        <v>53.217273286052013</v>
      </c>
      <c r="N23" s="192">
        <f t="shared" si="4"/>
        <v>707.02948794326244</v>
      </c>
      <c r="O23" s="193" t="s">
        <v>854</v>
      </c>
      <c r="P23" s="197">
        <v>10</v>
      </c>
      <c r="Q23" s="194">
        <v>11</v>
      </c>
      <c r="R23" s="200"/>
      <c r="S23" s="200"/>
      <c r="T23" s="200"/>
      <c r="U23" s="200"/>
      <c r="V23" s="200"/>
      <c r="W23" s="200"/>
      <c r="X23" s="200"/>
      <c r="Y23" s="200"/>
      <c r="Z23" s="200"/>
    </row>
    <row r="24" spans="1:48" s="206" customFormat="1" x14ac:dyDescent="0.3">
      <c r="A24" s="197" t="s">
        <v>757</v>
      </c>
      <c r="B24" s="197">
        <v>16</v>
      </c>
      <c r="C24" s="197" t="s">
        <v>829</v>
      </c>
      <c r="D24" s="196">
        <f>'GERAL 2023'!G37</f>
        <v>610</v>
      </c>
      <c r="E24" s="192">
        <v>0</v>
      </c>
      <c r="F24" s="196">
        <f>D24-E24</f>
        <v>610</v>
      </c>
      <c r="G24" s="192">
        <v>0</v>
      </c>
      <c r="H24" s="192">
        <f t="shared" si="3"/>
        <v>52.3</v>
      </c>
      <c r="I24" s="192">
        <f>E80</f>
        <v>1.2516548463356973</v>
      </c>
      <c r="J24" s="192">
        <f t="shared" si="5"/>
        <v>1.1944444444444444</v>
      </c>
      <c r="K24" s="192">
        <v>0</v>
      </c>
      <c r="L24" s="191">
        <f t="shared" si="2"/>
        <v>664.74609929078008</v>
      </c>
      <c r="M24" s="192">
        <f t="shared" si="6"/>
        <v>46.532226950354612</v>
      </c>
      <c r="N24" s="192">
        <f t="shared" si="4"/>
        <v>618.2138723404255</v>
      </c>
      <c r="O24" s="193" t="s">
        <v>854</v>
      </c>
      <c r="P24" s="197">
        <v>10</v>
      </c>
      <c r="Q24" s="197">
        <v>11</v>
      </c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  <c r="AP24" s="205"/>
      <c r="AQ24" s="205"/>
    </row>
    <row r="25" spans="1:48" s="206" customFormat="1" x14ac:dyDescent="0.3">
      <c r="A25" s="195" t="s">
        <v>741</v>
      </c>
      <c r="B25" s="195">
        <v>17</v>
      </c>
      <c r="C25" s="195" t="s">
        <v>825</v>
      </c>
      <c r="D25" s="196">
        <f>'GERAL 2022'!G41</f>
        <v>580</v>
      </c>
      <c r="E25" s="192">
        <v>0</v>
      </c>
      <c r="F25" s="196">
        <f t="shared" si="1"/>
        <v>580</v>
      </c>
      <c r="G25" s="192">
        <v>0</v>
      </c>
      <c r="H25" s="192">
        <f t="shared" si="3"/>
        <v>52.3</v>
      </c>
      <c r="I25" s="192">
        <f>E82</f>
        <v>1.2516548463356973</v>
      </c>
      <c r="J25" s="192">
        <f t="shared" si="5"/>
        <v>1.1944444444444444</v>
      </c>
      <c r="K25" s="192">
        <v>19.7</v>
      </c>
      <c r="L25" s="191">
        <f t="shared" si="2"/>
        <v>654.44609929078013</v>
      </c>
      <c r="M25" s="192">
        <f t="shared" si="6"/>
        <v>45.811226950354616</v>
      </c>
      <c r="N25" s="192">
        <f t="shared" si="4"/>
        <v>608.63487234042555</v>
      </c>
      <c r="O25" s="196" t="s">
        <v>856</v>
      </c>
      <c r="P25" s="197">
        <v>10</v>
      </c>
      <c r="Q25" s="197">
        <v>11</v>
      </c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  <c r="AQ25" s="205"/>
    </row>
    <row r="26" spans="1:48" s="206" customFormat="1" x14ac:dyDescent="0.3">
      <c r="A26" s="195" t="s">
        <v>749</v>
      </c>
      <c r="B26" s="193">
        <v>18</v>
      </c>
      <c r="C26" s="193" t="s">
        <v>830</v>
      </c>
      <c r="D26" s="196">
        <f>'GERAL 2023'!G20</f>
        <v>640</v>
      </c>
      <c r="E26" s="192">
        <v>0</v>
      </c>
      <c r="F26" s="196">
        <f>D26-E26</f>
        <v>640</v>
      </c>
      <c r="G26" s="192">
        <v>50</v>
      </c>
      <c r="H26" s="192">
        <f t="shared" si="3"/>
        <v>52.3</v>
      </c>
      <c r="I26" s="192">
        <f>E84</f>
        <v>1.2516548463356973</v>
      </c>
      <c r="J26" s="192">
        <f t="shared" si="5"/>
        <v>1.1944444444444444</v>
      </c>
      <c r="K26" s="192">
        <v>0</v>
      </c>
      <c r="L26" s="191">
        <f t="shared" si="2"/>
        <v>744.74609929078008</v>
      </c>
      <c r="M26" s="192">
        <f t="shared" si="6"/>
        <v>52.132226950354614</v>
      </c>
      <c r="N26" s="192">
        <f t="shared" si="4"/>
        <v>692.61387234042547</v>
      </c>
      <c r="O26" s="193" t="s">
        <v>854</v>
      </c>
      <c r="P26" s="197">
        <v>10</v>
      </c>
      <c r="Q26" s="197">
        <v>11</v>
      </c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  <c r="AQ26" s="205"/>
    </row>
    <row r="27" spans="1:48" s="206" customFormat="1" x14ac:dyDescent="0.3">
      <c r="A27" s="193" t="s">
        <v>738</v>
      </c>
      <c r="B27" s="193">
        <v>19</v>
      </c>
      <c r="C27" s="193" t="s">
        <v>825</v>
      </c>
      <c r="D27" s="196">
        <f>'GERAL 2023'!G38</f>
        <v>610</v>
      </c>
      <c r="E27" s="192">
        <v>0</v>
      </c>
      <c r="F27" s="196">
        <f>(D27-E27)</f>
        <v>610</v>
      </c>
      <c r="G27" s="192">
        <v>0</v>
      </c>
      <c r="H27" s="192">
        <f t="shared" si="3"/>
        <v>52.3</v>
      </c>
      <c r="I27" s="192">
        <f>'GERAL 2023'!I38</f>
        <v>1.2516548463356973</v>
      </c>
      <c r="J27" s="192">
        <f t="shared" si="5"/>
        <v>1.1944444444444444</v>
      </c>
      <c r="K27" s="192">
        <v>19.75</v>
      </c>
      <c r="L27" s="191">
        <f t="shared" si="2"/>
        <v>684.49609929078008</v>
      </c>
      <c r="M27" s="192">
        <f t="shared" si="6"/>
        <v>47.914726950354613</v>
      </c>
      <c r="N27" s="192">
        <f t="shared" si="4"/>
        <v>636.58137234042545</v>
      </c>
      <c r="O27" s="193" t="s">
        <v>856</v>
      </c>
      <c r="P27" s="197">
        <v>10</v>
      </c>
      <c r="Q27" s="197">
        <v>11</v>
      </c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  <c r="AQ27" s="205"/>
    </row>
    <row r="28" spans="1:48" s="206" customFormat="1" x14ac:dyDescent="0.3">
      <c r="A28" s="195"/>
      <c r="B28" s="193">
        <v>20</v>
      </c>
      <c r="C28" s="193"/>
      <c r="D28" s="196">
        <v>0</v>
      </c>
      <c r="E28" s="192">
        <v>0</v>
      </c>
      <c r="F28" s="196">
        <f t="shared" ref="F28:F35" si="7">D28-E28</f>
        <v>0</v>
      </c>
      <c r="G28" s="192">
        <v>0</v>
      </c>
      <c r="H28" s="192">
        <v>0</v>
      </c>
      <c r="I28" s="192">
        <v>0</v>
      </c>
      <c r="J28" s="192">
        <v>0</v>
      </c>
      <c r="K28" s="192">
        <v>0</v>
      </c>
      <c r="L28" s="191">
        <f t="shared" si="2"/>
        <v>0</v>
      </c>
      <c r="M28" s="192">
        <f t="shared" si="6"/>
        <v>0</v>
      </c>
      <c r="N28" s="192">
        <f t="shared" si="4"/>
        <v>0</v>
      </c>
      <c r="O28" s="193" t="s">
        <v>525</v>
      </c>
      <c r="P28" s="207"/>
      <c r="Q28" s="197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  <c r="AQ28" s="205"/>
    </row>
    <row r="29" spans="1:48" s="206" customFormat="1" x14ac:dyDescent="0.3">
      <c r="A29" s="195" t="s">
        <v>788</v>
      </c>
      <c r="B29" s="193">
        <v>21</v>
      </c>
      <c r="C29" s="193" t="s">
        <v>822</v>
      </c>
      <c r="D29" s="196">
        <f>'GERAL 2023'!G39</f>
        <v>580</v>
      </c>
      <c r="E29" s="192">
        <v>0</v>
      </c>
      <c r="F29" s="196">
        <f t="shared" si="7"/>
        <v>580</v>
      </c>
      <c r="G29" s="192">
        <v>25</v>
      </c>
      <c r="H29" s="192">
        <f t="shared" si="3"/>
        <v>52.3</v>
      </c>
      <c r="I29" s="192">
        <f>'GERAL 2023'!I39</f>
        <v>1.2516548463356973</v>
      </c>
      <c r="J29" s="192">
        <f t="shared" si="5"/>
        <v>1.1944444444444444</v>
      </c>
      <c r="K29" s="192">
        <v>19.7</v>
      </c>
      <c r="L29" s="191">
        <f t="shared" si="2"/>
        <v>679.44609929078013</v>
      </c>
      <c r="M29" s="192">
        <f t="shared" si="6"/>
        <v>47.561226950354616</v>
      </c>
      <c r="N29" s="192">
        <f t="shared" si="4"/>
        <v>631.88487234042555</v>
      </c>
      <c r="O29" s="193" t="s">
        <v>853</v>
      </c>
      <c r="P29" s="207">
        <v>10</v>
      </c>
      <c r="Q29" s="197">
        <v>11</v>
      </c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  <c r="AQ29" s="205"/>
    </row>
    <row r="30" spans="1:48" s="206" customFormat="1" ht="15.75" customHeight="1" x14ac:dyDescent="0.3">
      <c r="A30" s="195" t="s">
        <v>759</v>
      </c>
      <c r="B30" s="193">
        <v>22</v>
      </c>
      <c r="C30" s="193" t="s">
        <v>827</v>
      </c>
      <c r="D30" s="196">
        <f>'GERAL 2022'!G24</f>
        <v>500</v>
      </c>
      <c r="E30" s="192">
        <v>0</v>
      </c>
      <c r="F30" s="196">
        <f t="shared" si="7"/>
        <v>500</v>
      </c>
      <c r="G30" s="192">
        <v>25</v>
      </c>
      <c r="H30" s="192">
        <f t="shared" si="3"/>
        <v>52.3</v>
      </c>
      <c r="I30" s="192">
        <f>E92</f>
        <v>1.2516548463356973</v>
      </c>
      <c r="J30" s="192">
        <f t="shared" si="5"/>
        <v>1.1944444444444444</v>
      </c>
      <c r="K30" s="192">
        <v>0</v>
      </c>
      <c r="L30" s="191">
        <f t="shared" si="2"/>
        <v>579.74609929078008</v>
      </c>
      <c r="M30" s="192">
        <f t="shared" si="6"/>
        <v>40.58222695035461</v>
      </c>
      <c r="N30" s="192">
        <f t="shared" si="4"/>
        <v>539.16387234042543</v>
      </c>
      <c r="O30" s="193" t="s">
        <v>854</v>
      </c>
      <c r="P30" s="207">
        <v>10</v>
      </c>
      <c r="Q30" s="197">
        <v>11</v>
      </c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  <c r="AQ30" s="205"/>
    </row>
    <row r="31" spans="1:48" s="206" customFormat="1" x14ac:dyDescent="0.3">
      <c r="A31" s="195" t="s">
        <v>750</v>
      </c>
      <c r="B31" s="193">
        <v>23</v>
      </c>
      <c r="C31" s="193" t="s">
        <v>827</v>
      </c>
      <c r="D31" s="196">
        <f>'GERAL 2022'!G25</f>
        <v>550</v>
      </c>
      <c r="E31" s="192">
        <v>0</v>
      </c>
      <c r="F31" s="196">
        <f t="shared" si="7"/>
        <v>550</v>
      </c>
      <c r="G31" s="192">
        <v>0</v>
      </c>
      <c r="H31" s="192">
        <f t="shared" si="3"/>
        <v>52.3</v>
      </c>
      <c r="I31" s="192">
        <f>E94</f>
        <v>1.2516548463356973</v>
      </c>
      <c r="J31" s="192">
        <f t="shared" si="5"/>
        <v>1.1944444444444444</v>
      </c>
      <c r="K31" s="192">
        <v>0</v>
      </c>
      <c r="L31" s="191">
        <f t="shared" si="2"/>
        <v>604.74609929078008</v>
      </c>
      <c r="M31" s="192">
        <f t="shared" si="6"/>
        <v>42.33222695035461</v>
      </c>
      <c r="N31" s="192">
        <f t="shared" si="4"/>
        <v>562.41387234042543</v>
      </c>
      <c r="O31" s="193" t="s">
        <v>854</v>
      </c>
      <c r="P31" s="197">
        <v>10</v>
      </c>
      <c r="Q31" s="197">
        <v>11</v>
      </c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  <c r="AC31" s="205"/>
      <c r="AD31" s="205"/>
      <c r="AE31" s="205"/>
      <c r="AF31" s="205"/>
      <c r="AG31" s="205"/>
      <c r="AH31" s="205"/>
      <c r="AI31" s="205"/>
      <c r="AJ31" s="205"/>
      <c r="AK31" s="205"/>
      <c r="AL31" s="205"/>
      <c r="AM31" s="205"/>
      <c r="AN31" s="205"/>
      <c r="AO31" s="205"/>
      <c r="AP31" s="205"/>
      <c r="AQ31" s="205"/>
    </row>
    <row r="32" spans="1:48" s="204" customFormat="1" ht="15" customHeight="1" x14ac:dyDescent="0.3">
      <c r="A32" s="193" t="s">
        <v>844</v>
      </c>
      <c r="B32" s="193">
        <v>24</v>
      </c>
      <c r="C32" s="193" t="s">
        <v>832</v>
      </c>
      <c r="D32" s="196">
        <v>0</v>
      </c>
      <c r="E32" s="192">
        <v>0</v>
      </c>
      <c r="F32" s="196">
        <f t="shared" si="7"/>
        <v>0</v>
      </c>
      <c r="G32" s="192">
        <v>0</v>
      </c>
      <c r="H32" s="192">
        <v>0</v>
      </c>
      <c r="I32" s="192">
        <v>0</v>
      </c>
      <c r="J32" s="192">
        <v>0</v>
      </c>
      <c r="K32" s="192">
        <v>0</v>
      </c>
      <c r="L32" s="191">
        <f t="shared" si="2"/>
        <v>0</v>
      </c>
      <c r="M32" s="192">
        <f t="shared" si="6"/>
        <v>0</v>
      </c>
      <c r="N32" s="192">
        <f t="shared" si="4"/>
        <v>0</v>
      </c>
      <c r="O32" s="193" t="s">
        <v>108</v>
      </c>
      <c r="P32" s="207">
        <v>10</v>
      </c>
      <c r="Q32" s="197">
        <v>11</v>
      </c>
      <c r="R32" s="200"/>
      <c r="S32" s="200"/>
      <c r="T32" s="200"/>
      <c r="U32" s="200"/>
      <c r="V32" s="200"/>
      <c r="W32" s="200"/>
      <c r="X32" s="200"/>
      <c r="Y32" s="200"/>
      <c r="Z32" s="200"/>
    </row>
    <row r="33" spans="1:61" s="204" customFormat="1" ht="15" customHeight="1" x14ac:dyDescent="0.3">
      <c r="A33" s="206" t="s">
        <v>809</v>
      </c>
      <c r="B33" s="193">
        <v>25</v>
      </c>
      <c r="C33" s="193" t="s">
        <v>832</v>
      </c>
      <c r="D33" s="196">
        <f>'GERAL 2022'!G44</f>
        <v>610</v>
      </c>
      <c r="E33" s="192">
        <v>0</v>
      </c>
      <c r="F33" s="196">
        <f t="shared" si="7"/>
        <v>610</v>
      </c>
      <c r="G33" s="192">
        <v>0</v>
      </c>
      <c r="H33" s="192">
        <f t="shared" si="3"/>
        <v>52.3</v>
      </c>
      <c r="I33" s="192">
        <f>E98</f>
        <v>1.2516548463356973</v>
      </c>
      <c r="J33" s="192">
        <f t="shared" si="5"/>
        <v>1.1944444444444444</v>
      </c>
      <c r="K33" s="192">
        <v>19.75</v>
      </c>
      <c r="L33" s="191">
        <f t="shared" si="2"/>
        <v>684.49609929078008</v>
      </c>
      <c r="M33" s="192">
        <f t="shared" si="6"/>
        <v>47.914726950354613</v>
      </c>
      <c r="N33" s="192">
        <f t="shared" si="4"/>
        <v>636.58137234042545</v>
      </c>
      <c r="O33" s="193" t="s">
        <v>851</v>
      </c>
      <c r="P33" s="207">
        <v>10</v>
      </c>
      <c r="Q33" s="197">
        <v>11</v>
      </c>
      <c r="R33" s="200"/>
      <c r="S33" s="200"/>
      <c r="T33" s="200"/>
      <c r="U33" s="200"/>
      <c r="V33" s="200"/>
      <c r="W33" s="200"/>
      <c r="X33" s="200"/>
      <c r="Y33" s="200"/>
      <c r="Z33" s="200"/>
    </row>
    <row r="34" spans="1:61" s="206" customFormat="1" x14ac:dyDescent="0.3">
      <c r="A34" s="195" t="s">
        <v>751</v>
      </c>
      <c r="B34" s="193">
        <v>26</v>
      </c>
      <c r="C34" s="193" t="s">
        <v>827</v>
      </c>
      <c r="D34" s="196">
        <f>'GERAL 2022'!G28</f>
        <v>560</v>
      </c>
      <c r="E34" s="192">
        <v>0</v>
      </c>
      <c r="F34" s="196">
        <f t="shared" si="7"/>
        <v>560</v>
      </c>
      <c r="G34" s="192">
        <v>25</v>
      </c>
      <c r="H34" s="192">
        <f t="shared" si="3"/>
        <v>52.3</v>
      </c>
      <c r="I34" s="192">
        <f>E100</f>
        <v>1.2516548463356973</v>
      </c>
      <c r="J34" s="192">
        <f t="shared" si="5"/>
        <v>1.1944444444444444</v>
      </c>
      <c r="K34" s="192">
        <v>0</v>
      </c>
      <c r="L34" s="191">
        <f t="shared" si="2"/>
        <v>639.74609929078008</v>
      </c>
      <c r="M34" s="192">
        <f t="shared" si="6"/>
        <v>44.782226950354612</v>
      </c>
      <c r="N34" s="192">
        <f t="shared" si="4"/>
        <v>594.9638723404255</v>
      </c>
      <c r="O34" s="193" t="s">
        <v>854</v>
      </c>
      <c r="P34" s="197">
        <v>10</v>
      </c>
      <c r="Q34" s="197">
        <v>11</v>
      </c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205"/>
    </row>
    <row r="35" spans="1:61" s="206" customFormat="1" x14ac:dyDescent="0.3">
      <c r="A35" s="195" t="s">
        <v>752</v>
      </c>
      <c r="B35" s="193">
        <v>27</v>
      </c>
      <c r="C35" s="216" t="s">
        <v>827</v>
      </c>
      <c r="D35" s="217">
        <f>'GERAL 2022'!G45</f>
        <v>580</v>
      </c>
      <c r="E35" s="210">
        <v>0</v>
      </c>
      <c r="F35" s="196">
        <f t="shared" si="7"/>
        <v>580</v>
      </c>
      <c r="G35" s="210">
        <v>0</v>
      </c>
      <c r="H35" s="192">
        <f t="shared" si="3"/>
        <v>52.3</v>
      </c>
      <c r="I35" s="210">
        <f>E102</f>
        <v>1.2516548463356973</v>
      </c>
      <c r="J35" s="192">
        <f>(193.5)/27/6</f>
        <v>1.1944444444444444</v>
      </c>
      <c r="K35" s="210">
        <v>0</v>
      </c>
      <c r="L35" s="191">
        <f t="shared" si="2"/>
        <v>634.74609929078008</v>
      </c>
      <c r="M35" s="192">
        <f t="shared" si="6"/>
        <v>44.432226950354611</v>
      </c>
      <c r="N35" s="192">
        <f>L35-M35</f>
        <v>590.31387234042552</v>
      </c>
      <c r="O35" s="193" t="s">
        <v>854</v>
      </c>
      <c r="P35" s="197">
        <v>10</v>
      </c>
      <c r="Q35" s="197">
        <v>11</v>
      </c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  <c r="AQ35" s="205"/>
    </row>
    <row r="36" spans="1:61" s="11" customFormat="1" x14ac:dyDescent="0.3">
      <c r="A36" s="518" t="s">
        <v>4</v>
      </c>
      <c r="B36" s="518"/>
      <c r="C36" s="95"/>
      <c r="D36" s="109">
        <f>SUM(D9:D35)</f>
        <v>12822</v>
      </c>
      <c r="E36" s="109">
        <f t="shared" ref="E36:N36" si="8">SUM(E9:E35)</f>
        <v>0</v>
      </c>
      <c r="F36" s="109">
        <f t="shared" si="8"/>
        <v>12822</v>
      </c>
      <c r="G36" s="109">
        <f t="shared" si="8"/>
        <v>575</v>
      </c>
      <c r="H36" s="109">
        <f t="shared" si="8"/>
        <v>1192.4399999999994</v>
      </c>
      <c r="I36" s="109">
        <f t="shared" si="8"/>
        <v>28.287399527186754</v>
      </c>
      <c r="J36" s="109">
        <f t="shared" si="8"/>
        <v>26.038888888888877</v>
      </c>
      <c r="K36" s="109">
        <f t="shared" si="8"/>
        <v>236.48666666666665</v>
      </c>
      <c r="L36" s="109">
        <f t="shared" si="8"/>
        <v>14880.252955082742</v>
      </c>
      <c r="M36" s="109">
        <f t="shared" si="8"/>
        <v>1041.617706855792</v>
      </c>
      <c r="N36" s="109">
        <f t="shared" si="8"/>
        <v>13838.635248226952</v>
      </c>
      <c r="O36" s="90"/>
      <c r="P36" s="3"/>
      <c r="Q36" s="3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</row>
    <row r="37" spans="1:61" s="11" customFormat="1" ht="28.5" customHeight="1" x14ac:dyDescent="0.3">
      <c r="A37" s="521" t="s">
        <v>871</v>
      </c>
      <c r="B37" s="521"/>
      <c r="C37" s="521"/>
      <c r="D37" s="521"/>
      <c r="E37" s="521"/>
      <c r="F37" s="521"/>
      <c r="G37" s="521"/>
      <c r="H37" s="521"/>
      <c r="I37" s="521"/>
      <c r="J37" s="521"/>
      <c r="K37" s="521"/>
      <c r="L37" s="521"/>
      <c r="M37" s="521"/>
      <c r="N37" s="521"/>
      <c r="O37" s="521"/>
      <c r="P37" s="521"/>
      <c r="Q37" s="521"/>
      <c r="R37" s="10"/>
      <c r="S37" s="10"/>
      <c r="T37" s="10"/>
      <c r="U37" s="10"/>
      <c r="V37" s="10"/>
      <c r="W37" s="10"/>
      <c r="X37" s="10"/>
      <c r="Y37" s="10"/>
      <c r="Z37" s="10"/>
    </row>
    <row r="38" spans="1:61" s="11" customFormat="1" ht="27.75" customHeight="1" x14ac:dyDescent="0.3">
      <c r="A38" s="127" t="s">
        <v>3</v>
      </c>
      <c r="B38" s="127" t="s">
        <v>0</v>
      </c>
      <c r="C38" s="127"/>
      <c r="D38" s="128" t="s">
        <v>174</v>
      </c>
      <c r="E38" s="555" t="s">
        <v>175</v>
      </c>
      <c r="F38" s="556"/>
      <c r="G38" s="556"/>
      <c r="H38" s="556"/>
      <c r="I38" s="556"/>
      <c r="J38" s="556"/>
      <c r="K38" s="557"/>
      <c r="L38" s="128" t="s">
        <v>4</v>
      </c>
      <c r="M38" s="128" t="s">
        <v>5</v>
      </c>
      <c r="N38" s="128" t="s">
        <v>70</v>
      </c>
      <c r="O38" s="127" t="s">
        <v>59</v>
      </c>
      <c r="P38" s="130" t="s">
        <v>8</v>
      </c>
      <c r="Q38" s="130" t="s">
        <v>10</v>
      </c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spans="1:61" s="199" customFormat="1" x14ac:dyDescent="0.3">
      <c r="A39" s="193"/>
      <c r="B39" s="193"/>
      <c r="C39" s="193"/>
      <c r="D39" s="192"/>
      <c r="E39" s="551"/>
      <c r="F39" s="580"/>
      <c r="G39" s="580"/>
      <c r="H39" s="580"/>
      <c r="I39" s="580"/>
      <c r="J39" s="580"/>
      <c r="K39" s="552"/>
      <c r="L39" s="192"/>
      <c r="M39" s="192"/>
      <c r="N39" s="192"/>
      <c r="O39" s="193"/>
      <c r="P39" s="197"/>
      <c r="Q39" s="197"/>
      <c r="R39" s="198"/>
      <c r="S39" s="198"/>
      <c r="T39" s="198"/>
      <c r="U39" s="198"/>
      <c r="V39" s="198"/>
      <c r="W39" s="198"/>
      <c r="X39" s="198"/>
      <c r="Y39" s="198"/>
      <c r="Z39" s="198"/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</row>
    <row r="40" spans="1:61" s="11" customFormat="1" x14ac:dyDescent="0.3">
      <c r="A40" s="518" t="s">
        <v>4</v>
      </c>
      <c r="B40" s="518"/>
      <c r="C40" s="518"/>
      <c r="D40" s="518"/>
      <c r="E40" s="518"/>
      <c r="F40" s="518"/>
      <c r="G40" s="518"/>
      <c r="H40" s="518"/>
      <c r="I40" s="518"/>
      <c r="J40" s="518"/>
      <c r="K40" s="518"/>
      <c r="L40" s="109">
        <f>SUM(L39:L39)</f>
        <v>0</v>
      </c>
      <c r="M40" s="109">
        <f>SUM(M39:M39)</f>
        <v>0</v>
      </c>
      <c r="N40" s="109">
        <f>SUM(N39:N39)</f>
        <v>0</v>
      </c>
      <c r="O40" s="527"/>
      <c r="P40" s="527"/>
      <c r="Q40" s="527"/>
      <c r="R40" s="10"/>
      <c r="S40" s="10"/>
      <c r="T40" s="10"/>
      <c r="U40" s="10"/>
      <c r="V40" s="10"/>
      <c r="W40" s="10"/>
      <c r="X40" s="10"/>
      <c r="Y40" s="10"/>
      <c r="Z40" s="10"/>
    </row>
    <row r="41" spans="1:61" s="11" customFormat="1" x14ac:dyDescent="0.3">
      <c r="A41" s="518"/>
      <c r="B41" s="518"/>
      <c r="C41" s="518"/>
      <c r="D41" s="518"/>
      <c r="E41" s="518"/>
      <c r="F41" s="518"/>
      <c r="G41" s="518"/>
      <c r="H41" s="518"/>
      <c r="I41" s="518"/>
      <c r="J41" s="518"/>
      <c r="K41" s="518"/>
      <c r="L41" s="518"/>
      <c r="M41" s="518"/>
      <c r="N41" s="518"/>
      <c r="O41" s="518"/>
      <c r="P41" s="109"/>
      <c r="Q41" s="109"/>
      <c r="R41" s="10"/>
      <c r="S41" s="10"/>
      <c r="T41" s="10"/>
      <c r="U41" s="10"/>
      <c r="V41" s="10"/>
      <c r="W41" s="10"/>
      <c r="X41" s="10"/>
      <c r="Y41" s="10"/>
      <c r="Z41" s="10"/>
    </row>
    <row r="42" spans="1:61" s="11" customFormat="1" ht="28.5" customHeight="1" x14ac:dyDescent="0.3">
      <c r="A42" s="521" t="s">
        <v>177</v>
      </c>
      <c r="B42" s="521"/>
      <c r="C42" s="521"/>
      <c r="D42" s="521"/>
      <c r="E42" s="521"/>
      <c r="F42" s="521"/>
      <c r="G42" s="521"/>
      <c r="H42" s="521"/>
      <c r="I42" s="521"/>
      <c r="J42" s="521"/>
      <c r="K42" s="521"/>
      <c r="L42" s="521"/>
      <c r="M42" s="521"/>
      <c r="N42" s="521"/>
      <c r="O42" s="521"/>
      <c r="P42" s="521"/>
      <c r="Q42" s="52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61" s="11" customFormat="1" ht="25.5" customHeight="1" x14ac:dyDescent="0.3">
      <c r="A43" s="126" t="s">
        <v>173</v>
      </c>
      <c r="B43" s="126" t="s">
        <v>0</v>
      </c>
      <c r="C43" s="126"/>
      <c r="D43" s="126" t="s">
        <v>174</v>
      </c>
      <c r="E43" s="521" t="s">
        <v>175</v>
      </c>
      <c r="F43" s="521"/>
      <c r="G43" s="521"/>
      <c r="H43" s="521"/>
      <c r="I43" s="521"/>
      <c r="J43" s="521"/>
      <c r="K43" s="521"/>
      <c r="L43" s="129" t="s">
        <v>4</v>
      </c>
      <c r="M43" s="128"/>
      <c r="N43" s="128"/>
      <c r="O43" s="127" t="s">
        <v>59</v>
      </c>
      <c r="P43" s="130" t="s">
        <v>8</v>
      </c>
      <c r="Q43" s="130" t="s">
        <v>10</v>
      </c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61" s="69" customFormat="1" ht="15" customHeight="1" x14ac:dyDescent="0.3">
      <c r="A44" s="4" t="s">
        <v>132</v>
      </c>
      <c r="B44" s="4">
        <v>1</v>
      </c>
      <c r="C44" s="4"/>
      <c r="D44" s="5">
        <f>4977.59-1520</f>
        <v>3457.59</v>
      </c>
      <c r="E44" s="546" t="s">
        <v>284</v>
      </c>
      <c r="F44" s="547"/>
      <c r="G44" s="547"/>
      <c r="H44" s="547"/>
      <c r="I44" s="547"/>
      <c r="J44" s="547"/>
      <c r="K44" s="548"/>
      <c r="L44" s="5">
        <f>4977.59-1520</f>
        <v>3457.59</v>
      </c>
      <c r="M44" s="5"/>
      <c r="N44" s="5"/>
      <c r="O44" s="5" t="s">
        <v>510</v>
      </c>
      <c r="P44" s="140">
        <v>10</v>
      </c>
      <c r="Q44" s="4">
        <v>11</v>
      </c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</row>
    <row r="45" spans="1:61" s="11" customFormat="1" x14ac:dyDescent="0.3">
      <c r="A45" s="90" t="s">
        <v>87</v>
      </c>
      <c r="B45" s="90">
        <v>25</v>
      </c>
      <c r="C45" s="90"/>
      <c r="D45" s="5">
        <v>3013.33</v>
      </c>
      <c r="E45" s="546" t="s">
        <v>543</v>
      </c>
      <c r="F45" s="547"/>
      <c r="G45" s="547"/>
      <c r="H45" s="547"/>
      <c r="I45" s="547"/>
      <c r="J45" s="547"/>
      <c r="K45" s="548"/>
      <c r="L45" s="5">
        <v>3040.58</v>
      </c>
      <c r="M45" s="2"/>
      <c r="N45" s="2"/>
      <c r="O45" s="5" t="s">
        <v>545</v>
      </c>
      <c r="P45" s="98">
        <v>10</v>
      </c>
      <c r="Q45" s="3">
        <v>11</v>
      </c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</row>
    <row r="46" spans="1:61" s="40" customFormat="1" ht="15" customHeight="1" thickBot="1" x14ac:dyDescent="0.35">
      <c r="A46" s="534" t="s">
        <v>4</v>
      </c>
      <c r="B46" s="549"/>
      <c r="C46" s="549"/>
      <c r="D46" s="549"/>
      <c r="E46" s="549"/>
      <c r="F46" s="549"/>
      <c r="G46" s="549"/>
      <c r="H46" s="549"/>
      <c r="I46" s="549"/>
      <c r="J46" s="549"/>
      <c r="K46" s="535"/>
      <c r="L46" s="114">
        <f>SUM(L44:L45)</f>
        <v>6498.17</v>
      </c>
      <c r="M46" s="90"/>
      <c r="N46" s="90"/>
      <c r="O46" s="90"/>
      <c r="P46" s="90"/>
      <c r="Q46" s="9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1"/>
      <c r="AV46" s="11"/>
      <c r="AW46" s="11"/>
      <c r="AX46" s="11"/>
    </row>
    <row r="47" spans="1:61" s="19" customFormat="1" x14ac:dyDescent="0.3">
      <c r="A47" s="179"/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1"/>
      <c r="Q47" s="182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</row>
    <row r="48" spans="1:61" s="40" customFormat="1" x14ac:dyDescent="0.3">
      <c r="A48" s="575" t="s">
        <v>9</v>
      </c>
      <c r="B48" s="576"/>
      <c r="C48" s="576"/>
      <c r="D48" s="576"/>
      <c r="E48" s="577"/>
      <c r="F48" s="574"/>
      <c r="G48" s="540"/>
      <c r="H48" s="540"/>
      <c r="I48" s="46"/>
      <c r="J48" s="46"/>
      <c r="K48" s="46"/>
      <c r="L48" s="46"/>
      <c r="M48" s="46"/>
      <c r="N48" s="46"/>
      <c r="O48" s="544" t="s">
        <v>315</v>
      </c>
      <c r="P48" s="544"/>
      <c r="Q48" s="545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1"/>
      <c r="AV48" s="11"/>
      <c r="AW48" s="11"/>
      <c r="AX48" s="11"/>
    </row>
    <row r="49" spans="1:50" s="40" customFormat="1" x14ac:dyDescent="0.3">
      <c r="A49" s="76" t="s">
        <v>40</v>
      </c>
      <c r="B49" s="77">
        <f>'GERAL 2022'!J35</f>
        <v>118.18</v>
      </c>
      <c r="C49" s="77"/>
      <c r="D49" s="78">
        <v>6</v>
      </c>
      <c r="E49" s="77">
        <f t="shared" ref="E49:E102" si="9">B49/D49</f>
        <v>19.696666666666669</v>
      </c>
      <c r="F49" s="574"/>
      <c r="G49" s="540"/>
      <c r="H49" s="540"/>
      <c r="I49" s="11"/>
      <c r="J49" s="11"/>
      <c r="K49" s="11"/>
      <c r="L49" s="87"/>
      <c r="M49" s="87"/>
      <c r="N49" s="87"/>
      <c r="O49" s="527" t="s">
        <v>94</v>
      </c>
      <c r="P49" s="527"/>
      <c r="Q49" s="114">
        <f>M36+M40</f>
        <v>1041.617706855792</v>
      </c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1"/>
      <c r="AV49" s="11"/>
      <c r="AW49" s="11"/>
      <c r="AX49" s="11"/>
    </row>
    <row r="50" spans="1:50" s="40" customFormat="1" x14ac:dyDescent="0.3">
      <c r="A50" s="12" t="s">
        <v>46</v>
      </c>
      <c r="B50" s="2">
        <f>'GERAL 2023'!H3</f>
        <v>15.019858156028368</v>
      </c>
      <c r="C50" s="2"/>
      <c r="D50" s="88">
        <v>12</v>
      </c>
      <c r="E50" s="2">
        <f t="shared" si="9"/>
        <v>1.2516548463356973</v>
      </c>
      <c r="F50" s="574"/>
      <c r="G50" s="540"/>
      <c r="H50" s="540"/>
      <c r="I50" s="11"/>
      <c r="J50" s="11"/>
      <c r="K50" s="11"/>
      <c r="L50" s="14"/>
      <c r="M50" s="14"/>
      <c r="N50" s="14"/>
      <c r="O50" s="518" t="s">
        <v>260</v>
      </c>
      <c r="P50" s="518"/>
      <c r="Q50" s="114">
        <f>M6</f>
        <v>819</v>
      </c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1"/>
      <c r="AV50" s="11"/>
      <c r="AW50" s="11"/>
      <c r="AX50" s="11"/>
    </row>
    <row r="51" spans="1:50" s="40" customFormat="1" x14ac:dyDescent="0.3">
      <c r="A51" s="79" t="s">
        <v>29</v>
      </c>
      <c r="B51" s="80">
        <f>'GERAL 2022'!J4</f>
        <v>118.18</v>
      </c>
      <c r="C51" s="77"/>
      <c r="D51" s="78">
        <v>6</v>
      </c>
      <c r="E51" s="80">
        <f t="shared" si="9"/>
        <v>19.696666666666669</v>
      </c>
      <c r="F51" s="574"/>
      <c r="G51" s="540"/>
      <c r="H51" s="540"/>
      <c r="I51" s="11"/>
      <c r="J51" s="11"/>
      <c r="K51" s="11"/>
      <c r="L51" s="14"/>
      <c r="M51" s="14"/>
      <c r="N51" s="14"/>
      <c r="O51" s="520"/>
      <c r="P51" s="520"/>
      <c r="Q51" s="52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1"/>
      <c r="AV51" s="11"/>
      <c r="AW51" s="11"/>
      <c r="AX51" s="11"/>
    </row>
    <row r="52" spans="1:50" s="40" customFormat="1" x14ac:dyDescent="0.3">
      <c r="A52" s="12" t="s">
        <v>30</v>
      </c>
      <c r="B52" s="2">
        <f>'GERAL 2023'!H4</f>
        <v>15.019858156028368</v>
      </c>
      <c r="C52" s="2"/>
      <c r="D52" s="88">
        <v>12</v>
      </c>
      <c r="E52" s="2">
        <f t="shared" si="9"/>
        <v>1.2516548463356973</v>
      </c>
      <c r="F52" s="574"/>
      <c r="G52" s="540"/>
      <c r="H52" s="540"/>
      <c r="I52" s="11"/>
      <c r="J52" s="11"/>
      <c r="K52" s="11"/>
      <c r="L52" s="62"/>
      <c r="M52" s="62"/>
      <c r="N52" s="62"/>
      <c r="O52" s="520"/>
      <c r="P52" s="520"/>
      <c r="Q52" s="52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1"/>
      <c r="AV52" s="11"/>
      <c r="AW52" s="11"/>
      <c r="AX52" s="11"/>
    </row>
    <row r="53" spans="1:50" s="40" customFormat="1" ht="14.4" x14ac:dyDescent="0.3">
      <c r="A53" s="79" t="s">
        <v>65</v>
      </c>
      <c r="B53" s="80">
        <f>'GERAL 2022'!J5</f>
        <v>117.85</v>
      </c>
      <c r="C53" s="77"/>
      <c r="D53" s="78">
        <v>6</v>
      </c>
      <c r="E53" s="80">
        <f t="shared" si="9"/>
        <v>19.641666666666666</v>
      </c>
      <c r="F53" s="574"/>
      <c r="G53" s="540"/>
      <c r="H53" s="540"/>
      <c r="I53" s="11"/>
      <c r="J53" s="11"/>
      <c r="K53" s="11"/>
      <c r="L53" s="14"/>
      <c r="M53" s="14"/>
      <c r="N53" s="14"/>
      <c r="O53" s="529" t="s">
        <v>12</v>
      </c>
      <c r="P53" s="529"/>
      <c r="Q53" s="529"/>
      <c r="R53" s="175"/>
      <c r="S53" s="178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1"/>
      <c r="AV53" s="11"/>
      <c r="AW53" s="11"/>
      <c r="AX53" s="11"/>
    </row>
    <row r="54" spans="1:50" s="11" customFormat="1" ht="15" customHeight="1" x14ac:dyDescent="0.3">
      <c r="A54" s="12" t="s">
        <v>62</v>
      </c>
      <c r="B54" s="2">
        <f>'GERAL 2023'!H5</f>
        <v>15.019858156028368</v>
      </c>
      <c r="C54" s="2"/>
      <c r="D54" s="88">
        <v>12</v>
      </c>
      <c r="E54" s="2">
        <f t="shared" si="9"/>
        <v>1.2516548463356973</v>
      </c>
      <c r="F54" s="574"/>
      <c r="G54" s="540"/>
      <c r="H54" s="540"/>
      <c r="L54" s="63"/>
      <c r="M54" s="63"/>
      <c r="N54" s="63"/>
      <c r="O54" s="514" t="s">
        <v>593</v>
      </c>
      <c r="P54" s="514"/>
      <c r="Q54" s="192">
        <v>19.7</v>
      </c>
      <c r="R54" s="190"/>
      <c r="S54" s="178"/>
    </row>
    <row r="55" spans="1:50" s="11" customFormat="1" ht="14.4" x14ac:dyDescent="0.3">
      <c r="A55" s="79" t="s">
        <v>60</v>
      </c>
      <c r="B55" s="80">
        <f>'GERAL 2022'!J6</f>
        <v>117.85</v>
      </c>
      <c r="C55" s="77"/>
      <c r="D55" s="78">
        <v>6</v>
      </c>
      <c r="E55" s="80">
        <f t="shared" si="9"/>
        <v>19.641666666666666</v>
      </c>
      <c r="F55" s="574"/>
      <c r="G55" s="540"/>
      <c r="H55" s="540"/>
      <c r="L55" s="14"/>
      <c r="M55" s="14"/>
      <c r="N55" s="14"/>
      <c r="O55" s="514" t="s">
        <v>594</v>
      </c>
      <c r="P55" s="514"/>
      <c r="Q55" s="192">
        <v>19.64</v>
      </c>
      <c r="R55" s="175"/>
      <c r="S55" s="178"/>
    </row>
    <row r="56" spans="1:50" s="11" customFormat="1" ht="15" customHeight="1" x14ac:dyDescent="0.3">
      <c r="A56" s="12" t="s">
        <v>61</v>
      </c>
      <c r="B56" s="2">
        <f>'GERAL 2023'!H6</f>
        <v>15.019858156028368</v>
      </c>
      <c r="C56" s="2"/>
      <c r="D56" s="88">
        <v>12</v>
      </c>
      <c r="E56" s="2">
        <f t="shared" si="9"/>
        <v>1.2516548463356973</v>
      </c>
      <c r="F56" s="574"/>
      <c r="G56" s="540"/>
      <c r="H56" s="540"/>
      <c r="L56" s="63"/>
      <c r="M56" s="63"/>
      <c r="N56" s="63"/>
      <c r="O56" s="514" t="s">
        <v>306</v>
      </c>
      <c r="P56" s="514"/>
      <c r="Q56" s="192">
        <v>19.760000000000002</v>
      </c>
      <c r="R56" s="190"/>
      <c r="S56" s="178"/>
    </row>
    <row r="57" spans="1:50" s="11" customFormat="1" ht="14.4" x14ac:dyDescent="0.3">
      <c r="A57" s="79" t="s">
        <v>31</v>
      </c>
      <c r="B57" s="80">
        <f>'GERAL 2023'!J7</f>
        <v>118.18</v>
      </c>
      <c r="C57" s="77"/>
      <c r="D57" s="78">
        <v>6</v>
      </c>
      <c r="E57" s="80">
        <f>B57/D57</f>
        <v>19.696666666666669</v>
      </c>
      <c r="F57" s="574"/>
      <c r="G57" s="540"/>
      <c r="H57" s="540"/>
      <c r="L57" s="14"/>
      <c r="M57" s="14"/>
      <c r="N57" s="14"/>
      <c r="O57" s="514" t="s">
        <v>595</v>
      </c>
      <c r="P57" s="514"/>
      <c r="Q57" s="192">
        <v>19.75</v>
      </c>
      <c r="R57" s="175"/>
      <c r="S57" s="178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</row>
    <row r="58" spans="1:50" s="11" customFormat="1" ht="14.4" x14ac:dyDescent="0.3">
      <c r="A58" s="12" t="s">
        <v>32</v>
      </c>
      <c r="B58" s="2">
        <f>'GERAL 2023'!H7</f>
        <v>15.019858156028368</v>
      </c>
      <c r="C58" s="2"/>
      <c r="D58" s="88">
        <v>12</v>
      </c>
      <c r="E58" s="2">
        <f t="shared" si="9"/>
        <v>1.2516548463356973</v>
      </c>
      <c r="F58" s="574"/>
      <c r="G58" s="540"/>
      <c r="H58" s="540"/>
      <c r="L58" s="63"/>
      <c r="M58" s="63"/>
      <c r="N58" s="63"/>
      <c r="O58" s="514" t="s">
        <v>366</v>
      </c>
      <c r="P58" s="514"/>
      <c r="Q58" s="192">
        <v>19.7</v>
      </c>
      <c r="R58" s="175"/>
      <c r="S58" s="178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</row>
    <row r="59" spans="1:50" s="11" customFormat="1" ht="14.4" x14ac:dyDescent="0.3">
      <c r="A59" s="79" t="s">
        <v>57</v>
      </c>
      <c r="B59" s="80">
        <f>'GERAL 2022'!J36</f>
        <v>119.36</v>
      </c>
      <c r="C59" s="77"/>
      <c r="D59" s="78">
        <v>6</v>
      </c>
      <c r="E59" s="80">
        <f t="shared" si="9"/>
        <v>19.893333333333334</v>
      </c>
      <c r="F59" s="574"/>
      <c r="G59" s="540"/>
      <c r="H59" s="540"/>
      <c r="L59" s="14"/>
      <c r="M59" s="14"/>
      <c r="N59" s="14"/>
      <c r="O59" s="514" t="s">
        <v>239</v>
      </c>
      <c r="P59" s="514"/>
      <c r="Q59" s="192">
        <v>19.82</v>
      </c>
      <c r="R59" s="175"/>
      <c r="S59" s="185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</row>
    <row r="60" spans="1:50" s="11" customFormat="1" ht="14.4" x14ac:dyDescent="0.3">
      <c r="A60" s="12" t="s">
        <v>58</v>
      </c>
      <c r="B60" s="2">
        <f>'GERAL 2023'!H8</f>
        <v>21.027801418439715</v>
      </c>
      <c r="C60" s="2"/>
      <c r="D60" s="88">
        <v>12</v>
      </c>
      <c r="E60" s="2">
        <f t="shared" si="9"/>
        <v>1.7523167848699763</v>
      </c>
      <c r="F60" s="574"/>
      <c r="G60" s="540"/>
      <c r="H60" s="540"/>
      <c r="L60" s="14"/>
      <c r="M60" s="14"/>
      <c r="N60" s="14"/>
      <c r="O60" s="514" t="s">
        <v>201</v>
      </c>
      <c r="P60" s="514"/>
      <c r="Q60" s="192">
        <v>19.64</v>
      </c>
      <c r="R60" s="175"/>
      <c r="S60" s="185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</row>
    <row r="61" spans="1:50" s="11" customFormat="1" ht="14.4" x14ac:dyDescent="0.3">
      <c r="A61" s="79" t="s">
        <v>63</v>
      </c>
      <c r="B61" s="80">
        <f>'GERAL 2022'!J9</f>
        <v>118.18</v>
      </c>
      <c r="C61" s="77"/>
      <c r="D61" s="78">
        <v>6</v>
      </c>
      <c r="E61" s="80">
        <f t="shared" si="9"/>
        <v>19.696666666666669</v>
      </c>
      <c r="F61" s="574"/>
      <c r="G61" s="540"/>
      <c r="H61" s="540"/>
      <c r="L61" s="63"/>
      <c r="M61" s="63"/>
      <c r="N61" s="63"/>
      <c r="O61" s="514" t="s">
        <v>596</v>
      </c>
      <c r="P61" s="514"/>
      <c r="Q61" s="192">
        <v>19.64</v>
      </c>
      <c r="R61" s="175"/>
      <c r="S61" s="178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</row>
    <row r="62" spans="1:50" s="11" customFormat="1" ht="14.4" x14ac:dyDescent="0.3">
      <c r="A62" s="12" t="s">
        <v>64</v>
      </c>
      <c r="B62" s="2">
        <f>'GERAL 2023'!H9</f>
        <v>15.019858156028368</v>
      </c>
      <c r="C62" s="2"/>
      <c r="D62" s="88">
        <v>12</v>
      </c>
      <c r="E62" s="2">
        <f t="shared" si="9"/>
        <v>1.2516548463356973</v>
      </c>
      <c r="F62" s="574"/>
      <c r="G62" s="540"/>
      <c r="H62" s="540"/>
      <c r="L62" s="14"/>
      <c r="M62" s="14"/>
      <c r="N62" s="14"/>
      <c r="O62" s="514" t="s">
        <v>328</v>
      </c>
      <c r="P62" s="514"/>
      <c r="Q62" s="192">
        <v>19.7</v>
      </c>
      <c r="R62" s="175"/>
      <c r="S62" s="178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</row>
    <row r="63" spans="1:50" s="11" customFormat="1" ht="15" customHeight="1" x14ac:dyDescent="0.3">
      <c r="A63" s="79" t="s">
        <v>33</v>
      </c>
      <c r="B63" s="80">
        <f>'GERAL 2022'!J37</f>
        <v>118.18</v>
      </c>
      <c r="C63" s="77"/>
      <c r="D63" s="78">
        <v>6</v>
      </c>
      <c r="E63" s="80">
        <f t="shared" si="9"/>
        <v>19.696666666666669</v>
      </c>
      <c r="F63" s="574"/>
      <c r="G63" s="540"/>
      <c r="H63" s="540"/>
      <c r="L63" s="63"/>
      <c r="M63" s="63"/>
      <c r="N63" s="63"/>
      <c r="O63" s="514" t="s">
        <v>224</v>
      </c>
      <c r="P63" s="514"/>
      <c r="Q63" s="192">
        <v>19.7</v>
      </c>
      <c r="S63" s="14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</row>
    <row r="64" spans="1:50" s="11" customFormat="1" ht="14.4" x14ac:dyDescent="0.3">
      <c r="A64" s="12" t="s">
        <v>34</v>
      </c>
      <c r="B64" s="2">
        <f>'GERAL 2023'!H10</f>
        <v>15.019858156028368</v>
      </c>
      <c r="C64" s="2"/>
      <c r="D64" s="88">
        <v>12</v>
      </c>
      <c r="E64" s="2">
        <f t="shared" si="9"/>
        <v>1.2516548463356973</v>
      </c>
      <c r="F64" s="574"/>
      <c r="G64" s="540"/>
      <c r="H64" s="540"/>
      <c r="L64" s="14"/>
      <c r="M64" s="14"/>
      <c r="N64" s="14"/>
      <c r="O64" s="514" t="s">
        <v>238</v>
      </c>
      <c r="P64" s="514"/>
      <c r="Q64" s="192">
        <v>19.75</v>
      </c>
      <c r="R64" s="175"/>
      <c r="S64" s="178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</row>
    <row r="65" spans="1:49" s="11" customFormat="1" ht="14.4" x14ac:dyDescent="0.3">
      <c r="A65" s="79" t="s">
        <v>41</v>
      </c>
      <c r="B65" s="80">
        <f>'GERAL 2022'!J11</f>
        <v>118.18</v>
      </c>
      <c r="C65" s="77"/>
      <c r="D65" s="78">
        <v>6</v>
      </c>
      <c r="E65" s="80">
        <f t="shared" si="9"/>
        <v>19.696666666666669</v>
      </c>
      <c r="F65" s="574"/>
      <c r="G65" s="540"/>
      <c r="H65" s="540"/>
      <c r="L65" s="63"/>
      <c r="M65" s="63"/>
      <c r="N65" s="63"/>
      <c r="O65" s="514" t="s">
        <v>537</v>
      </c>
      <c r="P65" s="514"/>
      <c r="Q65" s="192">
        <v>19.7</v>
      </c>
      <c r="R65" s="175"/>
      <c r="S65" s="178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</row>
    <row r="66" spans="1:49" s="11" customFormat="1" ht="14.4" x14ac:dyDescent="0.3">
      <c r="A66" s="12" t="s">
        <v>42</v>
      </c>
      <c r="B66" s="2">
        <f>'GERAL 2023'!H11</f>
        <v>15.019858156028368</v>
      </c>
      <c r="C66" s="2"/>
      <c r="D66" s="88">
        <v>12</v>
      </c>
      <c r="E66" s="2">
        <f t="shared" si="9"/>
        <v>1.2516548463356973</v>
      </c>
      <c r="F66" s="574"/>
      <c r="G66" s="540"/>
      <c r="H66" s="540"/>
      <c r="O66" s="514" t="s">
        <v>311</v>
      </c>
      <c r="P66" s="514"/>
      <c r="Q66" s="192">
        <v>19.89</v>
      </c>
      <c r="R66" s="175"/>
      <c r="S66" s="178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</row>
    <row r="67" spans="1:49" s="11" customFormat="1" ht="14.4" x14ac:dyDescent="0.3">
      <c r="A67" s="79" t="s">
        <v>66</v>
      </c>
      <c r="B67" s="80">
        <f>'GERAL 2022'!J38</f>
        <v>117.85</v>
      </c>
      <c r="C67" s="77"/>
      <c r="D67" s="78">
        <v>6</v>
      </c>
      <c r="E67" s="80">
        <f t="shared" si="9"/>
        <v>19.641666666666666</v>
      </c>
      <c r="F67" s="574"/>
      <c r="G67" s="540"/>
      <c r="H67" s="540"/>
      <c r="L67" s="63"/>
      <c r="M67" s="63"/>
      <c r="N67" s="63"/>
      <c r="O67" s="514" t="s">
        <v>124</v>
      </c>
      <c r="P67" s="514"/>
      <c r="Q67" s="192">
        <v>19.75</v>
      </c>
      <c r="R67" s="175"/>
      <c r="S67" s="178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</row>
    <row r="68" spans="1:49" s="11" customFormat="1" ht="14.4" x14ac:dyDescent="0.3">
      <c r="A68" s="12" t="s">
        <v>67</v>
      </c>
      <c r="B68" s="2">
        <f>'GERAL 2023'!H12</f>
        <v>15.019858156028368</v>
      </c>
      <c r="C68" s="2"/>
      <c r="D68" s="88">
        <v>12</v>
      </c>
      <c r="E68" s="2">
        <f t="shared" si="9"/>
        <v>1.2516548463356973</v>
      </c>
      <c r="F68" s="574"/>
      <c r="G68" s="540"/>
      <c r="H68" s="540"/>
      <c r="L68" s="14"/>
      <c r="M68" s="14"/>
      <c r="N68" s="14"/>
      <c r="O68" s="514" t="s">
        <v>126</v>
      </c>
      <c r="P68" s="514"/>
      <c r="Q68" s="192">
        <v>101.57</v>
      </c>
      <c r="R68" s="175"/>
      <c r="S68" s="185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</row>
    <row r="69" spans="1:49" s="11" customFormat="1" ht="14.4" x14ac:dyDescent="0.3">
      <c r="A69" s="79" t="s">
        <v>14</v>
      </c>
      <c r="B69" s="80">
        <f>'GERAL 2022'!J13</f>
        <v>117.85</v>
      </c>
      <c r="C69" s="77"/>
      <c r="D69" s="78">
        <v>6</v>
      </c>
      <c r="E69" s="80">
        <f t="shared" si="9"/>
        <v>19.641666666666666</v>
      </c>
      <c r="F69" s="574"/>
      <c r="G69" s="540"/>
      <c r="H69" s="540"/>
      <c r="L69" s="63"/>
      <c r="M69" s="63"/>
      <c r="N69" s="63"/>
      <c r="O69" s="583" t="s">
        <v>127</v>
      </c>
      <c r="P69" s="583"/>
      <c r="Q69" s="192">
        <v>1412.1</v>
      </c>
      <c r="R69" s="175"/>
      <c r="S69" s="176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</row>
    <row r="70" spans="1:49" s="11" customFormat="1" ht="14.4" x14ac:dyDescent="0.3">
      <c r="A70" s="12" t="s">
        <v>15</v>
      </c>
      <c r="B70" s="2">
        <f>'GERAL 2023'!H13</f>
        <v>15.019858156028368</v>
      </c>
      <c r="C70" s="2"/>
      <c r="D70" s="88">
        <v>12</v>
      </c>
      <c r="E70" s="2">
        <f t="shared" si="9"/>
        <v>1.2516548463356973</v>
      </c>
      <c r="F70" s="574"/>
      <c r="G70" s="540"/>
      <c r="H70" s="540"/>
      <c r="L70" s="14"/>
      <c r="M70" s="14"/>
      <c r="N70" s="14"/>
      <c r="O70" s="514" t="s">
        <v>793</v>
      </c>
      <c r="P70" s="514"/>
      <c r="Q70" s="196">
        <v>25.08</v>
      </c>
      <c r="R70" s="175"/>
      <c r="S70" s="176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</row>
    <row r="71" spans="1:49" s="11" customFormat="1" ht="14.4" x14ac:dyDescent="0.3">
      <c r="A71" s="79" t="s">
        <v>55</v>
      </c>
      <c r="B71" s="80">
        <f>'GERAL 2022'!J14</f>
        <v>117.85</v>
      </c>
      <c r="C71" s="77"/>
      <c r="D71" s="78">
        <v>6</v>
      </c>
      <c r="E71" s="80">
        <f t="shared" si="9"/>
        <v>19.641666666666666</v>
      </c>
      <c r="F71" s="574"/>
      <c r="G71" s="540"/>
      <c r="H71" s="540"/>
      <c r="L71" s="87"/>
      <c r="M71" s="87"/>
      <c r="N71" s="87"/>
      <c r="O71" s="581" t="s">
        <v>870</v>
      </c>
      <c r="P71" s="582"/>
      <c r="Q71" s="212">
        <v>250</v>
      </c>
      <c r="R71" s="175"/>
      <c r="S71" s="176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</row>
    <row r="72" spans="1:49" s="11" customFormat="1" ht="14.4" x14ac:dyDescent="0.3">
      <c r="A72" s="12" t="s">
        <v>56</v>
      </c>
      <c r="B72" s="2">
        <f>'GERAL 2023'!H14</f>
        <v>15.019858156028368</v>
      </c>
      <c r="C72" s="2"/>
      <c r="D72" s="88">
        <v>12</v>
      </c>
      <c r="E72" s="2">
        <f t="shared" si="9"/>
        <v>1.2516548463356973</v>
      </c>
      <c r="F72" s="574"/>
      <c r="G72" s="540"/>
      <c r="H72" s="540"/>
      <c r="O72" s="520"/>
      <c r="P72" s="520"/>
      <c r="Q72" s="196"/>
      <c r="R72" s="175"/>
      <c r="S72" s="176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</row>
    <row r="73" spans="1:49" s="11" customFormat="1" ht="14.4" x14ac:dyDescent="0.3">
      <c r="A73" s="79" t="s">
        <v>35</v>
      </c>
      <c r="B73" s="80">
        <f>'GERAL 2022'!J15</f>
        <v>117.85</v>
      </c>
      <c r="C73" s="77"/>
      <c r="D73" s="78">
        <v>6</v>
      </c>
      <c r="E73" s="80">
        <f t="shared" si="9"/>
        <v>19.641666666666666</v>
      </c>
      <c r="F73" s="574"/>
      <c r="G73" s="540"/>
      <c r="H73" s="540"/>
      <c r="O73" s="563"/>
      <c r="P73" s="563"/>
      <c r="Q73" s="212"/>
      <c r="R73" s="175"/>
      <c r="S73" s="176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</row>
    <row r="74" spans="1:49" s="11" customFormat="1" ht="14.4" x14ac:dyDescent="0.3">
      <c r="A74" s="12" t="s">
        <v>36</v>
      </c>
      <c r="B74" s="2">
        <f>'GERAL 2023'!H15</f>
        <v>15.019858156028368</v>
      </c>
      <c r="C74" s="2"/>
      <c r="D74" s="88">
        <v>12</v>
      </c>
      <c r="E74" s="2">
        <f t="shared" si="9"/>
        <v>1.2516548463356973</v>
      </c>
      <c r="F74" s="574"/>
      <c r="G74" s="540"/>
      <c r="H74" s="540"/>
      <c r="O74" s="520"/>
      <c r="P74" s="520"/>
      <c r="Q74" s="165"/>
      <c r="R74" s="175"/>
      <c r="S74" s="178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</row>
    <row r="75" spans="1:49" s="11" customFormat="1" ht="14.4" x14ac:dyDescent="0.3">
      <c r="A75" s="79" t="s">
        <v>47</v>
      </c>
      <c r="B75" s="80">
        <f>'GERAL 2022'!J39</f>
        <v>118.18</v>
      </c>
      <c r="C75" s="77"/>
      <c r="D75" s="78">
        <v>6</v>
      </c>
      <c r="E75" s="80">
        <f t="shared" si="9"/>
        <v>19.696666666666669</v>
      </c>
      <c r="F75" s="574"/>
      <c r="G75" s="540"/>
      <c r="H75" s="540"/>
      <c r="L75" s="14"/>
      <c r="M75" s="14"/>
      <c r="N75" s="14"/>
      <c r="O75" s="518" t="s">
        <v>26</v>
      </c>
      <c r="P75" s="518"/>
      <c r="Q75" s="109">
        <f>SUM(Q49:Q74)</f>
        <v>3925.5077068557921</v>
      </c>
      <c r="R75" s="175"/>
      <c r="S75" s="178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</row>
    <row r="76" spans="1:49" s="11" customFormat="1" ht="14.4" x14ac:dyDescent="0.3">
      <c r="A76" s="12" t="s">
        <v>48</v>
      </c>
      <c r="B76" s="2">
        <f>'GERAL 2023'!H16</f>
        <v>15.019858156028368</v>
      </c>
      <c r="C76" s="2"/>
      <c r="D76" s="88">
        <v>12</v>
      </c>
      <c r="E76" s="2">
        <f t="shared" si="9"/>
        <v>1.2516548463356973</v>
      </c>
      <c r="F76" s="574"/>
      <c r="G76" s="540"/>
      <c r="H76" s="540"/>
      <c r="L76" s="15"/>
      <c r="M76" s="15"/>
      <c r="N76" s="15"/>
      <c r="O76" s="543"/>
      <c r="P76" s="543"/>
      <c r="Q76" s="135"/>
      <c r="R76" s="175"/>
      <c r="S76" s="178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</row>
    <row r="77" spans="1:49" s="11" customFormat="1" ht="14.4" x14ac:dyDescent="0.3">
      <c r="A77" s="79" t="s">
        <v>16</v>
      </c>
      <c r="B77" s="80">
        <f>'GERAL 2023'!J36</f>
        <v>119.02</v>
      </c>
      <c r="C77" s="77"/>
      <c r="D77" s="78">
        <v>6</v>
      </c>
      <c r="E77" s="80">
        <f t="shared" si="9"/>
        <v>19.836666666666666</v>
      </c>
      <c r="F77" s="574"/>
      <c r="G77" s="540"/>
      <c r="H77" s="540"/>
      <c r="L77" s="14"/>
      <c r="M77" s="14"/>
      <c r="N77" s="14"/>
      <c r="O77" s="564" t="s">
        <v>11</v>
      </c>
      <c r="P77" s="565"/>
      <c r="Q77" s="153">
        <f>L6+L36+L40</f>
        <v>16394.895815602838</v>
      </c>
      <c r="R77" s="175"/>
      <c r="S77" s="178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</row>
    <row r="78" spans="1:49" s="11" customFormat="1" ht="14.4" x14ac:dyDescent="0.3">
      <c r="A78" s="12" t="s">
        <v>17</v>
      </c>
      <c r="B78" s="2">
        <f>'GERAL 2023'!H36</f>
        <v>21.027801418439715</v>
      </c>
      <c r="C78" s="2"/>
      <c r="D78" s="88">
        <v>12</v>
      </c>
      <c r="E78" s="2">
        <f t="shared" si="9"/>
        <v>1.7523167848699763</v>
      </c>
      <c r="F78" s="574"/>
      <c r="G78" s="540"/>
      <c r="H78" s="540"/>
      <c r="L78" s="14"/>
      <c r="M78" s="14"/>
      <c r="N78" s="14"/>
      <c r="O78" s="518"/>
      <c r="P78" s="518"/>
      <c r="Q78" s="519"/>
      <c r="R78" s="175"/>
      <c r="S78" s="178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</row>
    <row r="79" spans="1:49" s="11" customFormat="1" ht="14.4" x14ac:dyDescent="0.3">
      <c r="A79" s="79" t="s">
        <v>27</v>
      </c>
      <c r="B79" s="80">
        <f>'GERAL 2023'!J37</f>
        <v>118.68</v>
      </c>
      <c r="C79" s="77"/>
      <c r="D79" s="78">
        <v>6</v>
      </c>
      <c r="E79" s="80">
        <f t="shared" si="9"/>
        <v>19.78</v>
      </c>
      <c r="F79" s="574"/>
      <c r="G79" s="540"/>
      <c r="H79" s="540"/>
      <c r="L79" s="14"/>
      <c r="M79" s="14"/>
      <c r="N79" s="14"/>
      <c r="O79" s="513" t="s">
        <v>13</v>
      </c>
      <c r="P79" s="513"/>
      <c r="Q79" s="151">
        <f>Q77-Q75</f>
        <v>12469.388108747047</v>
      </c>
      <c r="R79" s="175"/>
      <c r="S79" s="178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</row>
    <row r="80" spans="1:49" s="11" customFormat="1" x14ac:dyDescent="0.3">
      <c r="A80" s="12" t="s">
        <v>28</v>
      </c>
      <c r="B80" s="2">
        <f>'GERAL 2023'!H37</f>
        <v>15.019858156028368</v>
      </c>
      <c r="C80" s="2"/>
      <c r="D80" s="88">
        <v>12</v>
      </c>
      <c r="E80" s="2">
        <f t="shared" si="9"/>
        <v>1.2516548463356973</v>
      </c>
      <c r="F80" s="574"/>
      <c r="G80" s="540"/>
      <c r="H80" s="540"/>
      <c r="L80" s="14"/>
      <c r="M80" s="14"/>
      <c r="N80" s="14"/>
      <c r="O80" s="124"/>
      <c r="P80" s="124"/>
      <c r="Q80" s="57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</row>
    <row r="81" spans="1:49" s="69" customFormat="1" x14ac:dyDescent="0.3">
      <c r="A81" s="79" t="s">
        <v>18</v>
      </c>
      <c r="B81" s="80">
        <f>'GERAL 2022'!J41</f>
        <v>118.18</v>
      </c>
      <c r="C81" s="77"/>
      <c r="D81" s="78">
        <v>6</v>
      </c>
      <c r="E81" s="80">
        <f t="shared" si="9"/>
        <v>19.696666666666669</v>
      </c>
      <c r="F81" s="574"/>
      <c r="G81" s="540"/>
      <c r="H81" s="540"/>
      <c r="I81" s="11"/>
      <c r="J81" s="11"/>
      <c r="K81" s="11"/>
      <c r="L81" s="14"/>
      <c r="M81" s="14"/>
      <c r="N81" s="14"/>
      <c r="O81" s="124"/>
      <c r="P81" s="124"/>
      <c r="Q81" s="57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s="69" customFormat="1" x14ac:dyDescent="0.3">
      <c r="A82" s="12" t="s">
        <v>19</v>
      </c>
      <c r="B82" s="2">
        <f>'GERAL 2023'!H19</f>
        <v>15.019858156028368</v>
      </c>
      <c r="C82" s="2"/>
      <c r="D82" s="88">
        <v>12</v>
      </c>
      <c r="E82" s="2">
        <f>B82/D82</f>
        <v>1.2516548463356973</v>
      </c>
      <c r="F82" s="574"/>
      <c r="G82" s="540"/>
      <c r="H82" s="540"/>
      <c r="I82" s="11"/>
      <c r="J82" s="11"/>
      <c r="K82" s="11"/>
      <c r="L82" s="14"/>
      <c r="M82" s="14"/>
      <c r="N82" s="14"/>
      <c r="O82" s="124"/>
      <c r="P82" s="124"/>
      <c r="Q82" s="57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s="69" customFormat="1" x14ac:dyDescent="0.3">
      <c r="A83" s="79" t="s">
        <v>37</v>
      </c>
      <c r="B83" s="80">
        <f>'GERAL 2022'!J42</f>
        <v>118.92</v>
      </c>
      <c r="C83" s="77"/>
      <c r="D83" s="78">
        <v>6</v>
      </c>
      <c r="E83" s="80">
        <f t="shared" si="9"/>
        <v>19.82</v>
      </c>
      <c r="F83" s="574"/>
      <c r="G83" s="540"/>
      <c r="H83" s="540"/>
      <c r="I83" s="11"/>
      <c r="J83" s="11"/>
      <c r="K83" s="11"/>
      <c r="L83" s="14"/>
      <c r="M83" s="14"/>
      <c r="N83" s="14"/>
      <c r="O83" s="124"/>
      <c r="P83" s="124"/>
      <c r="Q83" s="57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s="69" customFormat="1" x14ac:dyDescent="0.3">
      <c r="A84" s="12" t="s">
        <v>38</v>
      </c>
      <c r="B84" s="2">
        <f>'GERAL 2023'!H20</f>
        <v>15.019858156028368</v>
      </c>
      <c r="C84" s="2"/>
      <c r="D84" s="88">
        <v>12</v>
      </c>
      <c r="E84" s="2">
        <f t="shared" si="9"/>
        <v>1.2516548463356973</v>
      </c>
      <c r="F84" s="574"/>
      <c r="G84" s="540"/>
      <c r="H84" s="540"/>
      <c r="I84" s="11"/>
      <c r="J84" s="11"/>
      <c r="K84" s="11"/>
      <c r="L84" s="14"/>
      <c r="M84" s="14"/>
      <c r="N84" s="14"/>
      <c r="O84" s="15"/>
      <c r="P84" s="14"/>
      <c r="Q84" s="57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s="69" customFormat="1" x14ac:dyDescent="0.3">
      <c r="A85" s="79" t="s">
        <v>45</v>
      </c>
      <c r="B85" s="80">
        <f>'GERAL 2022'!J43</f>
        <v>117.85</v>
      </c>
      <c r="C85" s="77"/>
      <c r="D85" s="78">
        <v>6</v>
      </c>
      <c r="E85" s="80">
        <f t="shared" si="9"/>
        <v>19.641666666666666</v>
      </c>
      <c r="F85" s="574"/>
      <c r="G85" s="540"/>
      <c r="H85" s="540"/>
      <c r="I85" s="11"/>
      <c r="J85" s="11"/>
      <c r="K85" s="11"/>
      <c r="L85" s="14"/>
      <c r="M85" s="14"/>
      <c r="N85" s="14"/>
      <c r="O85" s="11"/>
      <c r="P85" s="15"/>
      <c r="Q85" s="57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s="69" customFormat="1" x14ac:dyDescent="0.3">
      <c r="A86" s="12" t="s">
        <v>39</v>
      </c>
      <c r="B86" s="2">
        <f>'GERAL 2023'!H21</f>
        <v>15.019858156028368</v>
      </c>
      <c r="C86" s="2"/>
      <c r="D86" s="88">
        <v>12</v>
      </c>
      <c r="E86" s="2">
        <f t="shared" si="9"/>
        <v>1.2516548463356973</v>
      </c>
      <c r="F86" s="574"/>
      <c r="G86" s="540"/>
      <c r="H86" s="540"/>
      <c r="I86" s="11"/>
      <c r="J86" s="11"/>
      <c r="K86" s="11"/>
      <c r="L86" s="14"/>
      <c r="M86" s="14"/>
      <c r="N86" s="14"/>
      <c r="O86" s="11"/>
      <c r="P86" s="11"/>
      <c r="Q86" s="57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s="69" customFormat="1" x14ac:dyDescent="0.3">
      <c r="A87" s="81" t="s">
        <v>49</v>
      </c>
      <c r="B87" s="80">
        <f>'GERAL 2022'!J22</f>
        <v>119.12</v>
      </c>
      <c r="C87" s="77"/>
      <c r="D87" s="78">
        <v>6</v>
      </c>
      <c r="E87" s="80">
        <f t="shared" si="9"/>
        <v>19.853333333333335</v>
      </c>
      <c r="F87" s="574"/>
      <c r="G87" s="540"/>
      <c r="H87" s="540"/>
      <c r="I87" s="11"/>
      <c r="J87" s="11"/>
      <c r="K87" s="11"/>
      <c r="L87" s="14"/>
      <c r="M87" s="14"/>
      <c r="N87" s="14"/>
      <c r="O87" s="14"/>
      <c r="P87" s="14"/>
      <c r="Q87" s="57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s="69" customFormat="1" x14ac:dyDescent="0.3">
      <c r="A88" s="90" t="s">
        <v>50</v>
      </c>
      <c r="B88" s="2">
        <f>'GERAL 2023'!H22</f>
        <v>15.019858156028368</v>
      </c>
      <c r="C88" s="2"/>
      <c r="D88" s="88">
        <v>12</v>
      </c>
      <c r="E88" s="2">
        <f t="shared" si="9"/>
        <v>1.2516548463356973</v>
      </c>
      <c r="F88" s="574"/>
      <c r="G88" s="540"/>
      <c r="H88" s="540"/>
      <c r="I88" s="11"/>
      <c r="J88" s="11"/>
      <c r="K88" s="11"/>
      <c r="L88" s="14"/>
      <c r="M88" s="14"/>
      <c r="N88" s="14"/>
      <c r="O88" s="14"/>
      <c r="P88" s="15"/>
      <c r="Q88" s="57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69" customFormat="1" x14ac:dyDescent="0.3">
      <c r="A89" s="81" t="s">
        <v>43</v>
      </c>
      <c r="B89" s="80">
        <f>'GERAL 2022'!J23</f>
        <v>117.26</v>
      </c>
      <c r="C89" s="77"/>
      <c r="D89" s="78">
        <v>6</v>
      </c>
      <c r="E89" s="80">
        <f t="shared" si="9"/>
        <v>19.543333333333333</v>
      </c>
      <c r="F89" s="574"/>
      <c r="G89" s="540"/>
      <c r="H89" s="540"/>
      <c r="I89" s="11"/>
      <c r="J89" s="11"/>
      <c r="K89" s="11"/>
      <c r="L89" s="14"/>
      <c r="M89" s="14"/>
      <c r="N89" s="14"/>
      <c r="O89" s="14"/>
      <c r="P89" s="11"/>
      <c r="Q89" s="57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s="69" customFormat="1" x14ac:dyDescent="0.3">
      <c r="A90" s="90" t="s">
        <v>44</v>
      </c>
      <c r="B90" s="2">
        <f>'GERAL 2023'!H23</f>
        <v>15.019858156028368</v>
      </c>
      <c r="C90" s="2"/>
      <c r="D90" s="88">
        <v>12</v>
      </c>
      <c r="E90" s="2">
        <f t="shared" si="9"/>
        <v>1.2516548463356973</v>
      </c>
      <c r="F90" s="574"/>
      <c r="G90" s="540"/>
      <c r="H90" s="540"/>
      <c r="I90" s="11"/>
      <c r="J90" s="11"/>
      <c r="K90" s="11"/>
      <c r="L90" s="14"/>
      <c r="M90" s="14"/>
      <c r="N90" s="14"/>
      <c r="O90" s="14"/>
      <c r="P90" s="11"/>
      <c r="Q90" s="57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s="69" customFormat="1" x14ac:dyDescent="0.3">
      <c r="A91" s="81" t="s">
        <v>51</v>
      </c>
      <c r="B91" s="80">
        <f>'GERAL 2022'!J24</f>
        <v>117.26</v>
      </c>
      <c r="C91" s="77"/>
      <c r="D91" s="78">
        <v>6</v>
      </c>
      <c r="E91" s="80">
        <f t="shared" si="9"/>
        <v>19.543333333333333</v>
      </c>
      <c r="F91" s="574"/>
      <c r="G91" s="540"/>
      <c r="H91" s="540"/>
      <c r="I91" s="11"/>
      <c r="J91" s="11"/>
      <c r="K91" s="11"/>
      <c r="L91" s="14"/>
      <c r="M91" s="14"/>
      <c r="N91" s="14"/>
      <c r="O91" s="11"/>
      <c r="P91" s="11"/>
      <c r="Q91" s="57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</row>
    <row r="92" spans="1:49" s="69" customFormat="1" x14ac:dyDescent="0.3">
      <c r="A92" s="90" t="s">
        <v>52</v>
      </c>
      <c r="B92" s="2">
        <f>'GERAL 2023'!H24</f>
        <v>15.019858156028368</v>
      </c>
      <c r="C92" s="2"/>
      <c r="D92" s="88">
        <v>12</v>
      </c>
      <c r="E92" s="2">
        <f t="shared" si="9"/>
        <v>1.2516548463356973</v>
      </c>
      <c r="F92" s="574"/>
      <c r="G92" s="540"/>
      <c r="H92" s="540"/>
      <c r="L92" s="142"/>
      <c r="M92" s="142"/>
      <c r="N92" s="142"/>
      <c r="O92" s="11"/>
      <c r="P92" s="14"/>
      <c r="Q92" s="57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</row>
    <row r="93" spans="1:49" s="70" customFormat="1" x14ac:dyDescent="0.3">
      <c r="A93" s="81" t="s">
        <v>53</v>
      </c>
      <c r="B93" s="80">
        <f>'GERAL 2022'!J25</f>
        <v>117.85</v>
      </c>
      <c r="C93" s="77"/>
      <c r="D93" s="78">
        <v>6</v>
      </c>
      <c r="E93" s="80">
        <f t="shared" si="9"/>
        <v>19.641666666666666</v>
      </c>
      <c r="F93" s="574"/>
      <c r="G93" s="540"/>
      <c r="H93" s="540"/>
      <c r="I93" s="63"/>
      <c r="J93" s="63"/>
      <c r="K93" s="63"/>
      <c r="L93" s="69"/>
      <c r="M93" s="69"/>
      <c r="N93" s="69"/>
      <c r="O93" s="11"/>
      <c r="P93" s="14"/>
      <c r="Q93" s="57"/>
    </row>
    <row r="94" spans="1:49" s="70" customFormat="1" ht="15" customHeight="1" x14ac:dyDescent="0.3">
      <c r="A94" s="90" t="s">
        <v>54</v>
      </c>
      <c r="B94" s="2">
        <f>'GERAL 2023'!H25</f>
        <v>15.019858156028368</v>
      </c>
      <c r="C94" s="2"/>
      <c r="D94" s="88">
        <v>12</v>
      </c>
      <c r="E94" s="2">
        <f t="shared" si="9"/>
        <v>1.2516548463356973</v>
      </c>
      <c r="F94" s="574"/>
      <c r="G94" s="540"/>
      <c r="H94" s="540"/>
      <c r="I94" s="11"/>
      <c r="J94" s="11"/>
      <c r="K94" s="63"/>
      <c r="L94" s="142"/>
      <c r="M94" s="142"/>
      <c r="N94" s="142"/>
      <c r="O94" s="11"/>
      <c r="P94" s="14"/>
      <c r="Q94" s="57"/>
      <c r="AW94" s="69"/>
    </row>
    <row r="95" spans="1:49" s="70" customFormat="1" x14ac:dyDescent="0.3">
      <c r="A95" s="81" t="s">
        <v>78</v>
      </c>
      <c r="B95" s="80">
        <f>'GERAL 2022'!J26</f>
        <v>119.02</v>
      </c>
      <c r="C95" s="77"/>
      <c r="D95" s="78">
        <v>6</v>
      </c>
      <c r="E95" s="80">
        <f t="shared" si="9"/>
        <v>19.836666666666666</v>
      </c>
      <c r="F95" s="574"/>
      <c r="G95" s="540"/>
      <c r="H95" s="540"/>
      <c r="I95" s="142"/>
      <c r="J95" s="142"/>
      <c r="K95" s="142"/>
      <c r="L95" s="142"/>
      <c r="M95" s="142"/>
      <c r="N95" s="142"/>
      <c r="O95" s="11"/>
      <c r="P95" s="14"/>
      <c r="Q95" s="57"/>
      <c r="AW95" s="69"/>
    </row>
    <row r="96" spans="1:49" s="70" customFormat="1" x14ac:dyDescent="0.3">
      <c r="A96" s="90" t="s">
        <v>79</v>
      </c>
      <c r="B96" s="2">
        <f>'GERAL 2023'!H26</f>
        <v>21.027801418439715</v>
      </c>
      <c r="C96" s="2"/>
      <c r="D96" s="88">
        <v>12</v>
      </c>
      <c r="E96" s="2">
        <f t="shared" si="9"/>
        <v>1.7523167848699763</v>
      </c>
      <c r="F96" s="574"/>
      <c r="G96" s="540"/>
      <c r="H96" s="540"/>
      <c r="I96" s="11"/>
      <c r="J96" s="11"/>
      <c r="K96" s="63"/>
      <c r="L96" s="142"/>
      <c r="M96" s="142"/>
      <c r="N96" s="142"/>
      <c r="O96" s="11"/>
      <c r="P96" s="11"/>
      <c r="Q96" s="57"/>
      <c r="AW96" s="69"/>
    </row>
    <row r="97" spans="1:49" s="70" customFormat="1" x14ac:dyDescent="0.3">
      <c r="A97" s="81" t="s">
        <v>80</v>
      </c>
      <c r="B97" s="80">
        <f>'GERAL 2022'!J44</f>
        <v>118.53</v>
      </c>
      <c r="C97" s="77"/>
      <c r="D97" s="78">
        <v>6</v>
      </c>
      <c r="E97" s="80">
        <f t="shared" si="9"/>
        <v>19.754999999999999</v>
      </c>
      <c r="F97" s="574"/>
      <c r="G97" s="540"/>
      <c r="H97" s="540"/>
      <c r="I97" s="142"/>
      <c r="J97" s="142"/>
      <c r="K97" s="142"/>
      <c r="L97" s="142"/>
      <c r="M97" s="142"/>
      <c r="N97" s="142"/>
      <c r="O97" s="11"/>
      <c r="P97" s="11"/>
      <c r="Q97" s="57"/>
      <c r="AW97" s="69"/>
    </row>
    <row r="98" spans="1:49" s="70" customFormat="1" x14ac:dyDescent="0.3">
      <c r="A98" s="90" t="s">
        <v>81</v>
      </c>
      <c r="B98" s="2">
        <f>'GERAL 2023'!H27</f>
        <v>15.019858156028368</v>
      </c>
      <c r="C98" s="2"/>
      <c r="D98" s="88">
        <v>12</v>
      </c>
      <c r="E98" s="2">
        <f t="shared" si="9"/>
        <v>1.2516548463356973</v>
      </c>
      <c r="F98" s="574"/>
      <c r="G98" s="540"/>
      <c r="H98" s="540"/>
      <c r="I98" s="11"/>
      <c r="J98" s="11"/>
      <c r="K98" s="63"/>
      <c r="L98" s="142"/>
      <c r="M98" s="142"/>
      <c r="N98" s="142"/>
      <c r="O98" s="69"/>
      <c r="P98" s="69"/>
      <c r="Q98" s="69"/>
      <c r="AW98" s="69"/>
    </row>
    <row r="99" spans="1:49" s="70" customFormat="1" x14ac:dyDescent="0.3">
      <c r="A99" s="81" t="s">
        <v>82</v>
      </c>
      <c r="B99" s="80">
        <f>'GERAL 2022'!J28</f>
        <v>117.95</v>
      </c>
      <c r="C99" s="77"/>
      <c r="D99" s="78">
        <v>6</v>
      </c>
      <c r="E99" s="80">
        <f t="shared" si="9"/>
        <v>19.658333333333335</v>
      </c>
      <c r="F99" s="574"/>
      <c r="G99" s="540"/>
      <c r="H99" s="540"/>
      <c r="I99" s="142"/>
      <c r="J99" s="142"/>
      <c r="K99" s="142"/>
      <c r="L99" s="142"/>
      <c r="M99" s="142"/>
      <c r="N99" s="142"/>
      <c r="O99" s="69"/>
      <c r="P99" s="69"/>
      <c r="Q99" s="69"/>
      <c r="AW99" s="69"/>
    </row>
    <row r="100" spans="1:49" s="70" customFormat="1" x14ac:dyDescent="0.3">
      <c r="A100" s="90" t="s">
        <v>83</v>
      </c>
      <c r="B100" s="2">
        <f>'GERAL 2023'!H28</f>
        <v>15.019858156028368</v>
      </c>
      <c r="C100" s="2"/>
      <c r="D100" s="88">
        <v>12</v>
      </c>
      <c r="E100" s="2">
        <f t="shared" si="9"/>
        <v>1.2516548463356973</v>
      </c>
      <c r="F100" s="574"/>
      <c r="G100" s="540"/>
      <c r="H100" s="540"/>
      <c r="I100" s="11"/>
      <c r="J100" s="11"/>
      <c r="K100" s="63"/>
      <c r="L100" s="142"/>
      <c r="M100" s="142"/>
      <c r="N100" s="142"/>
      <c r="O100" s="69"/>
      <c r="P100" s="69"/>
      <c r="Q100" s="69"/>
      <c r="AW100" s="69"/>
    </row>
    <row r="101" spans="1:49" s="70" customFormat="1" x14ac:dyDescent="0.3">
      <c r="A101" s="81" t="s">
        <v>84</v>
      </c>
      <c r="B101" s="80">
        <f>'GERAL 2022'!J45</f>
        <v>118.18</v>
      </c>
      <c r="C101" s="77"/>
      <c r="D101" s="78">
        <v>6</v>
      </c>
      <c r="E101" s="80">
        <f t="shared" si="9"/>
        <v>19.696666666666669</v>
      </c>
      <c r="F101" s="574"/>
      <c r="G101" s="540"/>
      <c r="H101" s="540"/>
      <c r="I101" s="142"/>
      <c r="J101" s="142"/>
      <c r="K101" s="142"/>
      <c r="L101" s="142"/>
      <c r="M101" s="142"/>
      <c r="N101" s="142"/>
      <c r="O101" s="69"/>
      <c r="P101" s="69"/>
      <c r="Q101" s="69"/>
      <c r="AW101" s="69"/>
    </row>
    <row r="102" spans="1:49" s="70" customFormat="1" x14ac:dyDescent="0.3">
      <c r="A102" s="90" t="s">
        <v>85</v>
      </c>
      <c r="B102" s="2">
        <f>'GERAL 2023'!H29</f>
        <v>15.019858156028368</v>
      </c>
      <c r="C102" s="2"/>
      <c r="D102" s="88">
        <v>12</v>
      </c>
      <c r="E102" s="2">
        <f t="shared" si="9"/>
        <v>1.2516548463356973</v>
      </c>
      <c r="F102" s="574"/>
      <c r="G102" s="540"/>
      <c r="H102" s="540"/>
      <c r="I102" s="11"/>
      <c r="J102" s="11"/>
      <c r="K102" s="63"/>
      <c r="L102" s="142"/>
      <c r="M102" s="142"/>
      <c r="N102" s="142"/>
      <c r="O102" s="69"/>
      <c r="P102" s="69"/>
      <c r="Q102" s="69"/>
      <c r="AW102" s="69"/>
    </row>
    <row r="103" spans="1:49" s="70" customFormat="1" x14ac:dyDescent="0.3">
      <c r="A103" s="69"/>
      <c r="B103" s="189"/>
      <c r="C103" s="189"/>
      <c r="D103" s="189"/>
      <c r="E103" s="189"/>
      <c r="F103" s="574"/>
      <c r="G103" s="540"/>
      <c r="H103" s="540"/>
      <c r="I103" s="142"/>
      <c r="J103" s="142"/>
      <c r="K103" s="142"/>
      <c r="L103" s="142"/>
      <c r="M103" s="142"/>
      <c r="N103" s="142"/>
      <c r="O103" s="69"/>
      <c r="P103" s="69"/>
      <c r="Q103" s="69"/>
      <c r="AW103" s="69"/>
    </row>
    <row r="104" spans="1:49" s="70" customFormat="1" x14ac:dyDescent="0.3">
      <c r="A104" s="69"/>
      <c r="B104" s="69"/>
      <c r="C104" s="69"/>
      <c r="D104" s="69"/>
      <c r="E104" s="69"/>
      <c r="F104" s="69"/>
      <c r="G104" s="69"/>
      <c r="H104" s="69"/>
      <c r="I104" s="142"/>
      <c r="J104" s="142"/>
      <c r="K104" s="142"/>
      <c r="L104" s="142"/>
      <c r="M104" s="142"/>
      <c r="N104" s="142"/>
      <c r="O104" s="69"/>
      <c r="P104" s="69"/>
      <c r="Q104" s="69"/>
      <c r="AW104" s="69"/>
    </row>
    <row r="105" spans="1:49" s="70" customFormat="1" x14ac:dyDescent="0.3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142"/>
      <c r="M105" s="142"/>
      <c r="N105" s="142"/>
      <c r="O105" s="144"/>
      <c r="P105" s="69"/>
      <c r="Q105" s="69"/>
      <c r="AW105" s="69"/>
    </row>
    <row r="106" spans="1:49" s="70" customFormat="1" x14ac:dyDescent="0.3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142"/>
      <c r="M106" s="142"/>
      <c r="N106" s="142"/>
      <c r="O106" s="144"/>
      <c r="P106" s="69"/>
      <c r="Q106" s="69"/>
      <c r="AW106" s="69"/>
    </row>
    <row r="107" spans="1:49" s="70" customFormat="1" x14ac:dyDescent="0.3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142"/>
      <c r="M107" s="142"/>
      <c r="N107" s="142"/>
      <c r="O107" s="144"/>
      <c r="P107" s="69"/>
      <c r="AW107" s="69"/>
    </row>
    <row r="108" spans="1:49" s="70" customFormat="1" x14ac:dyDescent="0.3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142"/>
      <c r="M108" s="142"/>
      <c r="N108" s="142"/>
      <c r="O108" s="144"/>
      <c r="P108" s="69"/>
      <c r="AW108" s="69"/>
    </row>
    <row r="109" spans="1:49" s="70" customFormat="1" x14ac:dyDescent="0.3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142"/>
      <c r="M109" s="142"/>
      <c r="N109" s="142"/>
      <c r="O109" s="144"/>
      <c r="P109" s="69"/>
      <c r="AW109" s="69"/>
    </row>
    <row r="110" spans="1:49" s="70" customFormat="1" x14ac:dyDescent="0.3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142"/>
      <c r="M110" s="142"/>
      <c r="N110" s="142"/>
      <c r="O110" s="144"/>
      <c r="P110" s="144"/>
      <c r="AW110" s="69"/>
    </row>
    <row r="111" spans="1:49" s="70" customFormat="1" x14ac:dyDescent="0.3">
      <c r="F111" s="69"/>
      <c r="G111" s="69"/>
      <c r="H111" s="69"/>
      <c r="I111" s="69"/>
      <c r="J111" s="69"/>
      <c r="K111" s="69"/>
      <c r="L111" s="142"/>
      <c r="M111" s="142"/>
      <c r="N111" s="142"/>
      <c r="O111" s="144"/>
      <c r="P111" s="144"/>
      <c r="AW111" s="69"/>
    </row>
    <row r="112" spans="1:49" s="70" customFormat="1" x14ac:dyDescent="0.3">
      <c r="I112" s="69"/>
      <c r="J112" s="69"/>
      <c r="K112" s="69"/>
      <c r="L112" s="142"/>
      <c r="M112" s="142"/>
      <c r="N112" s="142"/>
      <c r="O112" s="144"/>
      <c r="P112" s="144"/>
      <c r="AW112" s="69"/>
    </row>
    <row r="113" spans="12:49" s="70" customFormat="1" x14ac:dyDescent="0.3">
      <c r="L113" s="142"/>
      <c r="M113" s="142"/>
      <c r="N113" s="142"/>
      <c r="O113" s="144"/>
      <c r="P113" s="144"/>
      <c r="AW113" s="69"/>
    </row>
    <row r="114" spans="12:49" s="70" customFormat="1" x14ac:dyDescent="0.3">
      <c r="L114" s="142"/>
      <c r="M114" s="142"/>
      <c r="N114" s="142"/>
      <c r="O114" s="144"/>
      <c r="P114" s="144"/>
      <c r="AW114" s="69"/>
    </row>
    <row r="115" spans="12:49" s="70" customFormat="1" x14ac:dyDescent="0.3">
      <c r="L115" s="142"/>
      <c r="M115" s="142"/>
      <c r="N115" s="142"/>
      <c r="O115" s="144"/>
      <c r="P115" s="144"/>
      <c r="AW115" s="69"/>
    </row>
    <row r="116" spans="12:49" s="70" customFormat="1" x14ac:dyDescent="0.3">
      <c r="L116" s="142"/>
      <c r="M116" s="142"/>
      <c r="N116" s="142"/>
      <c r="O116" s="144"/>
      <c r="P116" s="144"/>
      <c r="AW116" s="69"/>
    </row>
    <row r="117" spans="12:49" s="70" customFormat="1" x14ac:dyDescent="0.3">
      <c r="L117" s="142"/>
      <c r="M117" s="142"/>
      <c r="N117" s="142"/>
      <c r="O117" s="144"/>
      <c r="P117" s="144"/>
      <c r="AW117" s="69"/>
    </row>
    <row r="118" spans="12:49" s="70" customFormat="1" x14ac:dyDescent="0.3">
      <c r="L118" s="142"/>
      <c r="M118" s="142"/>
      <c r="N118" s="142"/>
      <c r="O118" s="144"/>
      <c r="P118" s="144"/>
      <c r="AW118" s="69"/>
    </row>
    <row r="119" spans="12:49" s="70" customFormat="1" x14ac:dyDescent="0.3">
      <c r="L119" s="142"/>
      <c r="M119" s="142"/>
      <c r="N119" s="142"/>
      <c r="O119" s="144"/>
      <c r="P119" s="144"/>
      <c r="AW119" s="69"/>
    </row>
    <row r="120" spans="12:49" s="70" customFormat="1" x14ac:dyDescent="0.3">
      <c r="L120" s="142"/>
      <c r="M120" s="142"/>
      <c r="N120" s="142"/>
      <c r="O120" s="144"/>
      <c r="P120" s="144"/>
      <c r="AW120" s="69"/>
    </row>
    <row r="121" spans="12:49" s="70" customFormat="1" x14ac:dyDescent="0.3">
      <c r="L121" s="142"/>
      <c r="M121" s="142"/>
      <c r="N121" s="142"/>
      <c r="O121" s="144"/>
      <c r="P121" s="144"/>
      <c r="AW121" s="69"/>
    </row>
    <row r="122" spans="12:49" s="70" customFormat="1" x14ac:dyDescent="0.3">
      <c r="L122" s="142"/>
      <c r="M122" s="142"/>
      <c r="N122" s="142"/>
      <c r="O122" s="144"/>
      <c r="P122" s="144"/>
      <c r="AW122" s="69"/>
    </row>
    <row r="123" spans="12:49" s="70" customFormat="1" x14ac:dyDescent="0.3">
      <c r="L123" s="142"/>
      <c r="M123" s="142"/>
      <c r="N123" s="142"/>
      <c r="O123" s="144"/>
      <c r="P123" s="144"/>
      <c r="AW123" s="69"/>
    </row>
    <row r="124" spans="12:49" s="70" customFormat="1" x14ac:dyDescent="0.3">
      <c r="L124" s="142"/>
      <c r="M124" s="142"/>
      <c r="N124" s="142"/>
      <c r="O124" s="144"/>
      <c r="P124" s="144"/>
      <c r="AW124" s="69"/>
    </row>
    <row r="125" spans="12:49" s="70" customFormat="1" x14ac:dyDescent="0.3">
      <c r="L125" s="142"/>
      <c r="M125" s="142"/>
      <c r="N125" s="142"/>
      <c r="O125" s="144"/>
      <c r="P125" s="144"/>
      <c r="AW125" s="69"/>
    </row>
    <row r="126" spans="12:49" s="70" customFormat="1" x14ac:dyDescent="0.3">
      <c r="L126" s="142"/>
      <c r="M126" s="142"/>
      <c r="N126" s="142"/>
      <c r="O126" s="144"/>
      <c r="P126" s="144"/>
      <c r="AW126" s="69"/>
    </row>
    <row r="127" spans="12:49" s="70" customFormat="1" x14ac:dyDescent="0.3">
      <c r="L127" s="142"/>
      <c r="M127" s="142"/>
      <c r="N127" s="142"/>
      <c r="O127" s="144"/>
      <c r="P127" s="144"/>
      <c r="AW127" s="69"/>
    </row>
    <row r="128" spans="12:49" s="70" customFormat="1" x14ac:dyDescent="0.3">
      <c r="L128" s="142"/>
      <c r="M128" s="142"/>
      <c r="N128" s="142"/>
      <c r="O128" s="144"/>
      <c r="P128" s="144"/>
      <c r="AW128" s="69"/>
    </row>
    <row r="129" spans="12:49" s="70" customFormat="1" x14ac:dyDescent="0.3">
      <c r="L129" s="142"/>
      <c r="M129" s="142"/>
      <c r="N129" s="142"/>
      <c r="O129" s="144"/>
      <c r="P129" s="144"/>
      <c r="AW129" s="69"/>
    </row>
    <row r="130" spans="12:49" s="70" customFormat="1" x14ac:dyDescent="0.3">
      <c r="L130" s="142"/>
      <c r="M130" s="142"/>
      <c r="N130" s="142"/>
      <c r="O130" s="144"/>
      <c r="P130" s="144"/>
      <c r="AW130" s="69"/>
    </row>
    <row r="131" spans="12:49" s="70" customFormat="1" x14ac:dyDescent="0.3">
      <c r="L131" s="142"/>
      <c r="M131" s="142"/>
      <c r="N131" s="142"/>
      <c r="O131" s="144"/>
      <c r="P131" s="144"/>
      <c r="AW131" s="69"/>
    </row>
    <row r="132" spans="12:49" s="70" customFormat="1" x14ac:dyDescent="0.3">
      <c r="L132" s="142"/>
      <c r="M132" s="142"/>
      <c r="N132" s="142"/>
      <c r="O132" s="144"/>
      <c r="P132" s="144"/>
      <c r="AW132" s="69"/>
    </row>
    <row r="133" spans="12:49" s="70" customFormat="1" x14ac:dyDescent="0.3">
      <c r="L133" s="142"/>
      <c r="M133" s="142"/>
      <c r="N133" s="142"/>
      <c r="O133" s="144"/>
      <c r="P133" s="144"/>
      <c r="AW133" s="69"/>
    </row>
    <row r="134" spans="12:49" s="70" customFormat="1" x14ac:dyDescent="0.3">
      <c r="L134" s="142"/>
      <c r="M134" s="142"/>
      <c r="N134" s="142"/>
      <c r="O134" s="144"/>
      <c r="P134" s="144"/>
      <c r="AW134" s="69"/>
    </row>
    <row r="135" spans="12:49" s="70" customFormat="1" x14ac:dyDescent="0.3">
      <c r="L135" s="142"/>
      <c r="M135" s="142"/>
      <c r="N135" s="142"/>
      <c r="O135" s="144"/>
      <c r="P135" s="144"/>
      <c r="AW135" s="69"/>
    </row>
    <row r="136" spans="12:49" s="70" customFormat="1" x14ac:dyDescent="0.3">
      <c r="L136" s="142"/>
      <c r="M136" s="142"/>
      <c r="N136" s="142"/>
      <c r="O136" s="144"/>
      <c r="P136" s="144"/>
      <c r="AW136" s="69"/>
    </row>
    <row r="137" spans="12:49" s="70" customFormat="1" x14ac:dyDescent="0.3">
      <c r="L137" s="142"/>
      <c r="M137" s="142"/>
      <c r="N137" s="142"/>
      <c r="O137" s="144"/>
      <c r="P137" s="144"/>
      <c r="AW137" s="69"/>
    </row>
    <row r="138" spans="12:49" s="70" customFormat="1" x14ac:dyDescent="0.3">
      <c r="L138" s="142"/>
      <c r="M138" s="142"/>
      <c r="N138" s="142"/>
      <c r="O138" s="144"/>
      <c r="P138" s="144"/>
      <c r="AW138" s="69"/>
    </row>
    <row r="139" spans="12:49" s="70" customFormat="1" x14ac:dyDescent="0.3">
      <c r="L139" s="142"/>
      <c r="M139" s="142"/>
      <c r="N139" s="142"/>
      <c r="O139" s="144"/>
      <c r="P139" s="144"/>
      <c r="AW139" s="69"/>
    </row>
    <row r="140" spans="12:49" s="70" customFormat="1" x14ac:dyDescent="0.3">
      <c r="L140" s="142"/>
      <c r="M140" s="142"/>
      <c r="N140" s="142"/>
      <c r="O140" s="144"/>
      <c r="P140" s="144"/>
      <c r="AW140" s="69"/>
    </row>
    <row r="141" spans="12:49" s="70" customFormat="1" x14ac:dyDescent="0.3">
      <c r="L141" s="142"/>
      <c r="M141" s="142"/>
      <c r="N141" s="142"/>
      <c r="O141" s="144"/>
      <c r="P141" s="144"/>
      <c r="AW141" s="69"/>
    </row>
    <row r="142" spans="12:49" s="70" customFormat="1" x14ac:dyDescent="0.3">
      <c r="L142" s="142"/>
      <c r="M142" s="142"/>
      <c r="N142" s="142"/>
      <c r="O142" s="144"/>
      <c r="P142" s="144"/>
      <c r="AW142" s="69"/>
    </row>
    <row r="143" spans="12:49" s="70" customFormat="1" x14ac:dyDescent="0.3">
      <c r="L143" s="142"/>
      <c r="M143" s="142"/>
      <c r="N143" s="142"/>
      <c r="O143" s="144"/>
      <c r="P143" s="144"/>
      <c r="AW143" s="69"/>
    </row>
    <row r="144" spans="12:49" s="70" customFormat="1" x14ac:dyDescent="0.3">
      <c r="L144" s="142"/>
      <c r="M144" s="142"/>
      <c r="N144" s="142"/>
      <c r="O144" s="144"/>
      <c r="P144" s="144"/>
      <c r="AW144" s="69"/>
    </row>
    <row r="145" spans="12:49" s="70" customFormat="1" x14ac:dyDescent="0.3">
      <c r="L145" s="142"/>
      <c r="M145" s="142"/>
      <c r="N145" s="142"/>
      <c r="O145" s="144"/>
      <c r="P145" s="144"/>
      <c r="AW145" s="69"/>
    </row>
    <row r="146" spans="12:49" s="70" customFormat="1" x14ac:dyDescent="0.3">
      <c r="L146" s="142"/>
      <c r="M146" s="142"/>
      <c r="N146" s="142"/>
      <c r="O146" s="144"/>
      <c r="P146" s="144"/>
      <c r="AW146" s="69"/>
    </row>
    <row r="147" spans="12:49" s="70" customFormat="1" x14ac:dyDescent="0.3">
      <c r="L147" s="142"/>
      <c r="M147" s="142"/>
      <c r="N147" s="142"/>
      <c r="O147" s="144"/>
      <c r="P147" s="144"/>
      <c r="AW147" s="69"/>
    </row>
    <row r="148" spans="12:49" s="70" customFormat="1" x14ac:dyDescent="0.3">
      <c r="L148" s="142"/>
      <c r="M148" s="142"/>
      <c r="N148" s="142"/>
      <c r="O148" s="144"/>
      <c r="P148" s="144"/>
      <c r="AW148" s="69"/>
    </row>
    <row r="149" spans="12:49" s="70" customFormat="1" x14ac:dyDescent="0.3">
      <c r="L149" s="142"/>
      <c r="M149" s="142"/>
      <c r="N149" s="142"/>
      <c r="O149" s="144"/>
      <c r="P149" s="144"/>
      <c r="AW149" s="69"/>
    </row>
    <row r="150" spans="12:49" s="70" customFormat="1" x14ac:dyDescent="0.3">
      <c r="L150" s="142"/>
      <c r="M150" s="142"/>
      <c r="N150" s="142"/>
      <c r="O150" s="144"/>
      <c r="P150" s="144"/>
      <c r="AW150" s="69"/>
    </row>
    <row r="151" spans="12:49" s="70" customFormat="1" x14ac:dyDescent="0.3">
      <c r="L151" s="142"/>
      <c r="M151" s="142"/>
      <c r="N151" s="142"/>
      <c r="O151" s="144"/>
      <c r="P151" s="144"/>
      <c r="AW151" s="69"/>
    </row>
    <row r="152" spans="12:49" s="70" customFormat="1" x14ac:dyDescent="0.3">
      <c r="L152" s="142"/>
      <c r="M152" s="142"/>
      <c r="N152" s="142"/>
      <c r="O152" s="144"/>
      <c r="P152" s="144"/>
      <c r="AW152" s="69"/>
    </row>
    <row r="153" spans="12:49" s="70" customFormat="1" x14ac:dyDescent="0.3">
      <c r="L153" s="142"/>
      <c r="M153" s="142"/>
      <c r="N153" s="142"/>
      <c r="O153" s="144"/>
      <c r="P153" s="144"/>
      <c r="AW153" s="69"/>
    </row>
    <row r="154" spans="12:49" s="70" customFormat="1" x14ac:dyDescent="0.3">
      <c r="L154" s="142"/>
      <c r="M154" s="142"/>
      <c r="N154" s="142"/>
      <c r="O154" s="144"/>
      <c r="P154" s="144"/>
      <c r="AW154" s="69"/>
    </row>
    <row r="155" spans="12:49" s="70" customFormat="1" x14ac:dyDescent="0.3">
      <c r="L155" s="142"/>
      <c r="M155" s="142"/>
      <c r="N155" s="142"/>
      <c r="O155" s="144"/>
      <c r="P155" s="144"/>
      <c r="AW155" s="69"/>
    </row>
    <row r="156" spans="12:49" s="70" customFormat="1" x14ac:dyDescent="0.3">
      <c r="L156" s="142"/>
      <c r="M156" s="142"/>
      <c r="N156" s="142"/>
      <c r="O156" s="144"/>
      <c r="P156" s="144"/>
      <c r="AW156" s="69"/>
    </row>
    <row r="157" spans="12:49" s="70" customFormat="1" x14ac:dyDescent="0.3">
      <c r="L157" s="142"/>
      <c r="M157" s="142"/>
      <c r="N157" s="142"/>
      <c r="O157" s="144"/>
      <c r="P157" s="144"/>
      <c r="AW157" s="69"/>
    </row>
    <row r="158" spans="12:49" s="70" customFormat="1" x14ac:dyDescent="0.3">
      <c r="L158" s="142"/>
      <c r="M158" s="142"/>
      <c r="N158" s="142"/>
      <c r="O158" s="144"/>
      <c r="P158" s="144"/>
      <c r="AW158" s="69"/>
    </row>
    <row r="159" spans="12:49" s="70" customFormat="1" x14ac:dyDescent="0.3">
      <c r="L159" s="142"/>
      <c r="M159" s="142"/>
      <c r="N159" s="142"/>
      <c r="O159" s="144"/>
      <c r="P159" s="144"/>
      <c r="AW159" s="69"/>
    </row>
    <row r="160" spans="12:49" s="70" customFormat="1" x14ac:dyDescent="0.3">
      <c r="L160" s="142"/>
      <c r="M160" s="142"/>
      <c r="N160" s="142"/>
      <c r="O160" s="144"/>
      <c r="P160" s="144"/>
      <c r="AW160" s="69"/>
    </row>
    <row r="161" spans="1:50" s="70" customFormat="1" x14ac:dyDescent="0.3">
      <c r="L161" s="142"/>
      <c r="M161" s="142"/>
      <c r="N161" s="142"/>
      <c r="O161" s="144"/>
      <c r="P161" s="144"/>
      <c r="AW161" s="69"/>
    </row>
    <row r="162" spans="1:50" s="70" customFormat="1" x14ac:dyDescent="0.3">
      <c r="L162" s="142"/>
      <c r="M162" s="142"/>
      <c r="N162" s="142"/>
      <c r="O162" s="144"/>
      <c r="P162" s="144"/>
      <c r="AW162" s="69"/>
    </row>
    <row r="163" spans="1:50" s="70" customFormat="1" x14ac:dyDescent="0.3">
      <c r="L163" s="142"/>
      <c r="M163" s="142"/>
      <c r="N163" s="142"/>
      <c r="O163" s="144"/>
      <c r="P163" s="144"/>
      <c r="AW163" s="69"/>
    </row>
    <row r="164" spans="1:50" s="70" customFormat="1" x14ac:dyDescent="0.3">
      <c r="L164" s="142"/>
      <c r="M164" s="142"/>
      <c r="N164" s="142"/>
      <c r="O164" s="144"/>
      <c r="P164" s="144"/>
      <c r="AW164" s="69"/>
    </row>
    <row r="165" spans="1:50" s="70" customFormat="1" x14ac:dyDescent="0.3">
      <c r="L165" s="142"/>
      <c r="M165" s="142"/>
      <c r="N165" s="142"/>
      <c r="O165" s="144"/>
      <c r="P165" s="144"/>
      <c r="AW165" s="69"/>
    </row>
    <row r="166" spans="1:50" s="70" customFormat="1" x14ac:dyDescent="0.3">
      <c r="L166" s="142"/>
      <c r="M166" s="142"/>
      <c r="N166" s="142"/>
      <c r="O166" s="144"/>
      <c r="P166" s="144"/>
      <c r="AW166" s="69"/>
    </row>
    <row r="167" spans="1:50" s="70" customFormat="1" x14ac:dyDescent="0.3">
      <c r="L167" s="142"/>
      <c r="M167" s="142"/>
      <c r="N167" s="142"/>
      <c r="O167" s="144"/>
      <c r="P167" s="144"/>
      <c r="AW167" s="69"/>
    </row>
    <row r="168" spans="1:50" s="145" customFormat="1" x14ac:dyDescent="0.3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142"/>
      <c r="M168" s="142"/>
      <c r="N168" s="142"/>
      <c r="O168" s="144"/>
      <c r="P168" s="144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69"/>
      <c r="AX168" s="70"/>
    </row>
    <row r="169" spans="1:50" s="145" customFormat="1" x14ac:dyDescent="0.3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142"/>
      <c r="M169" s="142"/>
      <c r="N169" s="142"/>
      <c r="O169" s="144"/>
      <c r="P169" s="144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69"/>
      <c r="AX169" s="70"/>
    </row>
    <row r="170" spans="1:50" s="145" customFormat="1" x14ac:dyDescent="0.3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142"/>
      <c r="M170" s="142"/>
      <c r="N170" s="142"/>
      <c r="O170" s="144"/>
      <c r="P170" s="144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69"/>
      <c r="AX170" s="70"/>
    </row>
    <row r="171" spans="1:50" s="145" customFormat="1" x14ac:dyDescent="0.3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142"/>
      <c r="M171" s="142"/>
      <c r="N171" s="142"/>
      <c r="O171" s="144"/>
      <c r="P171" s="144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69"/>
      <c r="AX171" s="70"/>
    </row>
    <row r="172" spans="1:50" s="145" customFormat="1" x14ac:dyDescent="0.3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142"/>
      <c r="M172" s="142"/>
      <c r="N172" s="142"/>
      <c r="O172" s="144"/>
      <c r="P172" s="144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69"/>
      <c r="AX172" s="70"/>
    </row>
    <row r="173" spans="1:50" s="145" customFormat="1" x14ac:dyDescent="0.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142"/>
      <c r="M173" s="142"/>
      <c r="N173" s="142"/>
      <c r="O173" s="144"/>
      <c r="P173" s="144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69"/>
      <c r="AX173" s="70"/>
    </row>
    <row r="174" spans="1:50" s="145" customFormat="1" x14ac:dyDescent="0.3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142"/>
      <c r="M174" s="142"/>
      <c r="N174" s="142"/>
      <c r="O174" s="144"/>
      <c r="P174" s="144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69"/>
      <c r="AX174" s="70"/>
    </row>
    <row r="175" spans="1:50" s="145" customFormat="1" x14ac:dyDescent="0.3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142"/>
      <c r="M175" s="142"/>
      <c r="N175" s="142"/>
      <c r="O175" s="144"/>
      <c r="P175" s="144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69"/>
      <c r="AX175" s="70"/>
    </row>
    <row r="176" spans="1:50" s="145" customFormat="1" x14ac:dyDescent="0.3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142"/>
      <c r="M176" s="142"/>
      <c r="N176" s="142"/>
      <c r="O176" s="144"/>
      <c r="P176" s="144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69"/>
      <c r="AX176" s="70"/>
    </row>
    <row r="177" spans="1:50" s="145" customFormat="1" x14ac:dyDescent="0.3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142"/>
      <c r="M177" s="142"/>
      <c r="N177" s="142"/>
      <c r="O177" s="144"/>
      <c r="P177" s="144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69"/>
      <c r="AX177" s="70"/>
    </row>
    <row r="178" spans="1:50" s="145" customFormat="1" x14ac:dyDescent="0.3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142"/>
      <c r="M178" s="142"/>
      <c r="N178" s="142"/>
      <c r="O178" s="144"/>
      <c r="P178" s="144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69"/>
      <c r="AX178" s="70"/>
    </row>
    <row r="179" spans="1:50" s="145" customFormat="1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142"/>
      <c r="M179" s="142"/>
      <c r="N179" s="142"/>
      <c r="O179" s="144"/>
      <c r="P179" s="144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69"/>
      <c r="AX179" s="70"/>
    </row>
    <row r="180" spans="1:50" s="145" customFormat="1" x14ac:dyDescent="0.3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146"/>
      <c r="M180" s="146"/>
      <c r="N180" s="146"/>
      <c r="O180" s="144"/>
      <c r="P180" s="144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69"/>
      <c r="AX180" s="70"/>
    </row>
    <row r="181" spans="1:50" s="145" customFormat="1" x14ac:dyDescent="0.3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146"/>
      <c r="M181" s="146"/>
      <c r="N181" s="146"/>
      <c r="O181" s="144"/>
      <c r="P181" s="144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69"/>
      <c r="AX181" s="70"/>
    </row>
    <row r="182" spans="1:50" s="145" customFormat="1" x14ac:dyDescent="0.3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146"/>
      <c r="M182" s="146"/>
      <c r="N182" s="146"/>
      <c r="O182" s="147"/>
      <c r="P182" s="144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69"/>
      <c r="AX182" s="70"/>
    </row>
    <row r="183" spans="1:50" s="145" customFormat="1" x14ac:dyDescent="0.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146"/>
      <c r="M183" s="146"/>
      <c r="N183" s="146"/>
      <c r="O183" s="147"/>
      <c r="P183" s="144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69"/>
      <c r="AX183" s="70"/>
    </row>
    <row r="184" spans="1:50" s="145" customFormat="1" x14ac:dyDescent="0.3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146"/>
      <c r="M184" s="146"/>
      <c r="N184" s="146"/>
      <c r="O184" s="147"/>
      <c r="P184" s="144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69"/>
      <c r="AX184" s="70"/>
    </row>
    <row r="185" spans="1:50" x14ac:dyDescent="0.3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146"/>
      <c r="M185" s="146"/>
      <c r="N185" s="146"/>
      <c r="O185" s="147"/>
      <c r="P185" s="144"/>
      <c r="Q185" s="149"/>
      <c r="AW185" s="148"/>
      <c r="AX185" s="148"/>
    </row>
    <row r="186" spans="1:50" x14ac:dyDescent="0.3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146"/>
      <c r="M186" s="146"/>
      <c r="N186" s="146"/>
      <c r="O186" s="147"/>
      <c r="P186" s="144"/>
      <c r="Q186" s="149"/>
      <c r="AW186" s="148"/>
      <c r="AX186" s="148"/>
    </row>
    <row r="187" spans="1:50" x14ac:dyDescent="0.3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146"/>
      <c r="M187" s="146"/>
      <c r="N187" s="146"/>
      <c r="O187" s="147"/>
      <c r="P187" s="147"/>
      <c r="Q187" s="149"/>
      <c r="AW187" s="148"/>
      <c r="AX187" s="148"/>
    </row>
    <row r="188" spans="1:50" x14ac:dyDescent="0.3">
      <c r="A188" s="149"/>
      <c r="B188" s="149"/>
      <c r="C188" s="149"/>
      <c r="D188" s="149"/>
      <c r="E188" s="149"/>
      <c r="F188" s="70"/>
      <c r="G188" s="70"/>
      <c r="H188" s="70"/>
      <c r="I188" s="70"/>
      <c r="J188" s="70"/>
      <c r="K188" s="70"/>
      <c r="L188" s="146"/>
      <c r="M188" s="146"/>
      <c r="N188" s="146"/>
      <c r="O188" s="147"/>
      <c r="P188" s="147"/>
      <c r="Q188" s="149"/>
      <c r="AW188" s="148"/>
      <c r="AX188" s="148"/>
    </row>
    <row r="189" spans="1:50" x14ac:dyDescent="0.3">
      <c r="A189" s="149"/>
      <c r="B189" s="149"/>
      <c r="C189" s="149"/>
      <c r="D189" s="149"/>
      <c r="E189" s="149"/>
      <c r="F189" s="149"/>
      <c r="G189" s="149"/>
      <c r="H189" s="149"/>
      <c r="I189" s="70"/>
      <c r="J189" s="70"/>
      <c r="K189" s="70"/>
      <c r="L189" s="146"/>
      <c r="M189" s="146"/>
      <c r="N189" s="146"/>
      <c r="O189" s="147"/>
      <c r="P189" s="147"/>
      <c r="Q189" s="149"/>
      <c r="AW189" s="148"/>
      <c r="AX189" s="148"/>
    </row>
    <row r="190" spans="1:50" x14ac:dyDescent="0.3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6"/>
      <c r="M190" s="146"/>
      <c r="N190" s="146"/>
      <c r="O190" s="147"/>
      <c r="P190" s="147"/>
      <c r="Q190" s="149"/>
      <c r="AW190" s="148"/>
      <c r="AX190" s="148"/>
    </row>
    <row r="191" spans="1:50" x14ac:dyDescent="0.3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6"/>
      <c r="M191" s="146"/>
      <c r="N191" s="146"/>
      <c r="O191" s="147"/>
      <c r="P191" s="147"/>
      <c r="Q191" s="149"/>
      <c r="AW191" s="148"/>
      <c r="AX191" s="148"/>
    </row>
    <row r="192" spans="1:50" x14ac:dyDescent="0.3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6"/>
      <c r="M192" s="146"/>
      <c r="N192" s="146"/>
      <c r="O192" s="147"/>
      <c r="P192" s="147"/>
      <c r="Q192" s="149"/>
      <c r="AW192" s="148"/>
      <c r="AX192" s="148"/>
    </row>
    <row r="193" spans="1:50" x14ac:dyDescent="0.3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6"/>
      <c r="M193" s="146"/>
      <c r="N193" s="146"/>
      <c r="O193" s="147"/>
      <c r="P193" s="147"/>
      <c r="Q193" s="149"/>
      <c r="AW193" s="148"/>
      <c r="AX193" s="148"/>
    </row>
    <row r="194" spans="1:50" x14ac:dyDescent="0.3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6"/>
      <c r="M194" s="146"/>
      <c r="N194" s="146"/>
      <c r="O194" s="147"/>
      <c r="P194" s="147"/>
      <c r="Q194" s="149"/>
      <c r="AW194" s="148"/>
      <c r="AX194" s="148"/>
    </row>
    <row r="195" spans="1:50" x14ac:dyDescent="0.3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6"/>
      <c r="M195" s="146"/>
      <c r="N195" s="146"/>
      <c r="O195" s="147"/>
      <c r="P195" s="147"/>
      <c r="Q195" s="149"/>
      <c r="AW195" s="148"/>
      <c r="AX195" s="148"/>
    </row>
    <row r="196" spans="1:50" x14ac:dyDescent="0.3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L196" s="146"/>
      <c r="M196" s="146"/>
      <c r="N196" s="146"/>
      <c r="O196" s="147"/>
      <c r="P196" s="147"/>
      <c r="Q196" s="149"/>
      <c r="AW196" s="148"/>
      <c r="AX196" s="148"/>
    </row>
    <row r="197" spans="1:50" x14ac:dyDescent="0.3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O197" s="147"/>
      <c r="P197" s="147"/>
    </row>
    <row r="198" spans="1:50" x14ac:dyDescent="0.3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O198" s="147"/>
      <c r="P198" s="147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69"/>
      <c r="AJ198" s="69"/>
      <c r="AK198" s="69"/>
      <c r="AL198" s="69"/>
      <c r="AM198" s="69"/>
      <c r="AN198" s="69"/>
      <c r="AO198" s="69"/>
      <c r="AP198" s="69"/>
      <c r="AQ198" s="69"/>
      <c r="AR198" s="69"/>
      <c r="AS198" s="69"/>
      <c r="AT198" s="69"/>
      <c r="AU198" s="69"/>
      <c r="AV198" s="69"/>
      <c r="AW198" s="148"/>
      <c r="AX198" s="148"/>
    </row>
    <row r="199" spans="1:50" x14ac:dyDescent="0.3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P199" s="147"/>
    </row>
    <row r="200" spans="1:50" x14ac:dyDescent="0.3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  <c r="P200" s="147"/>
    </row>
    <row r="201" spans="1:50" x14ac:dyDescent="0.3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  <c r="P201" s="147"/>
    </row>
    <row r="202" spans="1:50" x14ac:dyDescent="0.3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  <c r="P202" s="147"/>
    </row>
    <row r="203" spans="1:50" x14ac:dyDescent="0.3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  <c r="O203" s="148"/>
      <c r="P203" s="147"/>
    </row>
    <row r="204" spans="1:50" x14ac:dyDescent="0.3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  <c r="K204" s="149"/>
    </row>
    <row r="205" spans="1:50" x14ac:dyDescent="0.3">
      <c r="F205" s="149"/>
      <c r="G205" s="149"/>
      <c r="H205" s="149"/>
      <c r="I205" s="149"/>
      <c r="J205" s="149"/>
      <c r="K205" s="149"/>
    </row>
    <row r="206" spans="1:50" x14ac:dyDescent="0.3">
      <c r="I206" s="149"/>
      <c r="J206" s="149"/>
      <c r="K206" s="149"/>
    </row>
    <row r="210" spans="12:14" x14ac:dyDescent="0.3">
      <c r="L210" s="148"/>
      <c r="M210" s="148"/>
      <c r="N210" s="148"/>
    </row>
    <row r="1048541" spans="1:61" x14ac:dyDescent="0.3">
      <c r="Q1048541" s="57"/>
    </row>
    <row r="1048542" spans="1:61" s="70" customFormat="1" x14ac:dyDescent="0.3">
      <c r="A1048542" s="148"/>
      <c r="B1048542" s="148"/>
      <c r="C1048542" s="148"/>
      <c r="D1048542" s="148"/>
      <c r="E1048542" s="148"/>
      <c r="F1048542" s="148"/>
      <c r="G1048542" s="148"/>
      <c r="H1048542" s="148"/>
      <c r="I1048542" s="148"/>
      <c r="J1048542" s="148"/>
      <c r="K1048542" s="148"/>
      <c r="L1048542" s="150"/>
      <c r="M1048542" s="150"/>
      <c r="N1048542" s="150"/>
      <c r="O1048542" s="150"/>
      <c r="P1048542" s="150"/>
      <c r="Q1048542" s="148"/>
      <c r="AW1048542" s="69"/>
      <c r="AX1048542" s="69"/>
      <c r="AY1048542" s="148"/>
      <c r="AZ1048542" s="148"/>
      <c r="BA1048542" s="148"/>
      <c r="BB1048542" s="148"/>
      <c r="BC1048542" s="148"/>
      <c r="BD1048542" s="148"/>
      <c r="BE1048542" s="148"/>
      <c r="BF1048542" s="148"/>
      <c r="BG1048542" s="148"/>
      <c r="BH1048542" s="148"/>
      <c r="BI1048542" s="148"/>
    </row>
  </sheetData>
  <mergeCells count="49">
    <mergeCell ref="O64:P64"/>
    <mergeCell ref="O65:P65"/>
    <mergeCell ref="O66:P66"/>
    <mergeCell ref="O79:P79"/>
    <mergeCell ref="O68:P68"/>
    <mergeCell ref="O69:P69"/>
    <mergeCell ref="O70:P70"/>
    <mergeCell ref="O71:P71"/>
    <mergeCell ref="O72:P72"/>
    <mergeCell ref="O73:P73"/>
    <mergeCell ref="O74:P74"/>
    <mergeCell ref="O75:P75"/>
    <mergeCell ref="O76:P76"/>
    <mergeCell ref="O77:P77"/>
    <mergeCell ref="O78:Q78"/>
    <mergeCell ref="O67:P67"/>
    <mergeCell ref="O56:P56"/>
    <mergeCell ref="O57:P57"/>
    <mergeCell ref="O58:P58"/>
    <mergeCell ref="O60:P60"/>
    <mergeCell ref="O59:P59"/>
    <mergeCell ref="O62:P62"/>
    <mergeCell ref="O63:P63"/>
    <mergeCell ref="E43:K43"/>
    <mergeCell ref="E44:K44"/>
    <mergeCell ref="E45:K45"/>
    <mergeCell ref="A46:K46"/>
    <mergeCell ref="A48:E48"/>
    <mergeCell ref="F48:H103"/>
    <mergeCell ref="O61:P61"/>
    <mergeCell ref="O48:Q48"/>
    <mergeCell ref="O49:P49"/>
    <mergeCell ref="O50:P50"/>
    <mergeCell ref="O51:Q52"/>
    <mergeCell ref="O53:Q53"/>
    <mergeCell ref="O54:P54"/>
    <mergeCell ref="O55:P55"/>
    <mergeCell ref="A42:Q42"/>
    <mergeCell ref="A1:Q1"/>
    <mergeCell ref="A2:Q2"/>
    <mergeCell ref="A6:B6"/>
    <mergeCell ref="A7:Q7"/>
    <mergeCell ref="A36:B36"/>
    <mergeCell ref="A37:Q37"/>
    <mergeCell ref="E38:K38"/>
    <mergeCell ref="E39:K39"/>
    <mergeCell ref="A40:K40"/>
    <mergeCell ref="O40:Q40"/>
    <mergeCell ref="A41:O41"/>
  </mergeCells>
  <pageMargins left="0" right="0" top="0" bottom="0" header="0.31496062992125984" footer="0.31496062992125984"/>
  <pageSetup paperSize="9" scale="1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087C-AD0B-410D-AFA4-3D2FF969E070}">
  <sheetPr>
    <pageSetUpPr fitToPage="1"/>
  </sheetPr>
  <dimension ref="A1:BI1048541"/>
  <sheetViews>
    <sheetView zoomScale="70" zoomScaleNormal="70" workbookViewId="0">
      <selection activeCell="A29" sqref="A29:XFD29"/>
    </sheetView>
  </sheetViews>
  <sheetFormatPr defaultColWidth="9.109375" defaultRowHeight="13.8" x14ac:dyDescent="0.3"/>
  <cols>
    <col min="1" max="1" width="52.109375" style="148" customWidth="1"/>
    <col min="2" max="2" width="11.109375" style="148" bestFit="1" customWidth="1"/>
    <col min="3" max="3" width="19" style="148" customWidth="1"/>
    <col min="4" max="4" width="19" style="148" bestFit="1" customWidth="1"/>
    <col min="5" max="5" width="14.44140625" style="148" bestFit="1" customWidth="1"/>
    <col min="6" max="6" width="19" style="148" bestFit="1" customWidth="1"/>
    <col min="7" max="7" width="16" style="148" customWidth="1"/>
    <col min="8" max="8" width="16.6640625" style="148" bestFit="1" customWidth="1"/>
    <col min="9" max="10" width="14.109375" style="148" bestFit="1" customWidth="1"/>
    <col min="11" max="11" width="15.109375" style="148" bestFit="1" customWidth="1"/>
    <col min="12" max="12" width="18.44140625" style="150" bestFit="1" customWidth="1"/>
    <col min="13" max="13" width="17.5546875" style="150" bestFit="1" customWidth="1"/>
    <col min="14" max="14" width="19" style="150" bestFit="1" customWidth="1"/>
    <col min="15" max="15" width="102.6640625" style="150" customWidth="1"/>
    <col min="16" max="16" width="12" style="150" customWidth="1"/>
    <col min="17" max="17" width="18.109375" style="148" bestFit="1" customWidth="1"/>
    <col min="18" max="19" width="13.109375" style="70" bestFit="1" customWidth="1"/>
    <col min="20" max="48" width="9.109375" style="70"/>
    <col min="49" max="50" width="9.109375" style="69"/>
    <col min="51" max="16384" width="9.109375" style="148"/>
  </cols>
  <sheetData>
    <row r="1" spans="1:43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</row>
    <row r="2" spans="1:43" s="10" customFormat="1" ht="28.5" customHeight="1" x14ac:dyDescent="0.3">
      <c r="A2" s="571" t="s">
        <v>858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3"/>
    </row>
    <row r="3" spans="1:43" s="10" customFormat="1" ht="30.75" customHeight="1" x14ac:dyDescent="0.3">
      <c r="A3" s="83" t="s">
        <v>3</v>
      </c>
      <c r="B3" s="83" t="s">
        <v>0</v>
      </c>
      <c r="C3" s="83" t="s">
        <v>821</v>
      </c>
      <c r="D3" s="84" t="s">
        <v>1</v>
      </c>
      <c r="E3" s="84" t="s">
        <v>68</v>
      </c>
      <c r="F3" s="84" t="s">
        <v>69</v>
      </c>
      <c r="G3" s="85" t="s">
        <v>2</v>
      </c>
      <c r="H3" s="85" t="s">
        <v>592</v>
      </c>
      <c r="I3" s="84" t="s">
        <v>6</v>
      </c>
      <c r="J3" s="84" t="s">
        <v>764</v>
      </c>
      <c r="K3" s="84" t="s">
        <v>7</v>
      </c>
      <c r="L3" s="84" t="s">
        <v>4</v>
      </c>
      <c r="M3" s="84" t="s">
        <v>5</v>
      </c>
      <c r="N3" s="84" t="s">
        <v>70</v>
      </c>
      <c r="O3" s="83" t="s">
        <v>59</v>
      </c>
      <c r="P3" s="86" t="s">
        <v>8</v>
      </c>
      <c r="Q3" s="86" t="s">
        <v>10</v>
      </c>
    </row>
    <row r="4" spans="1:43" s="199" customFormat="1" ht="15" customHeight="1" x14ac:dyDescent="0.3">
      <c r="A4" s="193" t="s">
        <v>852</v>
      </c>
      <c r="B4" s="193">
        <v>9</v>
      </c>
      <c r="C4" s="193" t="s">
        <v>828</v>
      </c>
      <c r="D4" s="196">
        <f>'GERAL 2023'!G42</f>
        <v>640</v>
      </c>
      <c r="E4" s="196">
        <v>0</v>
      </c>
      <c r="F4" s="196">
        <f>D4-E4</f>
        <v>640</v>
      </c>
      <c r="G4" s="192">
        <v>0</v>
      </c>
      <c r="H4" s="192">
        <f>(1541.7/27)</f>
        <v>57.1</v>
      </c>
      <c r="I4" s="192">
        <f>'GERAL 2023'!I42</f>
        <v>1.2516548463356973</v>
      </c>
      <c r="J4" s="192">
        <f>((193.5/27)/6)</f>
        <v>1.1944444444444444</v>
      </c>
      <c r="K4" s="192">
        <v>19.809999999999999</v>
      </c>
      <c r="L4" s="191">
        <f>SUM(F4:K4)</f>
        <v>719.35609929078009</v>
      </c>
      <c r="M4" s="192">
        <f>60%*(D4+G4)</f>
        <v>384</v>
      </c>
      <c r="N4" s="192">
        <f>L4-M4</f>
        <v>335.35609929078009</v>
      </c>
      <c r="O4" s="193" t="s">
        <v>860</v>
      </c>
      <c r="P4" s="197">
        <v>10</v>
      </c>
      <c r="Q4" s="194">
        <v>11</v>
      </c>
      <c r="R4" s="198"/>
      <c r="S4" s="198"/>
      <c r="T4" s="198"/>
      <c r="U4" s="198"/>
      <c r="V4" s="198"/>
      <c r="W4" s="198"/>
      <c r="X4" s="198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8"/>
      <c r="AK4" s="198"/>
      <c r="AL4" s="198"/>
      <c r="AM4" s="198"/>
      <c r="AN4" s="198"/>
      <c r="AO4" s="198"/>
      <c r="AP4" s="198"/>
      <c r="AQ4" s="198"/>
    </row>
    <row r="5" spans="1:43" s="10" customFormat="1" x14ac:dyDescent="0.3">
      <c r="A5" s="518" t="s">
        <v>4</v>
      </c>
      <c r="B5" s="518"/>
      <c r="C5" s="95"/>
      <c r="D5" s="109">
        <f t="shared" ref="D5:M5" si="0">SUM(D4:D4)</f>
        <v>640</v>
      </c>
      <c r="E5" s="109">
        <f t="shared" si="0"/>
        <v>0</v>
      </c>
      <c r="F5" s="109">
        <f t="shared" si="0"/>
        <v>640</v>
      </c>
      <c r="G5" s="109">
        <f t="shared" si="0"/>
        <v>0</v>
      </c>
      <c r="H5" s="109">
        <f t="shared" si="0"/>
        <v>57.1</v>
      </c>
      <c r="I5" s="109">
        <f t="shared" si="0"/>
        <v>1.2516548463356973</v>
      </c>
      <c r="J5" s="109">
        <f t="shared" si="0"/>
        <v>1.1944444444444444</v>
      </c>
      <c r="K5" s="109">
        <f t="shared" si="0"/>
        <v>19.809999999999999</v>
      </c>
      <c r="L5" s="109">
        <f t="shared" si="0"/>
        <v>719.35609929078009</v>
      </c>
      <c r="M5" s="109">
        <f t="shared" si="0"/>
        <v>384</v>
      </c>
      <c r="N5" s="109">
        <f>SUM(N4:N4)</f>
        <v>335.35609929078009</v>
      </c>
      <c r="O5" s="90"/>
      <c r="P5" s="3"/>
      <c r="Q5" s="3"/>
    </row>
    <row r="6" spans="1:43" s="10" customFormat="1" ht="28.5" customHeight="1" x14ac:dyDescent="0.3">
      <c r="A6" s="571" t="s">
        <v>888</v>
      </c>
      <c r="B6" s="572"/>
      <c r="C6" s="572"/>
      <c r="D6" s="572"/>
      <c r="E6" s="572"/>
      <c r="F6" s="572"/>
      <c r="G6" s="572"/>
      <c r="H6" s="572"/>
      <c r="I6" s="572"/>
      <c r="J6" s="572"/>
      <c r="K6" s="572"/>
      <c r="L6" s="572"/>
      <c r="M6" s="572"/>
      <c r="N6" s="572"/>
      <c r="O6" s="572"/>
      <c r="P6" s="572"/>
      <c r="Q6" s="573"/>
    </row>
    <row r="7" spans="1:43" s="11" customFormat="1" ht="34.5" customHeight="1" x14ac:dyDescent="0.3">
      <c r="A7" s="83" t="s">
        <v>3</v>
      </c>
      <c r="B7" s="83" t="s">
        <v>0</v>
      </c>
      <c r="C7" s="83" t="s">
        <v>821</v>
      </c>
      <c r="D7" s="84" t="s">
        <v>1</v>
      </c>
      <c r="E7" s="84" t="s">
        <v>68</v>
      </c>
      <c r="F7" s="84" t="s">
        <v>69</v>
      </c>
      <c r="G7" s="85" t="s">
        <v>2</v>
      </c>
      <c r="H7" s="85" t="s">
        <v>592</v>
      </c>
      <c r="I7" s="84" t="s">
        <v>6</v>
      </c>
      <c r="J7" s="84" t="s">
        <v>764</v>
      </c>
      <c r="K7" s="84" t="s">
        <v>7</v>
      </c>
      <c r="L7" s="84" t="s">
        <v>4</v>
      </c>
      <c r="M7" s="84" t="s">
        <v>5</v>
      </c>
      <c r="N7" s="84" t="s">
        <v>70</v>
      </c>
      <c r="O7" s="83" t="s">
        <v>59</v>
      </c>
      <c r="P7" s="86" t="s">
        <v>8</v>
      </c>
      <c r="Q7" s="86" t="s">
        <v>10</v>
      </c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</row>
    <row r="8" spans="1:43" s="199" customFormat="1" x14ac:dyDescent="0.3">
      <c r="A8" s="195" t="s">
        <v>766</v>
      </c>
      <c r="B8" s="193">
        <v>1</v>
      </c>
      <c r="C8" s="193" t="s">
        <v>822</v>
      </c>
      <c r="D8" s="196">
        <v>0</v>
      </c>
      <c r="E8" s="192">
        <v>0</v>
      </c>
      <c r="F8" s="192">
        <f t="shared" ref="F8:F24" si="1">D8-E8</f>
        <v>0</v>
      </c>
      <c r="G8" s="196">
        <v>0</v>
      </c>
      <c r="H8" s="192">
        <f>(1541.7/27)</f>
        <v>57.1</v>
      </c>
      <c r="I8" s="192">
        <v>0</v>
      </c>
      <c r="J8" s="192">
        <v>0</v>
      </c>
      <c r="K8" s="192">
        <v>0</v>
      </c>
      <c r="L8" s="191">
        <f t="shared" ref="L8:L34" si="2">SUM(F8:K8)</f>
        <v>57.1</v>
      </c>
      <c r="M8" s="192">
        <f>7%*L8</f>
        <v>3.9970000000000003</v>
      </c>
      <c r="N8" s="192">
        <f>L8-M8</f>
        <v>53.103000000000002</v>
      </c>
      <c r="O8" s="196" t="s">
        <v>800</v>
      </c>
      <c r="P8" s="197">
        <v>10</v>
      </c>
      <c r="Q8" s="197">
        <v>11</v>
      </c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</row>
    <row r="9" spans="1:43" s="203" customFormat="1" x14ac:dyDescent="0.3">
      <c r="A9" s="193" t="s">
        <v>758</v>
      </c>
      <c r="B9" s="194">
        <v>2</v>
      </c>
      <c r="C9" s="194" t="s">
        <v>822</v>
      </c>
      <c r="D9" s="196">
        <f>'GERAL 2022'!G4</f>
        <v>580</v>
      </c>
      <c r="E9" s="196">
        <v>0</v>
      </c>
      <c r="F9" s="196">
        <f t="shared" si="1"/>
        <v>580</v>
      </c>
      <c r="G9" s="196">
        <v>50</v>
      </c>
      <c r="H9" s="192">
        <f t="shared" ref="H9:H34" si="3">(1541.7/27)</f>
        <v>57.1</v>
      </c>
      <c r="I9" s="192">
        <f>E51</f>
        <v>1.2516548463356973</v>
      </c>
      <c r="J9" s="192">
        <f>(193.5/27)/6</f>
        <v>1.1944444444444444</v>
      </c>
      <c r="K9" s="196">
        <v>19.7</v>
      </c>
      <c r="L9" s="191">
        <f t="shared" si="2"/>
        <v>709.24609929078019</v>
      </c>
      <c r="M9" s="192">
        <f>7%*L9</f>
        <v>49.647226950354622</v>
      </c>
      <c r="N9" s="192">
        <f t="shared" ref="N9:N33" si="4">L9-M9</f>
        <v>659.5988723404256</v>
      </c>
      <c r="O9" s="193" t="s">
        <v>862</v>
      </c>
      <c r="P9" s="197">
        <v>10</v>
      </c>
      <c r="Q9" s="197">
        <v>11</v>
      </c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G9" s="200"/>
      <c r="AH9" s="200"/>
      <c r="AI9" s="200"/>
      <c r="AJ9" s="200"/>
      <c r="AK9" s="200"/>
      <c r="AL9" s="200"/>
      <c r="AM9" s="201"/>
      <c r="AN9" s="202"/>
      <c r="AO9" s="202"/>
      <c r="AP9" s="202"/>
      <c r="AQ9" s="202"/>
    </row>
    <row r="10" spans="1:43" s="204" customFormat="1" x14ac:dyDescent="0.3">
      <c r="A10" s="193" t="s">
        <v>753</v>
      </c>
      <c r="B10" s="194">
        <v>3</v>
      </c>
      <c r="C10" s="194" t="s">
        <v>822</v>
      </c>
      <c r="D10" s="196">
        <f>'GERAL 2022'!G5</f>
        <v>550</v>
      </c>
      <c r="E10" s="196">
        <v>0</v>
      </c>
      <c r="F10" s="196">
        <f>D10-E10</f>
        <v>550</v>
      </c>
      <c r="G10" s="196">
        <v>0</v>
      </c>
      <c r="H10" s="192">
        <f t="shared" si="3"/>
        <v>57.1</v>
      </c>
      <c r="I10" s="192">
        <f>E53</f>
        <v>1.2516548463356973</v>
      </c>
      <c r="J10" s="192">
        <f t="shared" ref="J10:J33" si="5">(193.5/27)/6</f>
        <v>1.1944444444444444</v>
      </c>
      <c r="K10" s="196">
        <v>19.64</v>
      </c>
      <c r="L10" s="191">
        <f t="shared" si="2"/>
        <v>629.18609929078013</v>
      </c>
      <c r="M10" s="192">
        <f t="shared" ref="M10:M34" si="6">7%*L10</f>
        <v>44.043026950354616</v>
      </c>
      <c r="N10" s="192">
        <f t="shared" si="4"/>
        <v>585.14307234042553</v>
      </c>
      <c r="O10" s="193" t="s">
        <v>862</v>
      </c>
      <c r="P10" s="197">
        <v>10</v>
      </c>
      <c r="Q10" s="197">
        <v>11</v>
      </c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0"/>
      <c r="AM10" s="200"/>
      <c r="AN10" s="200"/>
      <c r="AO10" s="200"/>
      <c r="AP10" s="200"/>
      <c r="AQ10" s="200"/>
    </row>
    <row r="11" spans="1:43" s="199" customFormat="1" ht="15" customHeight="1" x14ac:dyDescent="0.3">
      <c r="A11" s="193" t="s">
        <v>842</v>
      </c>
      <c r="B11" s="193">
        <v>4</v>
      </c>
      <c r="C11" s="193" t="s">
        <v>832</v>
      </c>
      <c r="D11" s="196">
        <f>'GERAL 2023'!G40</f>
        <v>610</v>
      </c>
      <c r="E11" s="196">
        <v>0</v>
      </c>
      <c r="F11" s="196">
        <f>D11-E11</f>
        <v>610</v>
      </c>
      <c r="G11" s="192">
        <v>50</v>
      </c>
      <c r="H11" s="192">
        <f t="shared" si="3"/>
        <v>57.1</v>
      </c>
      <c r="I11" s="192">
        <f>'GERAL 2023'!I40</f>
        <v>1.2516548463356973</v>
      </c>
      <c r="J11" s="192">
        <f t="shared" si="5"/>
        <v>1.1944444444444444</v>
      </c>
      <c r="K11" s="192">
        <f>'GERAL 2023'!K40</f>
        <v>19.754999999999999</v>
      </c>
      <c r="L11" s="191">
        <f t="shared" si="2"/>
        <v>739.30109929078014</v>
      </c>
      <c r="M11" s="192">
        <f t="shared" si="6"/>
        <v>51.751076950354616</v>
      </c>
      <c r="N11" s="192">
        <f t="shared" si="4"/>
        <v>687.55002234042558</v>
      </c>
      <c r="O11" s="193" t="s">
        <v>859</v>
      </c>
      <c r="P11" s="197">
        <v>10</v>
      </c>
      <c r="Q11" s="194">
        <v>11</v>
      </c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</row>
    <row r="12" spans="1:43" s="199" customFormat="1" x14ac:dyDescent="0.3">
      <c r="A12" s="193" t="s">
        <v>744</v>
      </c>
      <c r="B12" s="193">
        <v>5</v>
      </c>
      <c r="C12" s="193" t="s">
        <v>823</v>
      </c>
      <c r="D12" s="196">
        <f>'GERAL 2023'!G7</f>
        <v>580</v>
      </c>
      <c r="E12" s="192">
        <v>0</v>
      </c>
      <c r="F12" s="192">
        <f>D12-E12</f>
        <v>580</v>
      </c>
      <c r="G12" s="192">
        <f>50</f>
        <v>50</v>
      </c>
      <c r="H12" s="192">
        <f t="shared" si="3"/>
        <v>57.1</v>
      </c>
      <c r="I12" s="192">
        <f>E57</f>
        <v>1.2516548463356973</v>
      </c>
      <c r="J12" s="192">
        <f t="shared" si="5"/>
        <v>1.1944444444444444</v>
      </c>
      <c r="K12" s="192">
        <v>0</v>
      </c>
      <c r="L12" s="191">
        <f t="shared" si="2"/>
        <v>689.54609929078015</v>
      </c>
      <c r="M12" s="192">
        <f t="shared" si="6"/>
        <v>48.268226950354617</v>
      </c>
      <c r="N12" s="192">
        <f t="shared" si="4"/>
        <v>641.27787234042557</v>
      </c>
      <c r="O12" s="193" t="s">
        <v>863</v>
      </c>
      <c r="P12" s="197">
        <v>10</v>
      </c>
      <c r="Q12" s="197">
        <v>11</v>
      </c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</row>
    <row r="13" spans="1:43" s="206" customFormat="1" x14ac:dyDescent="0.3">
      <c r="A13" s="193" t="s">
        <v>745</v>
      </c>
      <c r="B13" s="193">
        <v>6</v>
      </c>
      <c r="C13" s="193" t="s">
        <v>823</v>
      </c>
      <c r="D13" s="196">
        <f>'GERAL 2023'!G8</f>
        <v>680</v>
      </c>
      <c r="E13" s="196">
        <v>0</v>
      </c>
      <c r="F13" s="192">
        <f>D13-E13</f>
        <v>680</v>
      </c>
      <c r="G13" s="192">
        <v>50</v>
      </c>
      <c r="H13" s="192">
        <f t="shared" si="3"/>
        <v>57.1</v>
      </c>
      <c r="I13" s="192">
        <f>E59</f>
        <v>1.7523167848699763</v>
      </c>
      <c r="J13" s="192">
        <f t="shared" si="5"/>
        <v>1.1944444444444444</v>
      </c>
      <c r="K13" s="192">
        <v>0</v>
      </c>
      <c r="L13" s="191">
        <f t="shared" si="2"/>
        <v>790.04676122931448</v>
      </c>
      <c r="M13" s="192">
        <f t="shared" si="6"/>
        <v>55.303273286052018</v>
      </c>
      <c r="N13" s="192">
        <f>L13-M13</f>
        <v>734.74348794326249</v>
      </c>
      <c r="O13" s="193" t="s">
        <v>863</v>
      </c>
      <c r="P13" s="197">
        <v>10</v>
      </c>
      <c r="Q13" s="197">
        <v>11</v>
      </c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</row>
    <row r="14" spans="1:43" s="199" customFormat="1" x14ac:dyDescent="0.3">
      <c r="A14" s="193" t="s">
        <v>791</v>
      </c>
      <c r="B14" s="193">
        <v>7</v>
      </c>
      <c r="C14" s="193" t="s">
        <v>822</v>
      </c>
      <c r="D14" s="196">
        <f>'GERAL 2023'!G35</f>
        <v>610</v>
      </c>
      <c r="E14" s="192">
        <v>0</v>
      </c>
      <c r="F14" s="196">
        <f>D14-E14</f>
        <v>610</v>
      </c>
      <c r="G14" s="192">
        <v>50</v>
      </c>
      <c r="H14" s="192">
        <f t="shared" si="3"/>
        <v>57.1</v>
      </c>
      <c r="I14" s="192">
        <f>'GERAL 2023'!I35</f>
        <v>1.2516548463356973</v>
      </c>
      <c r="J14" s="192">
        <f t="shared" si="5"/>
        <v>1.1944444444444444</v>
      </c>
      <c r="K14" s="192">
        <v>19.75</v>
      </c>
      <c r="L14" s="191">
        <f t="shared" si="2"/>
        <v>739.29609929078015</v>
      </c>
      <c r="M14" s="192">
        <f t="shared" si="6"/>
        <v>51.750726950354618</v>
      </c>
      <c r="N14" s="192">
        <f t="shared" si="4"/>
        <v>687.5453723404255</v>
      </c>
      <c r="O14" s="193" t="s">
        <v>862</v>
      </c>
      <c r="P14" s="197">
        <v>10</v>
      </c>
      <c r="Q14" s="197">
        <v>11</v>
      </c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</row>
    <row r="15" spans="1:43" s="199" customFormat="1" x14ac:dyDescent="0.3">
      <c r="A15" s="193" t="s">
        <v>746</v>
      </c>
      <c r="B15" s="193">
        <v>8</v>
      </c>
      <c r="C15" s="193" t="s">
        <v>824</v>
      </c>
      <c r="D15" s="196">
        <f>'GERAL 2022'!G37</f>
        <v>580</v>
      </c>
      <c r="E15" s="192">
        <v>0</v>
      </c>
      <c r="F15" s="196">
        <f t="shared" si="1"/>
        <v>580</v>
      </c>
      <c r="G15" s="192">
        <v>50</v>
      </c>
      <c r="H15" s="192">
        <f t="shared" si="3"/>
        <v>57.1</v>
      </c>
      <c r="I15" s="192">
        <f>E63</f>
        <v>1.2516548463356973</v>
      </c>
      <c r="J15" s="192">
        <f t="shared" si="5"/>
        <v>1.1944444444444444</v>
      </c>
      <c r="K15" s="192">
        <v>19.7</v>
      </c>
      <c r="L15" s="191">
        <f t="shared" si="2"/>
        <v>709.24609929078019</v>
      </c>
      <c r="M15" s="192">
        <f t="shared" si="6"/>
        <v>49.647226950354622</v>
      </c>
      <c r="N15" s="192">
        <f t="shared" si="4"/>
        <v>659.5988723404256</v>
      </c>
      <c r="O15" s="193" t="s">
        <v>864</v>
      </c>
      <c r="P15" s="207">
        <v>10</v>
      </c>
      <c r="Q15" s="197">
        <v>11</v>
      </c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</row>
    <row r="16" spans="1:43" s="199" customFormat="1" x14ac:dyDescent="0.3">
      <c r="A16" s="193" t="s">
        <v>852</v>
      </c>
      <c r="B16" s="193">
        <v>9</v>
      </c>
      <c r="C16" s="193" t="s">
        <v>828</v>
      </c>
      <c r="D16" s="196">
        <v>0</v>
      </c>
      <c r="E16" s="192">
        <v>0</v>
      </c>
      <c r="F16" s="196">
        <f t="shared" si="1"/>
        <v>0</v>
      </c>
      <c r="G16" s="192">
        <v>0</v>
      </c>
      <c r="H16" s="192">
        <v>0</v>
      </c>
      <c r="I16" s="192">
        <v>0</v>
      </c>
      <c r="J16" s="192">
        <v>0</v>
      </c>
      <c r="K16" s="192">
        <v>0</v>
      </c>
      <c r="L16" s="191">
        <f t="shared" si="2"/>
        <v>0</v>
      </c>
      <c r="M16" s="192">
        <f t="shared" si="6"/>
        <v>0</v>
      </c>
      <c r="N16" s="192">
        <f>L16-M16</f>
        <v>0</v>
      </c>
      <c r="O16" s="193" t="s">
        <v>108</v>
      </c>
      <c r="P16" s="207">
        <v>10</v>
      </c>
      <c r="Q16" s="197">
        <v>11</v>
      </c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  <c r="AQ16" s="198"/>
    </row>
    <row r="17" spans="1:48" s="148" customFormat="1" x14ac:dyDescent="0.3">
      <c r="A17" s="194" t="s">
        <v>739</v>
      </c>
      <c r="B17" s="194">
        <v>10</v>
      </c>
      <c r="C17" s="194" t="s">
        <v>825</v>
      </c>
      <c r="D17" s="196">
        <f>'GERAL 2022'!G38</f>
        <v>550</v>
      </c>
      <c r="E17" s="192">
        <v>0</v>
      </c>
      <c r="F17" s="196">
        <f t="shared" si="1"/>
        <v>550</v>
      </c>
      <c r="G17" s="192">
        <v>50</v>
      </c>
      <c r="H17" s="192">
        <f t="shared" si="3"/>
        <v>57.1</v>
      </c>
      <c r="I17" s="192">
        <f>E67</f>
        <v>1.2516548463356973</v>
      </c>
      <c r="J17" s="192">
        <f t="shared" si="5"/>
        <v>1.1944444444444444</v>
      </c>
      <c r="K17" s="192">
        <v>0</v>
      </c>
      <c r="L17" s="191">
        <f t="shared" si="2"/>
        <v>659.54609929078015</v>
      </c>
      <c r="M17" s="192">
        <f t="shared" si="6"/>
        <v>46.168226950354615</v>
      </c>
      <c r="N17" s="192">
        <f t="shared" si="4"/>
        <v>613.37787234042548</v>
      </c>
      <c r="O17" s="193" t="s">
        <v>863</v>
      </c>
      <c r="P17" s="197">
        <v>10</v>
      </c>
      <c r="Q17" s="194">
        <v>11</v>
      </c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208"/>
      <c r="AD17" s="208"/>
      <c r="AE17" s="208"/>
      <c r="AF17" s="208"/>
      <c r="AG17" s="208"/>
      <c r="AH17" s="208"/>
      <c r="AI17" s="208"/>
      <c r="AJ17" s="208"/>
      <c r="AK17" s="208"/>
      <c r="AL17" s="208"/>
      <c r="AM17" s="208"/>
      <c r="AN17" s="208"/>
      <c r="AO17" s="208"/>
      <c r="AP17" s="208"/>
      <c r="AQ17" s="208"/>
      <c r="AR17" s="208"/>
      <c r="AS17" s="208"/>
      <c r="AT17" s="208"/>
      <c r="AU17" s="208"/>
      <c r="AV17" s="208"/>
    </row>
    <row r="18" spans="1:48" s="148" customFormat="1" ht="15.75" customHeight="1" x14ac:dyDescent="0.3">
      <c r="A18" s="194"/>
      <c r="B18" s="194">
        <v>11</v>
      </c>
      <c r="C18" s="194"/>
      <c r="D18" s="192">
        <v>0</v>
      </c>
      <c r="E18" s="192">
        <v>0</v>
      </c>
      <c r="F18" s="196">
        <f t="shared" si="1"/>
        <v>0</v>
      </c>
      <c r="G18" s="192">
        <v>0</v>
      </c>
      <c r="H18" s="192">
        <f t="shared" si="3"/>
        <v>57.1</v>
      </c>
      <c r="I18" s="192">
        <v>0</v>
      </c>
      <c r="J18" s="192">
        <v>0</v>
      </c>
      <c r="K18" s="192">
        <v>0</v>
      </c>
      <c r="L18" s="191">
        <f t="shared" si="2"/>
        <v>57.1</v>
      </c>
      <c r="M18" s="192">
        <f>7%*L18</f>
        <v>3.9970000000000003</v>
      </c>
      <c r="N18" s="192">
        <f t="shared" si="4"/>
        <v>53.103000000000002</v>
      </c>
      <c r="O18" s="196" t="s">
        <v>525</v>
      </c>
      <c r="P18" s="197"/>
      <c r="Q18" s="194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  <c r="AI18" s="208"/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  <c r="AT18" s="208"/>
      <c r="AU18" s="208"/>
      <c r="AV18" s="208"/>
    </row>
    <row r="19" spans="1:48" s="199" customFormat="1" x14ac:dyDescent="0.3">
      <c r="A19" s="193" t="s">
        <v>826</v>
      </c>
      <c r="B19" s="193">
        <v>12</v>
      </c>
      <c r="C19" s="193" t="s">
        <v>825</v>
      </c>
      <c r="D19" s="196">
        <f>'GERAL 2022'!G14</f>
        <v>550</v>
      </c>
      <c r="E19" s="192">
        <v>0</v>
      </c>
      <c r="F19" s="196">
        <f t="shared" si="1"/>
        <v>550</v>
      </c>
      <c r="G19" s="196">
        <v>25</v>
      </c>
      <c r="H19" s="192">
        <f t="shared" si="3"/>
        <v>57.1</v>
      </c>
      <c r="I19" s="192">
        <f>E71</f>
        <v>1.2516548463356973</v>
      </c>
      <c r="J19" s="192">
        <f t="shared" si="5"/>
        <v>1.1944444444444444</v>
      </c>
      <c r="K19" s="196">
        <v>0</v>
      </c>
      <c r="L19" s="191">
        <f t="shared" si="2"/>
        <v>634.54609929078015</v>
      </c>
      <c r="M19" s="192">
        <f t="shared" si="6"/>
        <v>44.418226950354615</v>
      </c>
      <c r="N19" s="192">
        <f t="shared" si="4"/>
        <v>590.12787234042548</v>
      </c>
      <c r="O19" s="193" t="s">
        <v>863</v>
      </c>
      <c r="P19" s="197">
        <v>10</v>
      </c>
      <c r="Q19" s="197">
        <v>11</v>
      </c>
      <c r="R19" s="198"/>
      <c r="S19" s="198"/>
      <c r="T19" s="198"/>
      <c r="U19" s="198"/>
      <c r="V19" s="198"/>
      <c r="W19" s="198"/>
      <c r="X19" s="198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198"/>
      <c r="AN19" s="198"/>
      <c r="AO19" s="198"/>
      <c r="AP19" s="198"/>
      <c r="AQ19" s="198"/>
    </row>
    <row r="20" spans="1:48" s="206" customFormat="1" x14ac:dyDescent="0.3">
      <c r="A20" s="193" t="s">
        <v>756</v>
      </c>
      <c r="B20" s="193">
        <v>13</v>
      </c>
      <c r="C20" s="193" t="s">
        <v>827</v>
      </c>
      <c r="D20" s="196">
        <f>'GERAL 2022'!G15</f>
        <v>550</v>
      </c>
      <c r="E20" s="196">
        <v>0</v>
      </c>
      <c r="F20" s="196">
        <f t="shared" si="1"/>
        <v>550</v>
      </c>
      <c r="G20" s="192">
        <v>0</v>
      </c>
      <c r="H20" s="192">
        <f t="shared" si="3"/>
        <v>57.1</v>
      </c>
      <c r="I20" s="192">
        <f>E73</f>
        <v>1.2516548463356973</v>
      </c>
      <c r="J20" s="192">
        <f t="shared" si="5"/>
        <v>1.1944444444444444</v>
      </c>
      <c r="K20" s="192">
        <v>0</v>
      </c>
      <c r="L20" s="191">
        <f t="shared" si="2"/>
        <v>609.54609929078015</v>
      </c>
      <c r="M20" s="192">
        <f t="shared" si="6"/>
        <v>42.668226950354615</v>
      </c>
      <c r="N20" s="192">
        <f t="shared" si="4"/>
        <v>566.87787234042548</v>
      </c>
      <c r="O20" s="193" t="s">
        <v>863</v>
      </c>
      <c r="P20" s="197">
        <v>10</v>
      </c>
      <c r="Q20" s="197">
        <v>11</v>
      </c>
      <c r="R20" s="205"/>
      <c r="S20" s="205"/>
      <c r="T20" s="205"/>
      <c r="U20" s="205"/>
      <c r="V20" s="205"/>
      <c r="W20" s="205"/>
      <c r="X20" s="205"/>
      <c r="Y20" s="205"/>
      <c r="Z20" s="205"/>
      <c r="AA20" s="205"/>
      <c r="AB20" s="205"/>
      <c r="AC20" s="205"/>
      <c r="AD20" s="205"/>
      <c r="AE20" s="205"/>
      <c r="AF20" s="205"/>
      <c r="AG20" s="205"/>
      <c r="AH20" s="205"/>
      <c r="AI20" s="205"/>
      <c r="AJ20" s="205"/>
      <c r="AK20" s="205"/>
      <c r="AL20" s="205"/>
      <c r="AM20" s="205"/>
      <c r="AN20" s="205"/>
      <c r="AO20" s="205"/>
      <c r="AP20" s="205"/>
      <c r="AQ20" s="205"/>
    </row>
    <row r="21" spans="1:48" s="148" customFormat="1" x14ac:dyDescent="0.3">
      <c r="A21" s="194" t="s">
        <v>747</v>
      </c>
      <c r="B21" s="194">
        <v>14</v>
      </c>
      <c r="C21" s="193" t="s">
        <v>832</v>
      </c>
      <c r="D21" s="196">
        <f>'GERAL 2022'!G39</f>
        <v>580</v>
      </c>
      <c r="E21" s="192">
        <v>0</v>
      </c>
      <c r="F21" s="196">
        <f t="shared" si="1"/>
        <v>580</v>
      </c>
      <c r="G21" s="192">
        <f>50</f>
        <v>50</v>
      </c>
      <c r="H21" s="192">
        <f t="shared" si="3"/>
        <v>57.1</v>
      </c>
      <c r="I21" s="192">
        <f>E75</f>
        <v>1.2516548463356973</v>
      </c>
      <c r="J21" s="192">
        <f t="shared" si="5"/>
        <v>1.1944444444444444</v>
      </c>
      <c r="K21" s="192">
        <f>'GERAL 2023'!K16</f>
        <v>19.696666666666669</v>
      </c>
      <c r="L21" s="191">
        <f t="shared" si="2"/>
        <v>709.24276595744686</v>
      </c>
      <c r="M21" s="192">
        <f t="shared" si="6"/>
        <v>49.646993617021288</v>
      </c>
      <c r="N21" s="192">
        <f t="shared" si="4"/>
        <v>659.59577234042558</v>
      </c>
      <c r="O21" s="193" t="s">
        <v>859</v>
      </c>
      <c r="P21" s="197">
        <v>10</v>
      </c>
      <c r="Q21" s="194">
        <v>11</v>
      </c>
      <c r="R21" s="208"/>
      <c r="S21" s="208"/>
      <c r="T21" s="208"/>
      <c r="U21" s="208"/>
      <c r="V21" s="208"/>
      <c r="W21" s="208"/>
      <c r="X21" s="208"/>
      <c r="Y21" s="208"/>
      <c r="Z21" s="208"/>
      <c r="AA21" s="208"/>
      <c r="AB21" s="208"/>
      <c r="AC21" s="208"/>
      <c r="AD21" s="208"/>
      <c r="AE21" s="208"/>
      <c r="AF21" s="208"/>
      <c r="AG21" s="208"/>
      <c r="AH21" s="208"/>
      <c r="AI21" s="208"/>
      <c r="AJ21" s="208"/>
      <c r="AK21" s="208"/>
      <c r="AL21" s="208"/>
      <c r="AM21" s="208"/>
      <c r="AN21" s="208"/>
      <c r="AO21" s="208"/>
      <c r="AP21" s="208"/>
      <c r="AQ21" s="208"/>
      <c r="AR21" s="208"/>
      <c r="AS21" s="208"/>
      <c r="AT21" s="208"/>
      <c r="AU21" s="208"/>
      <c r="AV21" s="208"/>
    </row>
    <row r="22" spans="1:48" s="204" customFormat="1" x14ac:dyDescent="0.3">
      <c r="A22" s="193" t="s">
        <v>748</v>
      </c>
      <c r="B22" s="193">
        <v>15</v>
      </c>
      <c r="C22" s="193" t="s">
        <v>827</v>
      </c>
      <c r="D22" s="196">
        <f>'GERAL 2023'!G36</f>
        <v>680</v>
      </c>
      <c r="E22" s="192">
        <v>0</v>
      </c>
      <c r="F22" s="196">
        <f t="shared" si="1"/>
        <v>680</v>
      </c>
      <c r="G22" s="192">
        <v>25</v>
      </c>
      <c r="H22" s="192">
        <f t="shared" si="3"/>
        <v>57.1</v>
      </c>
      <c r="I22" s="192">
        <f>'GERAL 2023'!I36</f>
        <v>1.7523167848699763</v>
      </c>
      <c r="J22" s="192">
        <f t="shared" si="5"/>
        <v>1.1944444444444444</v>
      </c>
      <c r="K22" s="192">
        <v>0</v>
      </c>
      <c r="L22" s="191">
        <f t="shared" si="2"/>
        <v>765.04676122931448</v>
      </c>
      <c r="M22" s="192">
        <f t="shared" si="6"/>
        <v>53.553273286052018</v>
      </c>
      <c r="N22" s="192">
        <f t="shared" si="4"/>
        <v>711.49348794326249</v>
      </c>
      <c r="O22" s="193" t="s">
        <v>863</v>
      </c>
      <c r="P22" s="197">
        <v>10</v>
      </c>
      <c r="Q22" s="194">
        <v>11</v>
      </c>
      <c r="R22" s="200"/>
      <c r="S22" s="200"/>
      <c r="T22" s="200"/>
      <c r="U22" s="200"/>
      <c r="V22" s="200"/>
      <c r="W22" s="200"/>
      <c r="X22" s="200"/>
      <c r="Y22" s="200"/>
      <c r="Z22" s="200"/>
    </row>
    <row r="23" spans="1:48" s="206" customFormat="1" x14ac:dyDescent="0.3">
      <c r="A23" s="197" t="s">
        <v>757</v>
      </c>
      <c r="B23" s="197">
        <v>16</v>
      </c>
      <c r="C23" s="197" t="s">
        <v>829</v>
      </c>
      <c r="D23" s="196">
        <f>'GERAL 2023'!G37/31*13</f>
        <v>255.8064516129032</v>
      </c>
      <c r="E23" s="192">
        <v>0</v>
      </c>
      <c r="F23" s="196">
        <f>D23-E23</f>
        <v>255.8064516129032</v>
      </c>
      <c r="G23" s="192">
        <v>0</v>
      </c>
      <c r="H23" s="192">
        <f>(1541.7/27)/31*13</f>
        <v>23.945161290322581</v>
      </c>
      <c r="I23" s="192">
        <f>E79/31*13</f>
        <v>0.52488751620529239</v>
      </c>
      <c r="J23" s="192">
        <f>((193.5/27)/6)/31*13</f>
        <v>0.50089605734767018</v>
      </c>
      <c r="K23" s="192">
        <v>0</v>
      </c>
      <c r="L23" s="191">
        <f t="shared" si="2"/>
        <v>280.77739647677879</v>
      </c>
      <c r="M23" s="192">
        <f t="shared" si="6"/>
        <v>19.654417753374517</v>
      </c>
      <c r="N23" s="192">
        <f t="shared" si="4"/>
        <v>261.12297872340429</v>
      </c>
      <c r="O23" s="193" t="s">
        <v>866</v>
      </c>
      <c r="P23" s="197">
        <v>10</v>
      </c>
      <c r="Q23" s="197">
        <v>11</v>
      </c>
      <c r="R23" s="205"/>
      <c r="S23" s="205"/>
      <c r="T23" s="205"/>
      <c r="U23" s="205"/>
      <c r="V23" s="205"/>
      <c r="W23" s="205"/>
      <c r="X23" s="205"/>
      <c r="Y23" s="205"/>
      <c r="Z23" s="205"/>
      <c r="AA23" s="205"/>
      <c r="AB23" s="205"/>
      <c r="AC23" s="205"/>
      <c r="AD23" s="205"/>
      <c r="AE23" s="205"/>
      <c r="AF23" s="205"/>
      <c r="AG23" s="205"/>
      <c r="AH23" s="205"/>
      <c r="AI23" s="205"/>
      <c r="AJ23" s="205"/>
      <c r="AK23" s="205"/>
      <c r="AL23" s="205"/>
      <c r="AM23" s="205"/>
      <c r="AN23" s="205"/>
      <c r="AO23" s="205"/>
      <c r="AP23" s="205"/>
      <c r="AQ23" s="205"/>
    </row>
    <row r="24" spans="1:48" s="206" customFormat="1" x14ac:dyDescent="0.3">
      <c r="A24" s="195" t="s">
        <v>741</v>
      </c>
      <c r="B24" s="195">
        <v>17</v>
      </c>
      <c r="C24" s="195" t="s">
        <v>825</v>
      </c>
      <c r="D24" s="196">
        <f>'GERAL 2022'!G41</f>
        <v>580</v>
      </c>
      <c r="E24" s="192">
        <v>0</v>
      </c>
      <c r="F24" s="196">
        <f t="shared" si="1"/>
        <v>580</v>
      </c>
      <c r="G24" s="192">
        <v>0</v>
      </c>
      <c r="H24" s="192">
        <f t="shared" si="3"/>
        <v>57.1</v>
      </c>
      <c r="I24" s="192">
        <f>E81</f>
        <v>1.2516548463356973</v>
      </c>
      <c r="J24" s="192">
        <f t="shared" si="5"/>
        <v>1.1944444444444444</v>
      </c>
      <c r="K24" s="192">
        <v>0</v>
      </c>
      <c r="L24" s="191">
        <f t="shared" si="2"/>
        <v>639.54609929078015</v>
      </c>
      <c r="M24" s="192">
        <f t="shared" si="6"/>
        <v>44.768226950354617</v>
      </c>
      <c r="N24" s="192">
        <f t="shared" si="4"/>
        <v>594.77787234042557</v>
      </c>
      <c r="O24" s="196" t="s">
        <v>863</v>
      </c>
      <c r="P24" s="197">
        <v>10</v>
      </c>
      <c r="Q24" s="197">
        <v>11</v>
      </c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  <c r="AP24" s="205"/>
      <c r="AQ24" s="205"/>
    </row>
    <row r="25" spans="1:48" s="206" customFormat="1" x14ac:dyDescent="0.3">
      <c r="A25" s="195" t="s">
        <v>749</v>
      </c>
      <c r="B25" s="193">
        <v>18</v>
      </c>
      <c r="C25" s="209" t="s">
        <v>830</v>
      </c>
      <c r="D25" s="196">
        <f>'GERAL 2023'!G20</f>
        <v>640</v>
      </c>
      <c r="E25" s="192">
        <v>0</v>
      </c>
      <c r="F25" s="196">
        <f>D25-E25</f>
        <v>640</v>
      </c>
      <c r="G25" s="192">
        <v>50</v>
      </c>
      <c r="H25" s="192">
        <f t="shared" si="3"/>
        <v>57.1</v>
      </c>
      <c r="I25" s="192">
        <f>E83</f>
        <v>1.2516548463356973</v>
      </c>
      <c r="J25" s="192">
        <f t="shared" si="5"/>
        <v>1.1944444444444444</v>
      </c>
      <c r="K25" s="192">
        <f>'GERAL 2023'!K20</f>
        <v>19.82</v>
      </c>
      <c r="L25" s="191">
        <f t="shared" si="2"/>
        <v>769.3660992907802</v>
      </c>
      <c r="M25" s="192">
        <f t="shared" si="6"/>
        <v>53.855626950354619</v>
      </c>
      <c r="N25" s="192">
        <f t="shared" si="4"/>
        <v>715.51047234042562</v>
      </c>
      <c r="O25" s="193" t="s">
        <v>865</v>
      </c>
      <c r="P25" s="197">
        <v>10</v>
      </c>
      <c r="Q25" s="197">
        <v>11</v>
      </c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  <c r="AQ25" s="205"/>
    </row>
    <row r="26" spans="1:48" s="206" customFormat="1" x14ac:dyDescent="0.3">
      <c r="A26" s="193" t="s">
        <v>738</v>
      </c>
      <c r="B26" s="193">
        <v>19</v>
      </c>
      <c r="C26" s="193" t="s">
        <v>825</v>
      </c>
      <c r="D26" s="196">
        <f>'GERAL 2023'!G38</f>
        <v>610</v>
      </c>
      <c r="E26" s="192">
        <v>0</v>
      </c>
      <c r="F26" s="196">
        <f>(D26-E26)</f>
        <v>610</v>
      </c>
      <c r="G26" s="192">
        <v>0</v>
      </c>
      <c r="H26" s="192">
        <f t="shared" si="3"/>
        <v>57.1</v>
      </c>
      <c r="I26" s="192">
        <f>'GERAL 2023'!I38</f>
        <v>1.2516548463356973</v>
      </c>
      <c r="J26" s="192">
        <f t="shared" si="5"/>
        <v>1.1944444444444444</v>
      </c>
      <c r="K26" s="192">
        <v>0</v>
      </c>
      <c r="L26" s="191">
        <f t="shared" si="2"/>
        <v>669.54609929078015</v>
      </c>
      <c r="M26" s="192">
        <f t="shared" si="6"/>
        <v>46.868226950354618</v>
      </c>
      <c r="N26" s="192">
        <f t="shared" si="4"/>
        <v>622.67787234042555</v>
      </c>
      <c r="O26" s="193" t="s">
        <v>863</v>
      </c>
      <c r="P26" s="197">
        <v>10</v>
      </c>
      <c r="Q26" s="197">
        <v>11</v>
      </c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  <c r="AQ26" s="205"/>
    </row>
    <row r="27" spans="1:48" s="206" customFormat="1" x14ac:dyDescent="0.3">
      <c r="A27" s="195"/>
      <c r="B27" s="193">
        <v>20</v>
      </c>
      <c r="C27" s="193"/>
      <c r="D27" s="196">
        <v>0</v>
      </c>
      <c r="E27" s="192">
        <v>0</v>
      </c>
      <c r="F27" s="196">
        <f t="shared" ref="F27:F34" si="7">D27-E27</f>
        <v>0</v>
      </c>
      <c r="G27" s="192">
        <v>0</v>
      </c>
      <c r="H27" s="192">
        <f t="shared" si="3"/>
        <v>57.1</v>
      </c>
      <c r="I27" s="192">
        <v>0</v>
      </c>
      <c r="J27" s="192">
        <v>0</v>
      </c>
      <c r="K27" s="192">
        <v>0</v>
      </c>
      <c r="L27" s="191">
        <f t="shared" si="2"/>
        <v>57.1</v>
      </c>
      <c r="M27" s="192">
        <f t="shared" si="6"/>
        <v>3.9970000000000003</v>
      </c>
      <c r="N27" s="192">
        <f t="shared" si="4"/>
        <v>53.103000000000002</v>
      </c>
      <c r="O27" s="193" t="s">
        <v>525</v>
      </c>
      <c r="P27" s="207"/>
      <c r="Q27" s="197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  <c r="AQ27" s="205"/>
    </row>
    <row r="28" spans="1:48" s="206" customFormat="1" x14ac:dyDescent="0.3">
      <c r="A28" s="195" t="s">
        <v>788</v>
      </c>
      <c r="B28" s="193">
        <v>21</v>
      </c>
      <c r="C28" s="193" t="s">
        <v>822</v>
      </c>
      <c r="D28" s="196">
        <f>'GERAL 2023'!G39</f>
        <v>580</v>
      </c>
      <c r="E28" s="192">
        <v>0</v>
      </c>
      <c r="F28" s="196">
        <f t="shared" si="7"/>
        <v>580</v>
      </c>
      <c r="G28" s="192">
        <v>25</v>
      </c>
      <c r="H28" s="192">
        <f t="shared" si="3"/>
        <v>57.1</v>
      </c>
      <c r="I28" s="192">
        <f>'GERAL 2023'!I39</f>
        <v>1.2516548463356973</v>
      </c>
      <c r="J28" s="192">
        <f t="shared" si="5"/>
        <v>1.1944444444444444</v>
      </c>
      <c r="K28" s="192">
        <v>19.7</v>
      </c>
      <c r="L28" s="191">
        <f t="shared" si="2"/>
        <v>684.24609929078019</v>
      </c>
      <c r="M28" s="192">
        <f t="shared" si="6"/>
        <v>47.897226950354622</v>
      </c>
      <c r="N28" s="192">
        <f t="shared" si="4"/>
        <v>636.3488723404256</v>
      </c>
      <c r="O28" s="193" t="s">
        <v>862</v>
      </c>
      <c r="P28" s="207">
        <v>10</v>
      </c>
      <c r="Q28" s="197">
        <v>11</v>
      </c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  <c r="AQ28" s="205"/>
    </row>
    <row r="29" spans="1:48" s="206" customFormat="1" x14ac:dyDescent="0.3">
      <c r="A29" s="195" t="s">
        <v>759</v>
      </c>
      <c r="B29" s="193">
        <v>22</v>
      </c>
      <c r="C29" s="193" t="s">
        <v>827</v>
      </c>
      <c r="D29" s="196">
        <f>'GERAL 2022'!G24/31*20</f>
        <v>322.58064516129031</v>
      </c>
      <c r="E29" s="192">
        <v>0</v>
      </c>
      <c r="F29" s="196">
        <f t="shared" si="7"/>
        <v>322.58064516129031</v>
      </c>
      <c r="G29" s="192">
        <f>25/31*20</f>
        <v>16.129032258064516</v>
      </c>
      <c r="H29" s="192">
        <f>(1541.7/27)/31*20</f>
        <v>36.838709677419359</v>
      </c>
      <c r="I29" s="192">
        <f>E91/31*20</f>
        <v>0.8075192557004498</v>
      </c>
      <c r="J29" s="192">
        <f>((193.5/27))/6/31*20</f>
        <v>0.77060931899641572</v>
      </c>
      <c r="K29" s="192">
        <v>0</v>
      </c>
      <c r="L29" s="191">
        <f t="shared" si="2"/>
        <v>377.12651567147105</v>
      </c>
      <c r="M29" s="192">
        <f t="shared" si="6"/>
        <v>26.398856097002977</v>
      </c>
      <c r="N29" s="192">
        <f t="shared" si="4"/>
        <v>350.72765957446808</v>
      </c>
      <c r="O29" s="193" t="s">
        <v>869</v>
      </c>
      <c r="P29" s="207">
        <v>10</v>
      </c>
      <c r="Q29" s="197">
        <v>11</v>
      </c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  <c r="AQ29" s="205"/>
    </row>
    <row r="30" spans="1:48" s="206" customFormat="1" x14ac:dyDescent="0.3">
      <c r="A30" s="195" t="s">
        <v>750</v>
      </c>
      <c r="B30" s="193">
        <v>23</v>
      </c>
      <c r="C30" s="193" t="s">
        <v>827</v>
      </c>
      <c r="D30" s="196">
        <f>'GERAL 2022'!G25</f>
        <v>550</v>
      </c>
      <c r="E30" s="192">
        <v>0</v>
      </c>
      <c r="F30" s="196">
        <f t="shared" si="7"/>
        <v>550</v>
      </c>
      <c r="G30" s="192">
        <v>0</v>
      </c>
      <c r="H30" s="192">
        <f t="shared" si="3"/>
        <v>57.1</v>
      </c>
      <c r="I30" s="192">
        <f>E93</f>
        <v>1.2516548463356973</v>
      </c>
      <c r="J30" s="192">
        <f t="shared" si="5"/>
        <v>1.1944444444444444</v>
      </c>
      <c r="K30" s="192">
        <v>0</v>
      </c>
      <c r="L30" s="191">
        <f t="shared" si="2"/>
        <v>609.54609929078015</v>
      </c>
      <c r="M30" s="192">
        <f t="shared" si="6"/>
        <v>42.668226950354615</v>
      </c>
      <c r="N30" s="192">
        <f t="shared" si="4"/>
        <v>566.87787234042548</v>
      </c>
      <c r="O30" s="193" t="s">
        <v>863</v>
      </c>
      <c r="P30" s="197">
        <v>10</v>
      </c>
      <c r="Q30" s="197">
        <v>11</v>
      </c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  <c r="AQ30" s="205"/>
    </row>
    <row r="31" spans="1:48" s="204" customFormat="1" ht="15" customHeight="1" x14ac:dyDescent="0.3">
      <c r="A31" s="193" t="s">
        <v>844</v>
      </c>
      <c r="B31" s="193">
        <v>24</v>
      </c>
      <c r="C31" s="193" t="s">
        <v>832</v>
      </c>
      <c r="D31" s="196">
        <f>'GERAL 2023'!G41</f>
        <v>680</v>
      </c>
      <c r="E31" s="192">
        <v>0</v>
      </c>
      <c r="F31" s="196">
        <f t="shared" si="7"/>
        <v>680</v>
      </c>
      <c r="G31" s="192">
        <v>25</v>
      </c>
      <c r="H31" s="192">
        <f t="shared" si="3"/>
        <v>57.1</v>
      </c>
      <c r="I31" s="192">
        <f>'GERAL 2023'!I41</f>
        <v>1.7523167848699763</v>
      </c>
      <c r="J31" s="192">
        <f t="shared" si="5"/>
        <v>1.1944444444444444</v>
      </c>
      <c r="K31" s="192">
        <v>19.89</v>
      </c>
      <c r="L31" s="191">
        <f t="shared" si="2"/>
        <v>784.93676122931447</v>
      </c>
      <c r="M31" s="192">
        <f t="shared" si="6"/>
        <v>54.945573286052017</v>
      </c>
      <c r="N31" s="192">
        <f t="shared" si="4"/>
        <v>729.9911879432625</v>
      </c>
      <c r="O31" s="193" t="s">
        <v>861</v>
      </c>
      <c r="P31" s="207">
        <v>10</v>
      </c>
      <c r="Q31" s="197">
        <v>11</v>
      </c>
      <c r="R31" s="200"/>
      <c r="S31" s="200"/>
      <c r="T31" s="200"/>
      <c r="U31" s="200"/>
      <c r="V31" s="200"/>
      <c r="W31" s="200"/>
      <c r="X31" s="200"/>
      <c r="Y31" s="200"/>
      <c r="Z31" s="200"/>
    </row>
    <row r="32" spans="1:48" s="204" customFormat="1" ht="15" customHeight="1" x14ac:dyDescent="0.3">
      <c r="A32" s="206" t="s">
        <v>809</v>
      </c>
      <c r="B32" s="193">
        <v>25</v>
      </c>
      <c r="C32" s="193" t="s">
        <v>832</v>
      </c>
      <c r="D32" s="196">
        <f>'GERAL 2022'!G44</f>
        <v>610</v>
      </c>
      <c r="E32" s="192">
        <v>0</v>
      </c>
      <c r="F32" s="196">
        <f t="shared" si="7"/>
        <v>610</v>
      </c>
      <c r="G32" s="192">
        <v>0</v>
      </c>
      <c r="H32" s="192">
        <f t="shared" si="3"/>
        <v>57.1</v>
      </c>
      <c r="I32" s="192">
        <f>E97</f>
        <v>1.2516548463356973</v>
      </c>
      <c r="J32" s="192">
        <f t="shared" si="5"/>
        <v>1.1944444444444444</v>
      </c>
      <c r="K32" s="192">
        <f>'GERAL 2023'!K27</f>
        <v>19.754999999999999</v>
      </c>
      <c r="L32" s="191">
        <f t="shared" si="2"/>
        <v>689.30109929078014</v>
      </c>
      <c r="M32" s="192">
        <f t="shared" si="6"/>
        <v>48.251076950354616</v>
      </c>
      <c r="N32" s="192">
        <f t="shared" si="4"/>
        <v>641.05002234042558</v>
      </c>
      <c r="O32" s="193" t="s">
        <v>859</v>
      </c>
      <c r="P32" s="207">
        <v>10</v>
      </c>
      <c r="Q32" s="197">
        <v>11</v>
      </c>
      <c r="R32" s="200"/>
      <c r="S32" s="200"/>
      <c r="T32" s="200"/>
      <c r="U32" s="200"/>
      <c r="V32" s="200"/>
      <c r="W32" s="200"/>
      <c r="X32" s="200"/>
      <c r="Y32" s="200"/>
      <c r="Z32" s="200"/>
    </row>
    <row r="33" spans="1:61" s="206" customFormat="1" x14ac:dyDescent="0.3">
      <c r="A33" s="195" t="s">
        <v>751</v>
      </c>
      <c r="B33" s="193">
        <v>26</v>
      </c>
      <c r="C33" s="193" t="s">
        <v>827</v>
      </c>
      <c r="D33" s="196">
        <f>'GERAL 2022'!G28</f>
        <v>560</v>
      </c>
      <c r="E33" s="192">
        <v>0</v>
      </c>
      <c r="F33" s="196">
        <f t="shared" si="7"/>
        <v>560</v>
      </c>
      <c r="G33" s="192">
        <v>25</v>
      </c>
      <c r="H33" s="192">
        <f t="shared" si="3"/>
        <v>57.1</v>
      </c>
      <c r="I33" s="192">
        <f>E99</f>
        <v>1.2516548463356973</v>
      </c>
      <c r="J33" s="192">
        <f t="shared" si="5"/>
        <v>1.1944444444444444</v>
      </c>
      <c r="K33" s="192">
        <v>0</v>
      </c>
      <c r="L33" s="191">
        <f t="shared" si="2"/>
        <v>644.54609929078015</v>
      </c>
      <c r="M33" s="192">
        <f t="shared" si="6"/>
        <v>45.118226950354618</v>
      </c>
      <c r="N33" s="192">
        <f t="shared" si="4"/>
        <v>599.42787234042555</v>
      </c>
      <c r="O33" s="193" t="s">
        <v>863</v>
      </c>
      <c r="P33" s="197">
        <v>10</v>
      </c>
      <c r="Q33" s="197">
        <v>11</v>
      </c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  <c r="AC33" s="205"/>
      <c r="AD33" s="205"/>
      <c r="AE33" s="205"/>
      <c r="AF33" s="205"/>
      <c r="AG33" s="205"/>
      <c r="AH33" s="205"/>
      <c r="AI33" s="205"/>
      <c r="AJ33" s="205"/>
      <c r="AK33" s="205"/>
      <c r="AL33" s="205"/>
      <c r="AM33" s="205"/>
      <c r="AN33" s="205"/>
      <c r="AO33" s="205"/>
      <c r="AP33" s="205"/>
      <c r="AQ33" s="205"/>
    </row>
    <row r="34" spans="1:61" s="206" customFormat="1" x14ac:dyDescent="0.3">
      <c r="A34" s="195" t="s">
        <v>752</v>
      </c>
      <c r="B34" s="193">
        <v>27</v>
      </c>
      <c r="C34" s="216" t="s">
        <v>827</v>
      </c>
      <c r="D34" s="217">
        <f>'GERAL 2022'!G45</f>
        <v>580</v>
      </c>
      <c r="E34" s="210">
        <v>0</v>
      </c>
      <c r="F34" s="196">
        <f t="shared" si="7"/>
        <v>580</v>
      </c>
      <c r="G34" s="210">
        <v>0</v>
      </c>
      <c r="H34" s="192">
        <f t="shared" si="3"/>
        <v>57.1</v>
      </c>
      <c r="I34" s="210">
        <f>E101</f>
        <v>1.2516548463356973</v>
      </c>
      <c r="J34" s="192">
        <f>(193.5)/27/6</f>
        <v>1.1944444444444444</v>
      </c>
      <c r="K34" s="210">
        <v>0</v>
      </c>
      <c r="L34" s="191">
        <f t="shared" si="2"/>
        <v>639.54609929078015</v>
      </c>
      <c r="M34" s="192">
        <f t="shared" si="6"/>
        <v>44.768226950354617</v>
      </c>
      <c r="N34" s="192">
        <f>L34-M34</f>
        <v>594.77787234042557</v>
      </c>
      <c r="O34" s="193" t="s">
        <v>863</v>
      </c>
      <c r="P34" s="197">
        <v>10</v>
      </c>
      <c r="Q34" s="197">
        <v>11</v>
      </c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205"/>
    </row>
    <row r="35" spans="1:61" s="11" customFormat="1" x14ac:dyDescent="0.3">
      <c r="A35" s="518" t="s">
        <v>4</v>
      </c>
      <c r="B35" s="518"/>
      <c r="C35" s="95"/>
      <c r="D35" s="109">
        <f>SUM(D8:D34)</f>
        <v>13068.387096774193</v>
      </c>
      <c r="E35" s="109">
        <f t="shared" ref="E35:M35" si="8">SUM(E8:E34)</f>
        <v>0</v>
      </c>
      <c r="F35" s="109">
        <f t="shared" si="8"/>
        <v>13068.387096774193</v>
      </c>
      <c r="G35" s="109">
        <f t="shared" si="8"/>
        <v>591.12903225806451</v>
      </c>
      <c r="H35" s="109">
        <f>SUM(H8:H34)</f>
        <v>1431.1838709677415</v>
      </c>
      <c r="I35" s="109">
        <f t="shared" si="8"/>
        <v>29.119144360558217</v>
      </c>
      <c r="J35" s="109">
        <f t="shared" si="8"/>
        <v>26.354838709677409</v>
      </c>
      <c r="K35" s="109">
        <f t="shared" si="8"/>
        <v>197.40666666666664</v>
      </c>
      <c r="L35" s="109">
        <f t="shared" si="8"/>
        <v>15343.580649736901</v>
      </c>
      <c r="M35" s="109">
        <f t="shared" si="8"/>
        <v>1074.0506454815832</v>
      </c>
      <c r="N35" s="109">
        <f>SUM(N8:N34)</f>
        <v>14269.530004255319</v>
      </c>
      <c r="O35" s="90"/>
      <c r="P35" s="3"/>
      <c r="Q35" s="3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</row>
    <row r="36" spans="1:61" s="11" customFormat="1" ht="28.5" customHeight="1" x14ac:dyDescent="0.3">
      <c r="A36" s="521" t="s">
        <v>886</v>
      </c>
      <c r="B36" s="521"/>
      <c r="C36" s="521"/>
      <c r="D36" s="521"/>
      <c r="E36" s="521"/>
      <c r="F36" s="521"/>
      <c r="G36" s="521"/>
      <c r="H36" s="521"/>
      <c r="I36" s="521"/>
      <c r="J36" s="521"/>
      <c r="K36" s="521"/>
      <c r="L36" s="521"/>
      <c r="M36" s="521"/>
      <c r="N36" s="521"/>
      <c r="O36" s="521"/>
      <c r="P36" s="521"/>
      <c r="Q36" s="521"/>
      <c r="R36" s="10"/>
      <c r="S36" s="10"/>
      <c r="T36" s="10"/>
      <c r="U36" s="10"/>
      <c r="V36" s="10"/>
      <c r="W36" s="10"/>
      <c r="X36" s="10"/>
      <c r="Y36" s="10"/>
      <c r="Z36" s="10"/>
    </row>
    <row r="37" spans="1:61" s="11" customFormat="1" ht="27.75" customHeight="1" x14ac:dyDescent="0.3">
      <c r="A37" s="127" t="s">
        <v>3</v>
      </c>
      <c r="B37" s="127" t="s">
        <v>0</v>
      </c>
      <c r="C37" s="127" t="s">
        <v>821</v>
      </c>
      <c r="D37" s="128" t="s">
        <v>174</v>
      </c>
      <c r="E37" s="555" t="s">
        <v>175</v>
      </c>
      <c r="F37" s="556"/>
      <c r="G37" s="556"/>
      <c r="H37" s="556"/>
      <c r="I37" s="556"/>
      <c r="J37" s="556"/>
      <c r="K37" s="557"/>
      <c r="L37" s="128" t="s">
        <v>4</v>
      </c>
      <c r="M37" s="128" t="s">
        <v>5</v>
      </c>
      <c r="N37" s="128" t="s">
        <v>70</v>
      </c>
      <c r="O37" s="127" t="s">
        <v>59</v>
      </c>
      <c r="P37" s="130" t="s">
        <v>8</v>
      </c>
      <c r="Q37" s="130" t="s">
        <v>10</v>
      </c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spans="1:61" s="199" customFormat="1" x14ac:dyDescent="0.3">
      <c r="A38" s="197" t="s">
        <v>757</v>
      </c>
      <c r="B38" s="197">
        <v>16</v>
      </c>
      <c r="C38" s="197" t="s">
        <v>829</v>
      </c>
      <c r="D38" s="192">
        <v>1281</v>
      </c>
      <c r="E38" s="551" t="s">
        <v>867</v>
      </c>
      <c r="F38" s="580"/>
      <c r="G38" s="580"/>
      <c r="H38" s="580"/>
      <c r="I38" s="580"/>
      <c r="J38" s="580"/>
      <c r="K38" s="552"/>
      <c r="L38" s="192">
        <v>1281</v>
      </c>
      <c r="M38" s="192">
        <f>7%*L38</f>
        <v>89.67</v>
      </c>
      <c r="N38" s="192">
        <f>L38-M38</f>
        <v>1191.33</v>
      </c>
      <c r="O38" s="193" t="s">
        <v>868</v>
      </c>
      <c r="P38" s="197">
        <v>10</v>
      </c>
      <c r="Q38" s="197">
        <v>11</v>
      </c>
      <c r="R38" s="198"/>
      <c r="S38" s="198"/>
      <c r="T38" s="198"/>
      <c r="U38" s="198"/>
      <c r="V38" s="198"/>
      <c r="W38" s="198"/>
      <c r="X38" s="198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</row>
    <row r="39" spans="1:61" s="11" customFormat="1" x14ac:dyDescent="0.3">
      <c r="A39" s="518" t="s">
        <v>4</v>
      </c>
      <c r="B39" s="518"/>
      <c r="C39" s="518"/>
      <c r="D39" s="518"/>
      <c r="E39" s="518"/>
      <c r="F39" s="518"/>
      <c r="G39" s="518"/>
      <c r="H39" s="518"/>
      <c r="I39" s="518"/>
      <c r="J39" s="518"/>
      <c r="K39" s="518"/>
      <c r="L39" s="109">
        <f>SUM(L38:L38)</f>
        <v>1281</v>
      </c>
      <c r="M39" s="109">
        <f>SUM(M38:M38)</f>
        <v>89.67</v>
      </c>
      <c r="N39" s="109">
        <f>SUM(N38:N38)</f>
        <v>1191.33</v>
      </c>
      <c r="O39" s="527"/>
      <c r="P39" s="527"/>
      <c r="Q39" s="527"/>
      <c r="R39" s="10"/>
      <c r="S39" s="10"/>
      <c r="T39" s="10"/>
      <c r="U39" s="10"/>
      <c r="V39" s="10"/>
      <c r="W39" s="10"/>
      <c r="X39" s="10"/>
      <c r="Y39" s="10"/>
      <c r="Z39" s="10"/>
    </row>
    <row r="40" spans="1:61" s="11" customFormat="1" x14ac:dyDescent="0.3">
      <c r="A40" s="518"/>
      <c r="B40" s="518"/>
      <c r="C40" s="518"/>
      <c r="D40" s="518"/>
      <c r="E40" s="518"/>
      <c r="F40" s="518"/>
      <c r="G40" s="518"/>
      <c r="H40" s="518"/>
      <c r="I40" s="518"/>
      <c r="J40" s="518"/>
      <c r="K40" s="518"/>
      <c r="L40" s="518"/>
      <c r="M40" s="518"/>
      <c r="N40" s="518"/>
      <c r="O40" s="518"/>
      <c r="P40" s="109"/>
      <c r="Q40" s="109"/>
      <c r="R40" s="10"/>
      <c r="S40" s="10"/>
      <c r="T40" s="10"/>
      <c r="U40" s="10"/>
      <c r="V40" s="10"/>
      <c r="W40" s="10"/>
      <c r="X40" s="10"/>
      <c r="Y40" s="10"/>
      <c r="Z40" s="10"/>
    </row>
    <row r="41" spans="1:61" s="11" customFormat="1" ht="28.5" customHeight="1" x14ac:dyDescent="0.3">
      <c r="A41" s="521" t="s">
        <v>177</v>
      </c>
      <c r="B41" s="521"/>
      <c r="C41" s="521"/>
      <c r="D41" s="521"/>
      <c r="E41" s="521"/>
      <c r="F41" s="521"/>
      <c r="G41" s="521"/>
      <c r="H41" s="521"/>
      <c r="I41" s="521"/>
      <c r="J41" s="521"/>
      <c r="K41" s="521"/>
      <c r="L41" s="521"/>
      <c r="M41" s="521"/>
      <c r="N41" s="521"/>
      <c r="O41" s="521"/>
      <c r="P41" s="521"/>
      <c r="Q41" s="521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61" s="11" customFormat="1" ht="25.5" customHeight="1" x14ac:dyDescent="0.3">
      <c r="A42" s="126" t="s">
        <v>173</v>
      </c>
      <c r="B42" s="126" t="s">
        <v>0</v>
      </c>
      <c r="C42" s="126"/>
      <c r="D42" s="126" t="s">
        <v>174</v>
      </c>
      <c r="E42" s="521" t="s">
        <v>175</v>
      </c>
      <c r="F42" s="521"/>
      <c r="G42" s="521"/>
      <c r="H42" s="521"/>
      <c r="I42" s="521"/>
      <c r="J42" s="521"/>
      <c r="K42" s="521"/>
      <c r="L42" s="129" t="s">
        <v>4</v>
      </c>
      <c r="M42" s="128"/>
      <c r="N42" s="128"/>
      <c r="O42" s="127" t="s">
        <v>59</v>
      </c>
      <c r="P42" s="130" t="s">
        <v>8</v>
      </c>
      <c r="Q42" s="130" t="s">
        <v>10</v>
      </c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61" s="69" customFormat="1" ht="15" customHeight="1" x14ac:dyDescent="0.3">
      <c r="A43" s="4" t="s">
        <v>132</v>
      </c>
      <c r="B43" s="4">
        <v>1</v>
      </c>
      <c r="C43" s="4"/>
      <c r="D43" s="5">
        <f>4977.59-1520</f>
        <v>3457.59</v>
      </c>
      <c r="E43" s="546" t="s">
        <v>284</v>
      </c>
      <c r="F43" s="547"/>
      <c r="G43" s="547"/>
      <c r="H43" s="547"/>
      <c r="I43" s="547"/>
      <c r="J43" s="547"/>
      <c r="K43" s="548"/>
      <c r="L43" s="5">
        <f>4977.59-1520</f>
        <v>3457.59</v>
      </c>
      <c r="M43" s="5"/>
      <c r="N43" s="5"/>
      <c r="O43" s="5" t="s">
        <v>510</v>
      </c>
      <c r="P43" s="140">
        <v>10</v>
      </c>
      <c r="Q43" s="4">
        <v>11</v>
      </c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</row>
    <row r="44" spans="1:61" s="11" customFormat="1" x14ac:dyDescent="0.3">
      <c r="A44" s="90" t="s">
        <v>87</v>
      </c>
      <c r="B44" s="90">
        <v>25</v>
      </c>
      <c r="C44" s="90"/>
      <c r="D44" s="5">
        <v>3013.33</v>
      </c>
      <c r="E44" s="546" t="s">
        <v>543</v>
      </c>
      <c r="F44" s="547"/>
      <c r="G44" s="547"/>
      <c r="H44" s="547"/>
      <c r="I44" s="547"/>
      <c r="J44" s="547"/>
      <c r="K44" s="548"/>
      <c r="L44" s="5">
        <v>3040.58</v>
      </c>
      <c r="M44" s="2"/>
      <c r="N44" s="2"/>
      <c r="O44" s="5" t="s">
        <v>545</v>
      </c>
      <c r="P44" s="98">
        <v>10</v>
      </c>
      <c r="Q44" s="3">
        <v>11</v>
      </c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</row>
    <row r="45" spans="1:61" s="40" customFormat="1" ht="15" customHeight="1" thickBot="1" x14ac:dyDescent="0.35">
      <c r="A45" s="534" t="s">
        <v>4</v>
      </c>
      <c r="B45" s="549"/>
      <c r="C45" s="549"/>
      <c r="D45" s="549"/>
      <c r="E45" s="549"/>
      <c r="F45" s="549"/>
      <c r="G45" s="549"/>
      <c r="H45" s="549"/>
      <c r="I45" s="549"/>
      <c r="J45" s="549"/>
      <c r="K45" s="535"/>
      <c r="L45" s="114">
        <f>SUM(L43:L44)</f>
        <v>6498.17</v>
      </c>
      <c r="M45" s="90"/>
      <c r="N45" s="90"/>
      <c r="O45" s="90"/>
      <c r="P45" s="90"/>
      <c r="Q45" s="9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1"/>
      <c r="AV45" s="11"/>
      <c r="AW45" s="11"/>
      <c r="AX45" s="11"/>
    </row>
    <row r="46" spans="1:61" s="19" customFormat="1" x14ac:dyDescent="0.3">
      <c r="A46" s="179"/>
      <c r="B46" s="180"/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1"/>
      <c r="Q46" s="182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</row>
    <row r="47" spans="1:61" s="40" customFormat="1" x14ac:dyDescent="0.3">
      <c r="A47" s="575" t="s">
        <v>9</v>
      </c>
      <c r="B47" s="576"/>
      <c r="C47" s="576"/>
      <c r="D47" s="576"/>
      <c r="E47" s="577"/>
      <c r="F47" s="574"/>
      <c r="G47" s="540"/>
      <c r="H47" s="540"/>
      <c r="I47" s="46"/>
      <c r="J47" s="46"/>
      <c r="K47" s="46"/>
      <c r="L47" s="46"/>
      <c r="M47" s="46"/>
      <c r="N47" s="46"/>
      <c r="O47" s="544" t="s">
        <v>315</v>
      </c>
      <c r="P47" s="544"/>
      <c r="Q47" s="545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1"/>
      <c r="AV47" s="11"/>
      <c r="AW47" s="11"/>
      <c r="AX47" s="11"/>
    </row>
    <row r="48" spans="1:61" s="40" customFormat="1" x14ac:dyDescent="0.3">
      <c r="A48" s="76" t="s">
        <v>40</v>
      </c>
      <c r="B48" s="77">
        <f>'GERAL 2022'!J35</f>
        <v>118.18</v>
      </c>
      <c r="C48" s="77"/>
      <c r="D48" s="78">
        <v>6</v>
      </c>
      <c r="E48" s="77">
        <f t="shared" ref="E48:E101" si="9">B48/D48</f>
        <v>19.696666666666669</v>
      </c>
      <c r="F48" s="574"/>
      <c r="G48" s="540"/>
      <c r="H48" s="540"/>
      <c r="I48" s="11"/>
      <c r="J48" s="11"/>
      <c r="K48" s="11"/>
      <c r="L48" s="87"/>
      <c r="M48" s="87"/>
      <c r="N48" s="87"/>
      <c r="O48" s="527" t="s">
        <v>94</v>
      </c>
      <c r="P48" s="527"/>
      <c r="Q48" s="114">
        <f>M35+M39</f>
        <v>1163.7206454815832</v>
      </c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1"/>
      <c r="AV48" s="11"/>
      <c r="AW48" s="11"/>
      <c r="AX48" s="11"/>
    </row>
    <row r="49" spans="1:50" s="40" customFormat="1" x14ac:dyDescent="0.3">
      <c r="A49" s="12" t="s">
        <v>46</v>
      </c>
      <c r="B49" s="2">
        <f>'GERAL 2023'!H3</f>
        <v>15.019858156028368</v>
      </c>
      <c r="C49" s="2"/>
      <c r="D49" s="88">
        <v>12</v>
      </c>
      <c r="E49" s="2">
        <f t="shared" si="9"/>
        <v>1.2516548463356973</v>
      </c>
      <c r="F49" s="574"/>
      <c r="G49" s="540"/>
      <c r="H49" s="540"/>
      <c r="I49" s="11"/>
      <c r="J49" s="11"/>
      <c r="K49" s="11"/>
      <c r="L49" s="14"/>
      <c r="M49" s="14"/>
      <c r="N49" s="14"/>
      <c r="O49" s="518" t="s">
        <v>260</v>
      </c>
      <c r="P49" s="518"/>
      <c r="Q49" s="114">
        <f>M5</f>
        <v>384</v>
      </c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1"/>
      <c r="AV49" s="11"/>
      <c r="AW49" s="11"/>
      <c r="AX49" s="11"/>
    </row>
    <row r="50" spans="1:50" s="40" customFormat="1" x14ac:dyDescent="0.3">
      <c r="A50" s="79" t="s">
        <v>29</v>
      </c>
      <c r="B50" s="80">
        <f>'GERAL 2022'!J4</f>
        <v>118.18</v>
      </c>
      <c r="C50" s="77"/>
      <c r="D50" s="78">
        <v>6</v>
      </c>
      <c r="E50" s="80">
        <f t="shared" si="9"/>
        <v>19.696666666666669</v>
      </c>
      <c r="F50" s="574"/>
      <c r="G50" s="540"/>
      <c r="H50" s="540"/>
      <c r="I50" s="11"/>
      <c r="J50" s="11"/>
      <c r="K50" s="11"/>
      <c r="L50" s="14"/>
      <c r="M50" s="14"/>
      <c r="N50" s="14"/>
      <c r="O50" s="520"/>
      <c r="P50" s="520"/>
      <c r="Q50" s="52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1"/>
      <c r="AV50" s="11"/>
      <c r="AW50" s="11"/>
      <c r="AX50" s="11"/>
    </row>
    <row r="51" spans="1:50" s="40" customFormat="1" x14ac:dyDescent="0.3">
      <c r="A51" s="12" t="s">
        <v>30</v>
      </c>
      <c r="B51" s="2">
        <f>'GERAL 2023'!H4</f>
        <v>15.019858156028368</v>
      </c>
      <c r="C51" s="2"/>
      <c r="D51" s="88">
        <v>12</v>
      </c>
      <c r="E51" s="2">
        <f t="shared" si="9"/>
        <v>1.2516548463356973</v>
      </c>
      <c r="F51" s="574"/>
      <c r="G51" s="540"/>
      <c r="H51" s="540"/>
      <c r="I51" s="11"/>
      <c r="J51" s="11"/>
      <c r="K51" s="11"/>
      <c r="L51" s="62"/>
      <c r="M51" s="62"/>
      <c r="N51" s="62"/>
      <c r="O51" s="520"/>
      <c r="P51" s="520"/>
      <c r="Q51" s="52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1"/>
      <c r="AV51" s="11"/>
      <c r="AW51" s="11"/>
      <c r="AX51" s="11"/>
    </row>
    <row r="52" spans="1:50" s="40" customFormat="1" ht="14.4" x14ac:dyDescent="0.3">
      <c r="A52" s="79" t="s">
        <v>65</v>
      </c>
      <c r="B52" s="80">
        <f>'GERAL 2022'!J5</f>
        <v>117.85</v>
      </c>
      <c r="C52" s="77"/>
      <c r="D52" s="78">
        <v>6</v>
      </c>
      <c r="E52" s="80">
        <f t="shared" si="9"/>
        <v>19.641666666666666</v>
      </c>
      <c r="F52" s="574"/>
      <c r="G52" s="540"/>
      <c r="H52" s="540"/>
      <c r="I52" s="11"/>
      <c r="J52" s="11"/>
      <c r="K52" s="11"/>
      <c r="L52" s="14"/>
      <c r="M52" s="14"/>
      <c r="N52" s="14"/>
      <c r="O52" s="529" t="s">
        <v>12</v>
      </c>
      <c r="P52" s="529"/>
      <c r="Q52" s="529"/>
      <c r="R52" s="175"/>
      <c r="S52" s="178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1"/>
      <c r="AV52" s="11"/>
      <c r="AW52" s="11"/>
      <c r="AX52" s="11"/>
    </row>
    <row r="53" spans="1:50" s="11" customFormat="1" ht="15" customHeight="1" x14ac:dyDescent="0.3">
      <c r="A53" s="12" t="s">
        <v>62</v>
      </c>
      <c r="B53" s="2">
        <f>'GERAL 2023'!H5</f>
        <v>15.019858156028368</v>
      </c>
      <c r="C53" s="2"/>
      <c r="D53" s="88">
        <v>12</v>
      </c>
      <c r="E53" s="2">
        <f t="shared" si="9"/>
        <v>1.2516548463356973</v>
      </c>
      <c r="F53" s="574"/>
      <c r="G53" s="540"/>
      <c r="H53" s="540"/>
      <c r="L53" s="63"/>
      <c r="M53" s="63"/>
      <c r="N53" s="63"/>
      <c r="O53" s="514" t="s">
        <v>609</v>
      </c>
      <c r="P53" s="514"/>
      <c r="Q53" s="192">
        <v>19.7</v>
      </c>
      <c r="R53" s="190"/>
      <c r="S53" s="178"/>
    </row>
    <row r="54" spans="1:50" s="11" customFormat="1" ht="14.4" x14ac:dyDescent="0.3">
      <c r="A54" s="79" t="s">
        <v>60</v>
      </c>
      <c r="B54" s="80">
        <f>'GERAL 2022'!J6</f>
        <v>117.85</v>
      </c>
      <c r="C54" s="77"/>
      <c r="D54" s="78">
        <v>6</v>
      </c>
      <c r="E54" s="80">
        <f t="shared" si="9"/>
        <v>19.641666666666666</v>
      </c>
      <c r="F54" s="574"/>
      <c r="G54" s="540"/>
      <c r="H54" s="540"/>
      <c r="L54" s="14"/>
      <c r="M54" s="14"/>
      <c r="N54" s="14"/>
      <c r="O54" s="514" t="s">
        <v>610</v>
      </c>
      <c r="P54" s="514"/>
      <c r="Q54" s="192">
        <v>19.64</v>
      </c>
      <c r="R54" s="175"/>
      <c r="S54" s="178"/>
    </row>
    <row r="55" spans="1:50" s="11" customFormat="1" ht="15" customHeight="1" x14ac:dyDescent="0.3">
      <c r="A55" s="12" t="s">
        <v>61</v>
      </c>
      <c r="B55" s="2">
        <f>'GERAL 2023'!H6</f>
        <v>15.019858156028368</v>
      </c>
      <c r="C55" s="2"/>
      <c r="D55" s="88">
        <v>12</v>
      </c>
      <c r="E55" s="2">
        <f t="shared" si="9"/>
        <v>1.2516548463356973</v>
      </c>
      <c r="F55" s="574"/>
      <c r="G55" s="540"/>
      <c r="H55" s="540"/>
      <c r="L55" s="63"/>
      <c r="M55" s="63"/>
      <c r="N55" s="63"/>
      <c r="O55" s="514" t="s">
        <v>324</v>
      </c>
      <c r="P55" s="514"/>
      <c r="Q55" s="192">
        <v>19.760000000000002</v>
      </c>
      <c r="R55" s="190"/>
      <c r="S55" s="178"/>
    </row>
    <row r="56" spans="1:50" s="11" customFormat="1" ht="14.4" x14ac:dyDescent="0.3">
      <c r="A56" s="79" t="s">
        <v>31</v>
      </c>
      <c r="B56" s="80">
        <f>'GERAL 2023'!J7</f>
        <v>118.18</v>
      </c>
      <c r="C56" s="77"/>
      <c r="D56" s="78">
        <v>6</v>
      </c>
      <c r="E56" s="80">
        <f>B56/D56</f>
        <v>19.696666666666669</v>
      </c>
      <c r="F56" s="574"/>
      <c r="G56" s="540"/>
      <c r="H56" s="540"/>
      <c r="L56" s="14"/>
      <c r="M56" s="14"/>
      <c r="N56" s="14"/>
      <c r="O56" s="514" t="s">
        <v>611</v>
      </c>
      <c r="P56" s="514"/>
      <c r="Q56" s="192">
        <v>19.75</v>
      </c>
      <c r="R56" s="222"/>
      <c r="S56" s="178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</row>
    <row r="57" spans="1:50" s="11" customFormat="1" ht="14.4" x14ac:dyDescent="0.3">
      <c r="A57" s="12" t="s">
        <v>32</v>
      </c>
      <c r="B57" s="2">
        <f>'GERAL 2023'!H7</f>
        <v>15.019858156028368</v>
      </c>
      <c r="C57" s="2"/>
      <c r="D57" s="88">
        <v>12</v>
      </c>
      <c r="E57" s="2">
        <f t="shared" si="9"/>
        <v>1.2516548463356973</v>
      </c>
      <c r="F57" s="574"/>
      <c r="G57" s="540"/>
      <c r="H57" s="540"/>
      <c r="L57" s="63"/>
      <c r="M57" s="63"/>
      <c r="N57" s="63"/>
      <c r="O57" s="514" t="s">
        <v>410</v>
      </c>
      <c r="P57" s="514"/>
      <c r="Q57" s="192">
        <v>19.7</v>
      </c>
      <c r="R57" s="175"/>
      <c r="S57" s="178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</row>
    <row r="58" spans="1:50" s="11" customFormat="1" ht="14.4" x14ac:dyDescent="0.3">
      <c r="A58" s="79" t="s">
        <v>57</v>
      </c>
      <c r="B58" s="80">
        <f>'GERAL 2022'!J36</f>
        <v>119.36</v>
      </c>
      <c r="C58" s="77"/>
      <c r="D58" s="78">
        <v>6</v>
      </c>
      <c r="E58" s="80">
        <f t="shared" si="9"/>
        <v>19.893333333333334</v>
      </c>
      <c r="F58" s="574"/>
      <c r="G58" s="540"/>
      <c r="H58" s="540"/>
      <c r="L58" s="14"/>
      <c r="M58" s="14"/>
      <c r="N58" s="14"/>
      <c r="O58" s="514" t="s">
        <v>261</v>
      </c>
      <c r="P58" s="514"/>
      <c r="Q58" s="192">
        <v>19.809999999999999</v>
      </c>
      <c r="R58" s="175"/>
      <c r="S58" s="185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</row>
    <row r="59" spans="1:50" s="11" customFormat="1" ht="14.4" x14ac:dyDescent="0.3">
      <c r="A59" s="12" t="s">
        <v>58</v>
      </c>
      <c r="B59" s="2">
        <f>'GERAL 2023'!H8</f>
        <v>21.027801418439715</v>
      </c>
      <c r="C59" s="2"/>
      <c r="D59" s="88">
        <v>12</v>
      </c>
      <c r="E59" s="2">
        <f t="shared" si="9"/>
        <v>1.7523167848699763</v>
      </c>
      <c r="F59" s="574"/>
      <c r="G59" s="540"/>
      <c r="H59" s="540"/>
      <c r="L59" s="14"/>
      <c r="M59" s="14"/>
      <c r="N59" s="14"/>
      <c r="O59" s="514" t="s">
        <v>368</v>
      </c>
      <c r="P59" s="514"/>
      <c r="Q59" s="192">
        <v>19.7</v>
      </c>
      <c r="R59" s="175"/>
      <c r="S59" s="185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</row>
    <row r="60" spans="1:50" s="11" customFormat="1" ht="14.4" x14ac:dyDescent="0.3">
      <c r="A60" s="79" t="s">
        <v>63</v>
      </c>
      <c r="B60" s="80">
        <f>'GERAL 2022'!J9</f>
        <v>118.18</v>
      </c>
      <c r="C60" s="77"/>
      <c r="D60" s="78">
        <v>6</v>
      </c>
      <c r="E60" s="80">
        <f t="shared" si="9"/>
        <v>19.696666666666669</v>
      </c>
      <c r="F60" s="574"/>
      <c r="G60" s="540"/>
      <c r="H60" s="540"/>
      <c r="L60" s="63"/>
      <c r="M60" s="63"/>
      <c r="N60" s="63"/>
      <c r="O60" s="514" t="s">
        <v>111</v>
      </c>
      <c r="P60" s="514"/>
      <c r="Q60" s="192">
        <v>19.82</v>
      </c>
      <c r="R60" s="175"/>
      <c r="S60" s="178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</row>
    <row r="61" spans="1:50" s="11" customFormat="1" ht="14.4" x14ac:dyDescent="0.3">
      <c r="A61" s="12" t="s">
        <v>64</v>
      </c>
      <c r="B61" s="2">
        <f>'GERAL 2023'!H9</f>
        <v>15.019858156028368</v>
      </c>
      <c r="C61" s="2"/>
      <c r="D61" s="88">
        <v>12</v>
      </c>
      <c r="E61" s="2">
        <f t="shared" si="9"/>
        <v>1.2516548463356973</v>
      </c>
      <c r="F61" s="574"/>
      <c r="G61" s="540"/>
      <c r="H61" s="540"/>
      <c r="L61" s="14"/>
      <c r="M61" s="14"/>
      <c r="N61" s="14"/>
      <c r="O61" s="514" t="s">
        <v>573</v>
      </c>
      <c r="P61" s="514"/>
      <c r="Q61" s="192">
        <v>19.7</v>
      </c>
      <c r="R61" s="175"/>
      <c r="S61" s="178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</row>
    <row r="62" spans="1:50" s="11" customFormat="1" ht="15" customHeight="1" x14ac:dyDescent="0.3">
      <c r="A62" s="79" t="s">
        <v>33</v>
      </c>
      <c r="B62" s="80">
        <f>'GERAL 2022'!J37</f>
        <v>118.18</v>
      </c>
      <c r="C62" s="77"/>
      <c r="D62" s="78">
        <v>6</v>
      </c>
      <c r="E62" s="80">
        <f t="shared" si="9"/>
        <v>19.696666666666669</v>
      </c>
      <c r="F62" s="574"/>
      <c r="G62" s="540"/>
      <c r="H62" s="540"/>
      <c r="L62" s="63"/>
      <c r="M62" s="63"/>
      <c r="N62" s="63"/>
      <c r="O62" s="514" t="s">
        <v>329</v>
      </c>
      <c r="P62" s="514"/>
      <c r="Q62" s="192">
        <v>19.89</v>
      </c>
      <c r="S62" s="14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</row>
    <row r="63" spans="1:50" s="11" customFormat="1" ht="14.4" x14ac:dyDescent="0.3">
      <c r="A63" s="12" t="s">
        <v>34</v>
      </c>
      <c r="B63" s="2">
        <f>'GERAL 2023'!H10</f>
        <v>15.019858156028368</v>
      </c>
      <c r="C63" s="2"/>
      <c r="D63" s="88">
        <v>12</v>
      </c>
      <c r="E63" s="2">
        <f t="shared" si="9"/>
        <v>1.2516548463356973</v>
      </c>
      <c r="F63" s="574"/>
      <c r="G63" s="540"/>
      <c r="H63" s="540"/>
      <c r="L63" s="14"/>
      <c r="M63" s="14"/>
      <c r="N63" s="14"/>
      <c r="O63" s="514" t="s">
        <v>152</v>
      </c>
      <c r="P63" s="514"/>
      <c r="Q63" s="192">
        <v>19.760000000000002</v>
      </c>
      <c r="R63" s="190"/>
      <c r="S63" s="178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</row>
    <row r="64" spans="1:50" s="11" customFormat="1" ht="14.4" x14ac:dyDescent="0.3">
      <c r="A64" s="79" t="s">
        <v>41</v>
      </c>
      <c r="B64" s="80">
        <f>'GERAL 2022'!J11</f>
        <v>118.18</v>
      </c>
      <c r="C64" s="77"/>
      <c r="D64" s="78">
        <v>6</v>
      </c>
      <c r="E64" s="80">
        <f t="shared" si="9"/>
        <v>19.696666666666669</v>
      </c>
      <c r="F64" s="574"/>
      <c r="G64" s="540"/>
      <c r="H64" s="540"/>
      <c r="L64" s="63"/>
      <c r="M64" s="63"/>
      <c r="N64" s="63"/>
      <c r="O64" s="514" t="s">
        <v>126</v>
      </c>
      <c r="P64" s="514"/>
      <c r="Q64" s="192">
        <v>102.82</v>
      </c>
      <c r="R64" s="175"/>
      <c r="S64" s="178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</row>
    <row r="65" spans="1:49" s="11" customFormat="1" ht="14.4" x14ac:dyDescent="0.3">
      <c r="A65" s="12" t="s">
        <v>42</v>
      </c>
      <c r="B65" s="2">
        <f>'GERAL 2023'!H11</f>
        <v>15.019858156028368</v>
      </c>
      <c r="C65" s="2"/>
      <c r="D65" s="88">
        <v>12</v>
      </c>
      <c r="E65" s="2">
        <f t="shared" si="9"/>
        <v>1.2516548463356973</v>
      </c>
      <c r="F65" s="574"/>
      <c r="G65" s="540"/>
      <c r="H65" s="540"/>
      <c r="O65" s="583" t="s">
        <v>127</v>
      </c>
      <c r="P65" s="583"/>
      <c r="Q65" s="192">
        <v>1541.7</v>
      </c>
      <c r="R65" s="175"/>
      <c r="S65" s="178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</row>
    <row r="66" spans="1:49" s="11" customFormat="1" ht="14.4" x14ac:dyDescent="0.3">
      <c r="A66" s="79" t="s">
        <v>66</v>
      </c>
      <c r="B66" s="80">
        <f>'GERAL 2022'!J38</f>
        <v>117.85</v>
      </c>
      <c r="C66" s="77"/>
      <c r="D66" s="78">
        <v>6</v>
      </c>
      <c r="E66" s="80">
        <f t="shared" si="9"/>
        <v>19.641666666666666</v>
      </c>
      <c r="F66" s="574"/>
      <c r="G66" s="540"/>
      <c r="H66" s="540"/>
      <c r="L66" s="63"/>
      <c r="M66" s="63"/>
      <c r="N66" s="63"/>
      <c r="O66" s="514" t="s">
        <v>793</v>
      </c>
      <c r="P66" s="514"/>
      <c r="Q66" s="196">
        <v>25.08</v>
      </c>
      <c r="R66" s="175"/>
      <c r="S66" s="178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</row>
    <row r="67" spans="1:49" s="11" customFormat="1" ht="14.4" x14ac:dyDescent="0.3">
      <c r="A67" s="12" t="s">
        <v>67</v>
      </c>
      <c r="B67" s="2">
        <f>'GERAL 2023'!H12</f>
        <v>15.019858156028368</v>
      </c>
      <c r="C67" s="2"/>
      <c r="D67" s="88">
        <v>12</v>
      </c>
      <c r="E67" s="2">
        <f t="shared" si="9"/>
        <v>1.2516548463356973</v>
      </c>
      <c r="F67" s="574"/>
      <c r="G67" s="540"/>
      <c r="H67" s="540"/>
      <c r="L67" s="14"/>
      <c r="M67" s="14"/>
      <c r="N67" s="14"/>
      <c r="O67" s="581"/>
      <c r="P67" s="582"/>
      <c r="Q67" s="212"/>
      <c r="R67" s="175"/>
      <c r="S67" s="185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</row>
    <row r="68" spans="1:49" s="11" customFormat="1" ht="14.4" x14ac:dyDescent="0.3">
      <c r="A68" s="79" t="s">
        <v>14</v>
      </c>
      <c r="B68" s="80">
        <f>'GERAL 2022'!J13</f>
        <v>117.85</v>
      </c>
      <c r="C68" s="77"/>
      <c r="D68" s="78">
        <v>6</v>
      </c>
      <c r="E68" s="80">
        <f t="shared" si="9"/>
        <v>19.641666666666666</v>
      </c>
      <c r="F68" s="574"/>
      <c r="G68" s="540"/>
      <c r="H68" s="540"/>
      <c r="L68" s="63"/>
      <c r="M68" s="63"/>
      <c r="N68" s="63"/>
      <c r="O68" s="520"/>
      <c r="P68" s="520"/>
      <c r="Q68" s="5"/>
      <c r="R68" s="175"/>
      <c r="S68" s="176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</row>
    <row r="69" spans="1:49" s="11" customFormat="1" ht="14.4" x14ac:dyDescent="0.3">
      <c r="A69" s="12" t="s">
        <v>15</v>
      </c>
      <c r="B69" s="2">
        <f>'GERAL 2023'!H13</f>
        <v>15.019858156028368</v>
      </c>
      <c r="C69" s="2"/>
      <c r="D69" s="88">
        <v>12</v>
      </c>
      <c r="E69" s="2">
        <f t="shared" si="9"/>
        <v>1.2516548463356973</v>
      </c>
      <c r="F69" s="574"/>
      <c r="G69" s="540"/>
      <c r="H69" s="540"/>
      <c r="L69" s="14"/>
      <c r="M69" s="14"/>
      <c r="N69" s="14"/>
      <c r="O69" s="563"/>
      <c r="P69" s="563"/>
      <c r="Q69" s="141"/>
      <c r="R69" s="175"/>
      <c r="S69" s="176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</row>
    <row r="70" spans="1:49" s="11" customFormat="1" ht="14.4" x14ac:dyDescent="0.3">
      <c r="A70" s="79" t="s">
        <v>55</v>
      </c>
      <c r="B70" s="80">
        <f>'GERAL 2022'!J14</f>
        <v>117.85</v>
      </c>
      <c r="C70" s="77"/>
      <c r="D70" s="78">
        <v>6</v>
      </c>
      <c r="E70" s="80">
        <f t="shared" si="9"/>
        <v>19.641666666666666</v>
      </c>
      <c r="F70" s="574"/>
      <c r="G70" s="540"/>
      <c r="H70" s="540"/>
      <c r="L70" s="87"/>
      <c r="M70" s="87"/>
      <c r="N70" s="87"/>
      <c r="O70" s="520"/>
      <c r="P70" s="520"/>
      <c r="Q70" s="165"/>
      <c r="R70" s="175"/>
      <c r="S70" s="176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</row>
    <row r="71" spans="1:49" s="11" customFormat="1" ht="14.4" x14ac:dyDescent="0.3">
      <c r="A71" s="12" t="s">
        <v>56</v>
      </c>
      <c r="B71" s="2">
        <f>'GERAL 2023'!H14</f>
        <v>15.019858156028368</v>
      </c>
      <c r="C71" s="2"/>
      <c r="D71" s="88">
        <v>12</v>
      </c>
      <c r="E71" s="2">
        <f t="shared" si="9"/>
        <v>1.2516548463356973</v>
      </c>
      <c r="F71" s="574"/>
      <c r="G71" s="540"/>
      <c r="H71" s="540"/>
      <c r="O71" s="518" t="s">
        <v>26</v>
      </c>
      <c r="P71" s="518"/>
      <c r="Q71" s="109">
        <f>SUM(Q48:Q70)</f>
        <v>3434.5506454815832</v>
      </c>
      <c r="R71" s="175"/>
      <c r="S71" s="176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</row>
    <row r="72" spans="1:49" s="11" customFormat="1" ht="14.4" x14ac:dyDescent="0.3">
      <c r="A72" s="79" t="s">
        <v>35</v>
      </c>
      <c r="B72" s="80">
        <f>'GERAL 2022'!J15</f>
        <v>117.85</v>
      </c>
      <c r="C72" s="77"/>
      <c r="D72" s="78">
        <v>6</v>
      </c>
      <c r="E72" s="80">
        <f t="shared" si="9"/>
        <v>19.641666666666666</v>
      </c>
      <c r="F72" s="574"/>
      <c r="G72" s="540"/>
      <c r="H72" s="540"/>
      <c r="O72" s="543"/>
      <c r="P72" s="543"/>
      <c r="Q72" s="135"/>
      <c r="R72" s="175"/>
      <c r="S72" s="176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</row>
    <row r="73" spans="1:49" s="11" customFormat="1" ht="14.4" x14ac:dyDescent="0.3">
      <c r="A73" s="12" t="s">
        <v>36</v>
      </c>
      <c r="B73" s="2">
        <f>'GERAL 2023'!H15</f>
        <v>15.019858156028368</v>
      </c>
      <c r="C73" s="2"/>
      <c r="D73" s="88">
        <v>12</v>
      </c>
      <c r="E73" s="2">
        <f t="shared" si="9"/>
        <v>1.2516548463356973</v>
      </c>
      <c r="F73" s="574"/>
      <c r="G73" s="540"/>
      <c r="H73" s="540"/>
      <c r="O73" s="564" t="s">
        <v>11</v>
      </c>
      <c r="P73" s="565"/>
      <c r="Q73" s="153">
        <f>L5+L35+L39</f>
        <v>17343.936749027682</v>
      </c>
      <c r="R73" s="175"/>
      <c r="S73" s="178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</row>
    <row r="74" spans="1:49" s="11" customFormat="1" ht="14.4" x14ac:dyDescent="0.3">
      <c r="A74" s="79" t="s">
        <v>47</v>
      </c>
      <c r="B74" s="80">
        <f>'GERAL 2022'!J39</f>
        <v>118.18</v>
      </c>
      <c r="C74" s="77"/>
      <c r="D74" s="78">
        <v>6</v>
      </c>
      <c r="E74" s="80">
        <f t="shared" si="9"/>
        <v>19.696666666666669</v>
      </c>
      <c r="F74" s="574"/>
      <c r="G74" s="540"/>
      <c r="H74" s="540"/>
      <c r="L74" s="14"/>
      <c r="M74" s="14"/>
      <c r="N74" s="14"/>
      <c r="O74" s="518"/>
      <c r="P74" s="518"/>
      <c r="Q74" s="519"/>
      <c r="R74" s="175"/>
      <c r="S74" s="178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</row>
    <row r="75" spans="1:49" s="11" customFormat="1" ht="14.4" x14ac:dyDescent="0.3">
      <c r="A75" s="12" t="s">
        <v>48</v>
      </c>
      <c r="B75" s="2">
        <f>'GERAL 2023'!H16</f>
        <v>15.019858156028368</v>
      </c>
      <c r="C75" s="2"/>
      <c r="D75" s="88">
        <v>12</v>
      </c>
      <c r="E75" s="2">
        <f t="shared" si="9"/>
        <v>1.2516548463356973</v>
      </c>
      <c r="F75" s="574"/>
      <c r="G75" s="540"/>
      <c r="H75" s="540"/>
      <c r="L75" s="15"/>
      <c r="M75" s="15"/>
      <c r="N75" s="15"/>
      <c r="O75" s="513" t="s">
        <v>13</v>
      </c>
      <c r="P75" s="513"/>
      <c r="Q75" s="151">
        <f>Q73-Q71</f>
        <v>13909.386103546098</v>
      </c>
      <c r="R75" s="175"/>
      <c r="S75" s="178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</row>
    <row r="76" spans="1:49" s="11" customFormat="1" ht="14.4" x14ac:dyDescent="0.3">
      <c r="A76" s="79" t="s">
        <v>16</v>
      </c>
      <c r="B76" s="80">
        <f>'GERAL 2023'!J36</f>
        <v>119.02</v>
      </c>
      <c r="C76" s="77"/>
      <c r="D76" s="78">
        <v>6</v>
      </c>
      <c r="E76" s="80">
        <f t="shared" si="9"/>
        <v>19.836666666666666</v>
      </c>
      <c r="F76" s="574"/>
      <c r="G76" s="540"/>
      <c r="H76" s="540"/>
      <c r="L76" s="14"/>
      <c r="M76" s="14"/>
      <c r="N76" s="14"/>
      <c r="O76" s="124"/>
      <c r="P76" s="124"/>
      <c r="Q76" s="57"/>
      <c r="R76" s="175"/>
      <c r="S76" s="178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</row>
    <row r="77" spans="1:49" s="11" customFormat="1" ht="14.4" x14ac:dyDescent="0.3">
      <c r="A77" s="12" t="s">
        <v>17</v>
      </c>
      <c r="B77" s="2">
        <f>'GERAL 2023'!H36</f>
        <v>21.027801418439715</v>
      </c>
      <c r="C77" s="2"/>
      <c r="D77" s="88">
        <v>12</v>
      </c>
      <c r="E77" s="2">
        <f t="shared" si="9"/>
        <v>1.7523167848699763</v>
      </c>
      <c r="F77" s="574"/>
      <c r="G77" s="540"/>
      <c r="H77" s="540"/>
      <c r="L77" s="14"/>
      <c r="M77" s="14"/>
      <c r="N77" s="14"/>
      <c r="O77" s="124"/>
      <c r="P77" s="124"/>
      <c r="Q77" s="57"/>
      <c r="R77" s="175"/>
      <c r="S77" s="178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</row>
    <row r="78" spans="1:49" s="11" customFormat="1" ht="14.4" x14ac:dyDescent="0.3">
      <c r="A78" s="79" t="s">
        <v>27</v>
      </c>
      <c r="B78" s="80">
        <f>'GERAL 2023'!J37</f>
        <v>118.68</v>
      </c>
      <c r="C78" s="77"/>
      <c r="D78" s="78">
        <v>6</v>
      </c>
      <c r="E78" s="80">
        <f t="shared" si="9"/>
        <v>19.78</v>
      </c>
      <c r="F78" s="574"/>
      <c r="G78" s="540"/>
      <c r="H78" s="540"/>
      <c r="L78" s="14"/>
      <c r="M78" s="14"/>
      <c r="N78" s="14"/>
      <c r="O78" s="124"/>
      <c r="P78" s="124"/>
      <c r="Q78" s="57"/>
      <c r="R78" s="175"/>
      <c r="S78" s="178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</row>
    <row r="79" spans="1:49" s="11" customFormat="1" x14ac:dyDescent="0.3">
      <c r="A79" s="12" t="s">
        <v>28</v>
      </c>
      <c r="B79" s="2">
        <f>'GERAL 2023'!H37</f>
        <v>15.019858156028368</v>
      </c>
      <c r="C79" s="2"/>
      <c r="D79" s="88">
        <v>12</v>
      </c>
      <c r="E79" s="2">
        <f t="shared" si="9"/>
        <v>1.2516548463356973</v>
      </c>
      <c r="F79" s="574"/>
      <c r="G79" s="540"/>
      <c r="H79" s="540"/>
      <c r="L79" s="14"/>
      <c r="M79" s="14"/>
      <c r="N79" s="14"/>
      <c r="O79" s="124"/>
      <c r="P79" s="124"/>
      <c r="Q79" s="57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</row>
    <row r="80" spans="1:49" s="69" customFormat="1" x14ac:dyDescent="0.3">
      <c r="A80" s="79" t="s">
        <v>18</v>
      </c>
      <c r="B80" s="80">
        <f>'GERAL 2022'!J41</f>
        <v>118.18</v>
      </c>
      <c r="C80" s="77"/>
      <c r="D80" s="78">
        <v>6</v>
      </c>
      <c r="E80" s="80">
        <f t="shared" si="9"/>
        <v>19.696666666666669</v>
      </c>
      <c r="F80" s="574"/>
      <c r="G80" s="540"/>
      <c r="H80" s="540"/>
      <c r="I80" s="11"/>
      <c r="J80" s="11"/>
      <c r="K80" s="11"/>
      <c r="L80" s="14"/>
      <c r="M80" s="14"/>
      <c r="N80" s="14"/>
      <c r="O80" s="15"/>
      <c r="P80" s="14"/>
      <c r="Q80" s="57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s="69" customFormat="1" x14ac:dyDescent="0.3">
      <c r="A81" s="12" t="s">
        <v>19</v>
      </c>
      <c r="B81" s="2">
        <f>'GERAL 2023'!H19</f>
        <v>15.019858156028368</v>
      </c>
      <c r="C81" s="2"/>
      <c r="D81" s="88">
        <v>12</v>
      </c>
      <c r="E81" s="2">
        <f>B81/D81</f>
        <v>1.2516548463356973</v>
      </c>
      <c r="F81" s="574"/>
      <c r="G81" s="540"/>
      <c r="H81" s="540"/>
      <c r="I81" s="11"/>
      <c r="J81" s="11"/>
      <c r="K81" s="11"/>
      <c r="L81" s="14"/>
      <c r="M81" s="14"/>
      <c r="N81" s="14"/>
      <c r="O81" s="11"/>
      <c r="P81" s="15"/>
      <c r="Q81" s="57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s="69" customFormat="1" x14ac:dyDescent="0.3">
      <c r="A82" s="79" t="s">
        <v>37</v>
      </c>
      <c r="B82" s="80">
        <f>'GERAL 2022'!J42</f>
        <v>118.92</v>
      </c>
      <c r="C82" s="77"/>
      <c r="D82" s="78">
        <v>6</v>
      </c>
      <c r="E82" s="80">
        <f t="shared" si="9"/>
        <v>19.82</v>
      </c>
      <c r="F82" s="574"/>
      <c r="G82" s="540"/>
      <c r="H82" s="540"/>
      <c r="I82" s="11"/>
      <c r="J82" s="11"/>
      <c r="K82" s="11"/>
      <c r="L82" s="14"/>
      <c r="M82" s="14"/>
      <c r="N82" s="14"/>
      <c r="O82" s="11"/>
      <c r="P82" s="11"/>
      <c r="Q82" s="57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s="69" customFormat="1" x14ac:dyDescent="0.3">
      <c r="A83" s="12" t="s">
        <v>38</v>
      </c>
      <c r="B83" s="2">
        <f>'GERAL 2023'!H20</f>
        <v>15.019858156028368</v>
      </c>
      <c r="C83" s="2"/>
      <c r="D83" s="88">
        <v>12</v>
      </c>
      <c r="E83" s="2">
        <f t="shared" si="9"/>
        <v>1.2516548463356973</v>
      </c>
      <c r="F83" s="574"/>
      <c r="G83" s="540"/>
      <c r="H83" s="540"/>
      <c r="I83" s="11"/>
      <c r="J83" s="11"/>
      <c r="K83" s="11"/>
      <c r="L83" s="14"/>
      <c r="M83" s="14"/>
      <c r="N83" s="14"/>
      <c r="O83" s="14"/>
      <c r="P83" s="14"/>
      <c r="Q83" s="57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s="69" customFormat="1" x14ac:dyDescent="0.3">
      <c r="A84" s="79" t="s">
        <v>45</v>
      </c>
      <c r="B84" s="80">
        <f>'GERAL 2022'!J43</f>
        <v>117.85</v>
      </c>
      <c r="C84" s="77"/>
      <c r="D84" s="78">
        <v>6</v>
      </c>
      <c r="E84" s="80">
        <f t="shared" si="9"/>
        <v>19.641666666666666</v>
      </c>
      <c r="F84" s="574"/>
      <c r="G84" s="540"/>
      <c r="H84" s="540"/>
      <c r="I84" s="11"/>
      <c r="J84" s="11"/>
      <c r="K84" s="11"/>
      <c r="L84" s="14"/>
      <c r="M84" s="14"/>
      <c r="N84" s="14"/>
      <c r="O84" s="14"/>
      <c r="P84" s="15"/>
      <c r="Q84" s="57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s="69" customFormat="1" x14ac:dyDescent="0.3">
      <c r="A85" s="12" t="s">
        <v>39</v>
      </c>
      <c r="B85" s="2">
        <f>'GERAL 2023'!H21</f>
        <v>15.019858156028368</v>
      </c>
      <c r="C85" s="2"/>
      <c r="D85" s="88">
        <v>12</v>
      </c>
      <c r="E85" s="2">
        <f t="shared" si="9"/>
        <v>1.2516548463356973</v>
      </c>
      <c r="F85" s="574"/>
      <c r="G85" s="540"/>
      <c r="H85" s="540"/>
      <c r="I85" s="11"/>
      <c r="J85" s="11"/>
      <c r="K85" s="11"/>
      <c r="L85" s="14"/>
      <c r="M85" s="14"/>
      <c r="N85" s="14"/>
      <c r="O85" s="14"/>
      <c r="P85" s="11"/>
      <c r="Q85" s="57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s="69" customFormat="1" x14ac:dyDescent="0.3">
      <c r="A86" s="81" t="s">
        <v>49</v>
      </c>
      <c r="B86" s="80">
        <f>'GERAL 2022'!J22</f>
        <v>119.12</v>
      </c>
      <c r="C86" s="77"/>
      <c r="D86" s="78">
        <v>6</v>
      </c>
      <c r="E86" s="80">
        <f t="shared" si="9"/>
        <v>19.853333333333335</v>
      </c>
      <c r="F86" s="574"/>
      <c r="G86" s="540"/>
      <c r="H86" s="540"/>
      <c r="I86" s="11"/>
      <c r="J86" s="11"/>
      <c r="K86" s="11"/>
      <c r="L86" s="14"/>
      <c r="M86" s="14"/>
      <c r="N86" s="14"/>
      <c r="O86" s="14"/>
      <c r="P86" s="11"/>
      <c r="Q86" s="57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s="69" customFormat="1" x14ac:dyDescent="0.3">
      <c r="A87" s="90" t="s">
        <v>50</v>
      </c>
      <c r="B87" s="2">
        <f>'GERAL 2023'!H22</f>
        <v>15.019858156028368</v>
      </c>
      <c r="C87" s="2"/>
      <c r="D87" s="88">
        <v>12</v>
      </c>
      <c r="E87" s="2">
        <f t="shared" si="9"/>
        <v>1.2516548463356973</v>
      </c>
      <c r="F87" s="574"/>
      <c r="G87" s="540"/>
      <c r="H87" s="540"/>
      <c r="I87" s="11"/>
      <c r="J87" s="11"/>
      <c r="K87" s="11"/>
      <c r="L87" s="14"/>
      <c r="M87" s="14"/>
      <c r="N87" s="14"/>
      <c r="O87" s="11"/>
      <c r="P87" s="11"/>
      <c r="Q87" s="57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s="69" customFormat="1" x14ac:dyDescent="0.3">
      <c r="A88" s="81" t="s">
        <v>43</v>
      </c>
      <c r="B88" s="80">
        <f>'GERAL 2022'!J23</f>
        <v>117.26</v>
      </c>
      <c r="C88" s="77"/>
      <c r="D88" s="78">
        <v>6</v>
      </c>
      <c r="E88" s="80">
        <f t="shared" si="9"/>
        <v>19.543333333333333</v>
      </c>
      <c r="F88" s="574"/>
      <c r="G88" s="540"/>
      <c r="H88" s="540"/>
      <c r="I88" s="11"/>
      <c r="J88" s="11"/>
      <c r="K88" s="11"/>
      <c r="L88" s="14"/>
      <c r="M88" s="14"/>
      <c r="N88" s="14"/>
      <c r="O88" s="11"/>
      <c r="P88" s="14"/>
      <c r="Q88" s="57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69" customFormat="1" x14ac:dyDescent="0.3">
      <c r="A89" s="90" t="s">
        <v>44</v>
      </c>
      <c r="B89" s="2">
        <f>'GERAL 2023'!H23</f>
        <v>15.019858156028368</v>
      </c>
      <c r="C89" s="2"/>
      <c r="D89" s="88">
        <v>12</v>
      </c>
      <c r="E89" s="2">
        <f t="shared" si="9"/>
        <v>1.2516548463356973</v>
      </c>
      <c r="F89" s="574"/>
      <c r="G89" s="540"/>
      <c r="H89" s="540"/>
      <c r="I89" s="11"/>
      <c r="J89" s="11"/>
      <c r="K89" s="11"/>
      <c r="L89" s="14"/>
      <c r="M89" s="14"/>
      <c r="N89" s="14"/>
      <c r="O89" s="11"/>
      <c r="P89" s="14"/>
      <c r="Q89" s="57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s="69" customFormat="1" x14ac:dyDescent="0.3">
      <c r="A90" s="81" t="s">
        <v>51</v>
      </c>
      <c r="B90" s="80">
        <f>'GERAL 2022'!J24</f>
        <v>117.26</v>
      </c>
      <c r="C90" s="77"/>
      <c r="D90" s="78">
        <v>6</v>
      </c>
      <c r="E90" s="80">
        <f t="shared" si="9"/>
        <v>19.543333333333333</v>
      </c>
      <c r="F90" s="574"/>
      <c r="G90" s="540"/>
      <c r="H90" s="540"/>
      <c r="I90" s="11"/>
      <c r="J90" s="11"/>
      <c r="K90" s="11"/>
      <c r="L90" s="14"/>
      <c r="M90" s="14"/>
      <c r="N90" s="14"/>
      <c r="O90" s="11"/>
      <c r="P90" s="14"/>
      <c r="Q90" s="57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s="69" customFormat="1" x14ac:dyDescent="0.3">
      <c r="A91" s="90" t="s">
        <v>52</v>
      </c>
      <c r="B91" s="2">
        <f>'GERAL 2023'!H24</f>
        <v>15.019858156028368</v>
      </c>
      <c r="C91" s="2"/>
      <c r="D91" s="88">
        <v>12</v>
      </c>
      <c r="E91" s="2">
        <f t="shared" si="9"/>
        <v>1.2516548463356973</v>
      </c>
      <c r="F91" s="574"/>
      <c r="G91" s="540"/>
      <c r="H91" s="540"/>
      <c r="L91" s="142"/>
      <c r="M91" s="142"/>
      <c r="N91" s="142"/>
      <c r="O91" s="11"/>
      <c r="P91" s="14"/>
      <c r="Q91" s="57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</row>
    <row r="92" spans="1:49" s="70" customFormat="1" x14ac:dyDescent="0.3">
      <c r="A92" s="81" t="s">
        <v>53</v>
      </c>
      <c r="B92" s="80">
        <f>'GERAL 2022'!J25</f>
        <v>117.85</v>
      </c>
      <c r="C92" s="77"/>
      <c r="D92" s="78">
        <v>6</v>
      </c>
      <c r="E92" s="80">
        <f t="shared" si="9"/>
        <v>19.641666666666666</v>
      </c>
      <c r="F92" s="574"/>
      <c r="G92" s="540"/>
      <c r="H92" s="540"/>
      <c r="I92" s="63"/>
      <c r="J92" s="63"/>
      <c r="K92" s="63"/>
      <c r="L92" s="69"/>
      <c r="M92" s="69"/>
      <c r="N92" s="69"/>
      <c r="O92" s="11"/>
      <c r="P92" s="11"/>
      <c r="Q92" s="57"/>
    </row>
    <row r="93" spans="1:49" s="70" customFormat="1" ht="15" customHeight="1" x14ac:dyDescent="0.3">
      <c r="A93" s="90" t="s">
        <v>54</v>
      </c>
      <c r="B93" s="2">
        <f>'GERAL 2023'!H25</f>
        <v>15.019858156028368</v>
      </c>
      <c r="C93" s="2"/>
      <c r="D93" s="88">
        <v>12</v>
      </c>
      <c r="E93" s="2">
        <f t="shared" si="9"/>
        <v>1.2516548463356973</v>
      </c>
      <c r="F93" s="574"/>
      <c r="G93" s="540"/>
      <c r="H93" s="540"/>
      <c r="I93" s="11"/>
      <c r="J93" s="11"/>
      <c r="K93" s="63"/>
      <c r="L93" s="142"/>
      <c r="M93" s="142"/>
      <c r="N93" s="142"/>
      <c r="O93" s="11"/>
      <c r="P93" s="11"/>
      <c r="Q93" s="57"/>
      <c r="AW93" s="69"/>
    </row>
    <row r="94" spans="1:49" s="70" customFormat="1" x14ac:dyDescent="0.3">
      <c r="A94" s="81" t="s">
        <v>78</v>
      </c>
      <c r="B94" s="80">
        <f>'GERAL 2022'!J26</f>
        <v>119.02</v>
      </c>
      <c r="C94" s="77"/>
      <c r="D94" s="78">
        <v>6</v>
      </c>
      <c r="E94" s="80">
        <f t="shared" si="9"/>
        <v>19.836666666666666</v>
      </c>
      <c r="F94" s="574"/>
      <c r="G94" s="540"/>
      <c r="H94" s="540"/>
      <c r="I94" s="142"/>
      <c r="J94" s="142"/>
      <c r="K94" s="142"/>
      <c r="L94" s="142"/>
      <c r="M94" s="142"/>
      <c r="N94" s="142"/>
      <c r="O94" s="69"/>
      <c r="P94" s="69"/>
      <c r="Q94" s="69"/>
      <c r="AW94" s="69"/>
    </row>
    <row r="95" spans="1:49" s="70" customFormat="1" x14ac:dyDescent="0.3">
      <c r="A95" s="90" t="s">
        <v>79</v>
      </c>
      <c r="B95" s="2">
        <f>'GERAL 2023'!H26</f>
        <v>21.027801418439715</v>
      </c>
      <c r="C95" s="2"/>
      <c r="D95" s="88">
        <v>12</v>
      </c>
      <c r="E95" s="2">
        <f t="shared" si="9"/>
        <v>1.7523167848699763</v>
      </c>
      <c r="F95" s="574"/>
      <c r="G95" s="540"/>
      <c r="H95" s="540"/>
      <c r="I95" s="11"/>
      <c r="J95" s="11"/>
      <c r="K95" s="63"/>
      <c r="L95" s="142"/>
      <c r="M95" s="142"/>
      <c r="N95" s="142"/>
      <c r="O95" s="69"/>
      <c r="P95" s="69"/>
      <c r="Q95" s="69"/>
      <c r="AW95" s="69"/>
    </row>
    <row r="96" spans="1:49" s="70" customFormat="1" x14ac:dyDescent="0.3">
      <c r="A96" s="81" t="s">
        <v>80</v>
      </c>
      <c r="B96" s="80">
        <f>'GERAL 2022'!J44</f>
        <v>118.53</v>
      </c>
      <c r="C96" s="77"/>
      <c r="D96" s="78">
        <v>6</v>
      </c>
      <c r="E96" s="80">
        <f t="shared" si="9"/>
        <v>19.754999999999999</v>
      </c>
      <c r="F96" s="574"/>
      <c r="G96" s="540"/>
      <c r="H96" s="540"/>
      <c r="I96" s="142"/>
      <c r="J96" s="142"/>
      <c r="K96" s="142"/>
      <c r="L96" s="142"/>
      <c r="M96" s="142"/>
      <c r="N96" s="142"/>
      <c r="O96" s="69"/>
      <c r="P96" s="69"/>
      <c r="Q96" s="69"/>
      <c r="AW96" s="69"/>
    </row>
    <row r="97" spans="1:49" s="70" customFormat="1" x14ac:dyDescent="0.3">
      <c r="A97" s="90" t="s">
        <v>81</v>
      </c>
      <c r="B97" s="2">
        <f>'GERAL 2023'!H27</f>
        <v>15.019858156028368</v>
      </c>
      <c r="C97" s="2"/>
      <c r="D97" s="88">
        <v>12</v>
      </c>
      <c r="E97" s="2">
        <f t="shared" si="9"/>
        <v>1.2516548463356973</v>
      </c>
      <c r="F97" s="574"/>
      <c r="G97" s="540"/>
      <c r="H97" s="540"/>
      <c r="I97" s="11"/>
      <c r="J97" s="11"/>
      <c r="K97" s="63"/>
      <c r="L97" s="142"/>
      <c r="M97" s="142"/>
      <c r="N97" s="142"/>
      <c r="O97" s="69"/>
      <c r="P97" s="69"/>
      <c r="Q97" s="69"/>
      <c r="AW97" s="69"/>
    </row>
    <row r="98" spans="1:49" s="70" customFormat="1" x14ac:dyDescent="0.3">
      <c r="A98" s="81" t="s">
        <v>82</v>
      </c>
      <c r="B98" s="80">
        <f>'GERAL 2022'!J28</f>
        <v>117.95</v>
      </c>
      <c r="C98" s="77"/>
      <c r="D98" s="78">
        <v>6</v>
      </c>
      <c r="E98" s="80">
        <f t="shared" si="9"/>
        <v>19.658333333333335</v>
      </c>
      <c r="F98" s="574"/>
      <c r="G98" s="540"/>
      <c r="H98" s="540"/>
      <c r="I98" s="142"/>
      <c r="J98" s="142"/>
      <c r="K98" s="142"/>
      <c r="L98" s="142"/>
      <c r="M98" s="142"/>
      <c r="N98" s="142"/>
      <c r="O98" s="69"/>
      <c r="P98" s="69"/>
      <c r="Q98" s="69"/>
      <c r="AW98" s="69"/>
    </row>
    <row r="99" spans="1:49" s="70" customFormat="1" x14ac:dyDescent="0.3">
      <c r="A99" s="90" t="s">
        <v>83</v>
      </c>
      <c r="B99" s="2">
        <f>'GERAL 2023'!H28</f>
        <v>15.019858156028368</v>
      </c>
      <c r="C99" s="2"/>
      <c r="D99" s="88">
        <v>12</v>
      </c>
      <c r="E99" s="2">
        <f t="shared" si="9"/>
        <v>1.2516548463356973</v>
      </c>
      <c r="F99" s="574"/>
      <c r="G99" s="540"/>
      <c r="H99" s="540"/>
      <c r="I99" s="11"/>
      <c r="J99" s="11"/>
      <c r="K99" s="63"/>
      <c r="L99" s="142"/>
      <c r="M99" s="142"/>
      <c r="N99" s="142"/>
      <c r="O99" s="69"/>
      <c r="P99" s="69"/>
      <c r="Q99" s="69"/>
      <c r="AW99" s="69"/>
    </row>
    <row r="100" spans="1:49" s="70" customFormat="1" x14ac:dyDescent="0.3">
      <c r="A100" s="81" t="s">
        <v>84</v>
      </c>
      <c r="B100" s="80">
        <f>'GERAL 2022'!J45</f>
        <v>118.18</v>
      </c>
      <c r="C100" s="77"/>
      <c r="D100" s="78">
        <v>6</v>
      </c>
      <c r="E100" s="80">
        <f t="shared" si="9"/>
        <v>19.696666666666669</v>
      </c>
      <c r="F100" s="574"/>
      <c r="G100" s="540"/>
      <c r="H100" s="540"/>
      <c r="I100" s="142"/>
      <c r="J100" s="142"/>
      <c r="K100" s="142"/>
      <c r="L100" s="142"/>
      <c r="M100" s="142"/>
      <c r="N100" s="142"/>
      <c r="O100" s="69"/>
      <c r="P100" s="69"/>
      <c r="Q100" s="69"/>
      <c r="AW100" s="69"/>
    </row>
    <row r="101" spans="1:49" s="70" customFormat="1" x14ac:dyDescent="0.3">
      <c r="A101" s="90" t="s">
        <v>85</v>
      </c>
      <c r="B101" s="2">
        <f>'GERAL 2023'!H29</f>
        <v>15.019858156028368</v>
      </c>
      <c r="C101" s="2"/>
      <c r="D101" s="88">
        <v>12</v>
      </c>
      <c r="E101" s="2">
        <f t="shared" si="9"/>
        <v>1.2516548463356973</v>
      </c>
      <c r="F101" s="574"/>
      <c r="G101" s="540"/>
      <c r="H101" s="540"/>
      <c r="I101" s="11"/>
      <c r="J101" s="11"/>
      <c r="K101" s="63"/>
      <c r="L101" s="142"/>
      <c r="M101" s="142"/>
      <c r="N101" s="142"/>
      <c r="O101" s="144"/>
      <c r="P101" s="69"/>
      <c r="Q101" s="69"/>
      <c r="AW101" s="69"/>
    </row>
    <row r="102" spans="1:49" s="70" customFormat="1" x14ac:dyDescent="0.3">
      <c r="A102" s="69"/>
      <c r="B102" s="189"/>
      <c r="C102" s="189"/>
      <c r="D102" s="189"/>
      <c r="E102" s="189"/>
      <c r="F102" s="574"/>
      <c r="G102" s="540"/>
      <c r="H102" s="540"/>
      <c r="I102" s="142"/>
      <c r="J102" s="142"/>
      <c r="K102" s="142"/>
      <c r="L102" s="142"/>
      <c r="M102" s="142"/>
      <c r="N102" s="142"/>
      <c r="O102" s="144"/>
      <c r="P102" s="69"/>
      <c r="Q102" s="69"/>
      <c r="AW102" s="69"/>
    </row>
    <row r="103" spans="1:49" s="70" customFormat="1" x14ac:dyDescent="0.3">
      <c r="A103" s="69"/>
      <c r="B103" s="69"/>
      <c r="C103" s="69"/>
      <c r="D103" s="69"/>
      <c r="E103" s="69"/>
      <c r="F103" s="69"/>
      <c r="G103" s="69"/>
      <c r="H103" s="69"/>
      <c r="I103" s="142"/>
      <c r="J103" s="142"/>
      <c r="K103" s="142"/>
      <c r="L103" s="142"/>
      <c r="M103" s="142"/>
      <c r="N103" s="142"/>
      <c r="O103" s="144"/>
      <c r="P103" s="69"/>
      <c r="AW103" s="69"/>
    </row>
    <row r="104" spans="1:49" s="70" customFormat="1" x14ac:dyDescent="0.3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142"/>
      <c r="M104" s="142"/>
      <c r="N104" s="142"/>
      <c r="O104" s="144"/>
      <c r="P104" s="69"/>
      <c r="AW104" s="69"/>
    </row>
    <row r="105" spans="1:49" s="70" customFormat="1" x14ac:dyDescent="0.3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142"/>
      <c r="M105" s="142"/>
      <c r="N105" s="142"/>
      <c r="O105" s="144"/>
      <c r="P105" s="69"/>
      <c r="AW105" s="69"/>
    </row>
    <row r="106" spans="1:49" s="70" customFormat="1" x14ac:dyDescent="0.3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142"/>
      <c r="M106" s="142"/>
      <c r="N106" s="142"/>
      <c r="O106" s="144"/>
      <c r="P106" s="144"/>
      <c r="AW106" s="69"/>
    </row>
    <row r="107" spans="1:49" s="70" customFormat="1" x14ac:dyDescent="0.3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142"/>
      <c r="M107" s="142"/>
      <c r="N107" s="142"/>
      <c r="O107" s="144"/>
      <c r="P107" s="144"/>
      <c r="AW107" s="69"/>
    </row>
    <row r="108" spans="1:49" s="70" customFormat="1" x14ac:dyDescent="0.3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142"/>
      <c r="M108" s="142"/>
      <c r="N108" s="142"/>
      <c r="O108" s="144"/>
      <c r="P108" s="144"/>
      <c r="AW108" s="69"/>
    </row>
    <row r="109" spans="1:49" s="70" customFormat="1" x14ac:dyDescent="0.3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142"/>
      <c r="M109" s="142"/>
      <c r="N109" s="142"/>
      <c r="O109" s="144"/>
      <c r="P109" s="144"/>
      <c r="AW109" s="69"/>
    </row>
    <row r="110" spans="1:49" s="70" customFormat="1" x14ac:dyDescent="0.3">
      <c r="F110" s="69"/>
      <c r="G110" s="69"/>
      <c r="H110" s="69"/>
      <c r="I110" s="69"/>
      <c r="J110" s="69"/>
      <c r="K110" s="69"/>
      <c r="L110" s="142"/>
      <c r="M110" s="142"/>
      <c r="N110" s="142"/>
      <c r="O110" s="144"/>
      <c r="P110" s="144"/>
      <c r="AW110" s="69"/>
    </row>
    <row r="111" spans="1:49" s="70" customFormat="1" x14ac:dyDescent="0.3">
      <c r="I111" s="69"/>
      <c r="J111" s="69"/>
      <c r="K111" s="69"/>
      <c r="L111" s="142"/>
      <c r="M111" s="142"/>
      <c r="N111" s="142"/>
      <c r="O111" s="144"/>
      <c r="P111" s="144"/>
      <c r="AW111" s="69"/>
    </row>
    <row r="112" spans="1:49" s="70" customFormat="1" x14ac:dyDescent="0.3">
      <c r="L112" s="142"/>
      <c r="M112" s="142"/>
      <c r="N112" s="142"/>
      <c r="O112" s="144"/>
      <c r="P112" s="144"/>
      <c r="AW112" s="69"/>
    </row>
    <row r="113" spans="12:49" s="70" customFormat="1" x14ac:dyDescent="0.3">
      <c r="L113" s="142"/>
      <c r="M113" s="142"/>
      <c r="N113" s="142"/>
      <c r="O113" s="144"/>
      <c r="P113" s="144"/>
      <c r="AW113" s="69"/>
    </row>
    <row r="114" spans="12:49" s="70" customFormat="1" x14ac:dyDescent="0.3">
      <c r="L114" s="142"/>
      <c r="M114" s="142"/>
      <c r="N114" s="142"/>
      <c r="O114" s="144"/>
      <c r="P114" s="144"/>
      <c r="AW114" s="69"/>
    </row>
    <row r="115" spans="12:49" s="70" customFormat="1" x14ac:dyDescent="0.3">
      <c r="L115" s="142"/>
      <c r="M115" s="142"/>
      <c r="N115" s="142"/>
      <c r="O115" s="144"/>
      <c r="P115" s="144"/>
      <c r="AW115" s="69"/>
    </row>
    <row r="116" spans="12:49" s="70" customFormat="1" x14ac:dyDescent="0.3">
      <c r="L116" s="142"/>
      <c r="M116" s="142"/>
      <c r="N116" s="142"/>
      <c r="O116" s="144"/>
      <c r="P116" s="144"/>
      <c r="AW116" s="69"/>
    </row>
    <row r="117" spans="12:49" s="70" customFormat="1" x14ac:dyDescent="0.3">
      <c r="L117" s="142"/>
      <c r="M117" s="142"/>
      <c r="N117" s="142"/>
      <c r="O117" s="144"/>
      <c r="P117" s="144"/>
      <c r="AW117" s="69"/>
    </row>
    <row r="118" spans="12:49" s="70" customFormat="1" x14ac:dyDescent="0.3">
      <c r="L118" s="142"/>
      <c r="M118" s="142"/>
      <c r="N118" s="142"/>
      <c r="O118" s="144"/>
      <c r="P118" s="144"/>
      <c r="AW118" s="69"/>
    </row>
    <row r="119" spans="12:49" s="70" customFormat="1" x14ac:dyDescent="0.3">
      <c r="L119" s="142"/>
      <c r="M119" s="142"/>
      <c r="N119" s="142"/>
      <c r="O119" s="144"/>
      <c r="P119" s="144"/>
      <c r="AW119" s="69"/>
    </row>
    <row r="120" spans="12:49" s="70" customFormat="1" x14ac:dyDescent="0.3">
      <c r="L120" s="142"/>
      <c r="M120" s="142"/>
      <c r="N120" s="142"/>
      <c r="O120" s="144"/>
      <c r="P120" s="144"/>
      <c r="AW120" s="69"/>
    </row>
    <row r="121" spans="12:49" s="70" customFormat="1" x14ac:dyDescent="0.3">
      <c r="L121" s="142"/>
      <c r="M121" s="142"/>
      <c r="N121" s="142"/>
      <c r="O121" s="144"/>
      <c r="P121" s="144"/>
      <c r="AW121" s="69"/>
    </row>
    <row r="122" spans="12:49" s="70" customFormat="1" x14ac:dyDescent="0.3">
      <c r="L122" s="142"/>
      <c r="M122" s="142"/>
      <c r="N122" s="142"/>
      <c r="O122" s="144"/>
      <c r="P122" s="144"/>
      <c r="AW122" s="69"/>
    </row>
    <row r="123" spans="12:49" s="70" customFormat="1" x14ac:dyDescent="0.3">
      <c r="L123" s="142"/>
      <c r="M123" s="142"/>
      <c r="N123" s="142"/>
      <c r="O123" s="144"/>
      <c r="P123" s="144"/>
      <c r="AW123" s="69"/>
    </row>
    <row r="124" spans="12:49" s="70" customFormat="1" x14ac:dyDescent="0.3">
      <c r="L124" s="142"/>
      <c r="M124" s="142"/>
      <c r="N124" s="142"/>
      <c r="O124" s="144"/>
      <c r="P124" s="144"/>
      <c r="AW124" s="69"/>
    </row>
    <row r="125" spans="12:49" s="70" customFormat="1" x14ac:dyDescent="0.3">
      <c r="L125" s="142"/>
      <c r="M125" s="142"/>
      <c r="N125" s="142"/>
      <c r="O125" s="144"/>
      <c r="P125" s="144"/>
      <c r="AW125" s="69"/>
    </row>
    <row r="126" spans="12:49" s="70" customFormat="1" x14ac:dyDescent="0.3">
      <c r="L126" s="142"/>
      <c r="M126" s="142"/>
      <c r="N126" s="142"/>
      <c r="O126" s="144"/>
      <c r="P126" s="144"/>
      <c r="AW126" s="69"/>
    </row>
    <row r="127" spans="12:49" s="70" customFormat="1" x14ac:dyDescent="0.3">
      <c r="L127" s="142"/>
      <c r="M127" s="142"/>
      <c r="N127" s="142"/>
      <c r="O127" s="144"/>
      <c r="P127" s="144"/>
      <c r="AW127" s="69"/>
    </row>
    <row r="128" spans="12:49" s="70" customFormat="1" x14ac:dyDescent="0.3">
      <c r="L128" s="142"/>
      <c r="M128" s="142"/>
      <c r="N128" s="142"/>
      <c r="O128" s="144"/>
      <c r="P128" s="144"/>
      <c r="AW128" s="69"/>
    </row>
    <row r="129" spans="12:49" s="70" customFormat="1" x14ac:dyDescent="0.3">
      <c r="L129" s="142"/>
      <c r="M129" s="142"/>
      <c r="N129" s="142"/>
      <c r="O129" s="144"/>
      <c r="P129" s="144"/>
      <c r="AW129" s="69"/>
    </row>
    <row r="130" spans="12:49" s="70" customFormat="1" x14ac:dyDescent="0.3">
      <c r="L130" s="142"/>
      <c r="M130" s="142"/>
      <c r="N130" s="142"/>
      <c r="O130" s="144"/>
      <c r="P130" s="144"/>
      <c r="AW130" s="69"/>
    </row>
    <row r="131" spans="12:49" s="70" customFormat="1" x14ac:dyDescent="0.3">
      <c r="L131" s="142"/>
      <c r="M131" s="142"/>
      <c r="N131" s="142"/>
      <c r="O131" s="144"/>
      <c r="P131" s="144"/>
      <c r="AW131" s="69"/>
    </row>
    <row r="132" spans="12:49" s="70" customFormat="1" x14ac:dyDescent="0.3">
      <c r="L132" s="142"/>
      <c r="M132" s="142"/>
      <c r="N132" s="142"/>
      <c r="O132" s="144"/>
      <c r="P132" s="144"/>
      <c r="AW132" s="69"/>
    </row>
    <row r="133" spans="12:49" s="70" customFormat="1" x14ac:dyDescent="0.3">
      <c r="L133" s="142"/>
      <c r="M133" s="142"/>
      <c r="N133" s="142"/>
      <c r="O133" s="144"/>
      <c r="P133" s="144"/>
      <c r="AW133" s="69"/>
    </row>
    <row r="134" spans="12:49" s="70" customFormat="1" x14ac:dyDescent="0.3">
      <c r="L134" s="142"/>
      <c r="M134" s="142"/>
      <c r="N134" s="142"/>
      <c r="O134" s="144"/>
      <c r="P134" s="144"/>
      <c r="AW134" s="69"/>
    </row>
    <row r="135" spans="12:49" s="70" customFormat="1" x14ac:dyDescent="0.3">
      <c r="L135" s="142"/>
      <c r="M135" s="142"/>
      <c r="N135" s="142"/>
      <c r="O135" s="144"/>
      <c r="P135" s="144"/>
      <c r="AW135" s="69"/>
    </row>
    <row r="136" spans="12:49" s="70" customFormat="1" x14ac:dyDescent="0.3">
      <c r="L136" s="142"/>
      <c r="M136" s="142"/>
      <c r="N136" s="142"/>
      <c r="O136" s="144"/>
      <c r="P136" s="144"/>
      <c r="AW136" s="69"/>
    </row>
    <row r="137" spans="12:49" s="70" customFormat="1" x14ac:dyDescent="0.3">
      <c r="L137" s="142"/>
      <c r="M137" s="142"/>
      <c r="N137" s="142"/>
      <c r="O137" s="144"/>
      <c r="P137" s="144"/>
      <c r="AW137" s="69"/>
    </row>
    <row r="138" spans="12:49" s="70" customFormat="1" x14ac:dyDescent="0.3">
      <c r="L138" s="142"/>
      <c r="M138" s="142"/>
      <c r="N138" s="142"/>
      <c r="O138" s="144"/>
      <c r="P138" s="144"/>
      <c r="AW138" s="69"/>
    </row>
    <row r="139" spans="12:49" s="70" customFormat="1" x14ac:dyDescent="0.3">
      <c r="L139" s="142"/>
      <c r="M139" s="142"/>
      <c r="N139" s="142"/>
      <c r="O139" s="144"/>
      <c r="P139" s="144"/>
      <c r="AW139" s="69"/>
    </row>
    <row r="140" spans="12:49" s="70" customFormat="1" x14ac:dyDescent="0.3">
      <c r="L140" s="142"/>
      <c r="M140" s="142"/>
      <c r="N140" s="142"/>
      <c r="O140" s="144"/>
      <c r="P140" s="144"/>
      <c r="AW140" s="69"/>
    </row>
    <row r="141" spans="12:49" s="70" customFormat="1" x14ac:dyDescent="0.3">
      <c r="L141" s="142"/>
      <c r="M141" s="142"/>
      <c r="N141" s="142"/>
      <c r="O141" s="144"/>
      <c r="P141" s="144"/>
      <c r="AW141" s="69"/>
    </row>
    <row r="142" spans="12:49" s="70" customFormat="1" x14ac:dyDescent="0.3">
      <c r="L142" s="142"/>
      <c r="M142" s="142"/>
      <c r="N142" s="142"/>
      <c r="O142" s="144"/>
      <c r="P142" s="144"/>
      <c r="AW142" s="69"/>
    </row>
    <row r="143" spans="12:49" s="70" customFormat="1" x14ac:dyDescent="0.3">
      <c r="L143" s="142"/>
      <c r="M143" s="142"/>
      <c r="N143" s="142"/>
      <c r="O143" s="144"/>
      <c r="P143" s="144"/>
      <c r="AW143" s="69"/>
    </row>
    <row r="144" spans="12:49" s="70" customFormat="1" x14ac:dyDescent="0.3">
      <c r="L144" s="142"/>
      <c r="M144" s="142"/>
      <c r="N144" s="142"/>
      <c r="O144" s="144"/>
      <c r="P144" s="144"/>
      <c r="AW144" s="69"/>
    </row>
    <row r="145" spans="12:49" s="70" customFormat="1" x14ac:dyDescent="0.3">
      <c r="L145" s="142"/>
      <c r="M145" s="142"/>
      <c r="N145" s="142"/>
      <c r="O145" s="144"/>
      <c r="P145" s="144"/>
      <c r="AW145" s="69"/>
    </row>
    <row r="146" spans="12:49" s="70" customFormat="1" x14ac:dyDescent="0.3">
      <c r="L146" s="142"/>
      <c r="M146" s="142"/>
      <c r="N146" s="142"/>
      <c r="O146" s="144"/>
      <c r="P146" s="144"/>
      <c r="AW146" s="69"/>
    </row>
    <row r="147" spans="12:49" s="70" customFormat="1" x14ac:dyDescent="0.3">
      <c r="L147" s="142"/>
      <c r="M147" s="142"/>
      <c r="N147" s="142"/>
      <c r="O147" s="144"/>
      <c r="P147" s="144"/>
      <c r="AW147" s="69"/>
    </row>
    <row r="148" spans="12:49" s="70" customFormat="1" x14ac:dyDescent="0.3">
      <c r="L148" s="142"/>
      <c r="M148" s="142"/>
      <c r="N148" s="142"/>
      <c r="O148" s="144"/>
      <c r="P148" s="144"/>
      <c r="AW148" s="69"/>
    </row>
    <row r="149" spans="12:49" s="70" customFormat="1" x14ac:dyDescent="0.3">
      <c r="L149" s="142"/>
      <c r="M149" s="142"/>
      <c r="N149" s="142"/>
      <c r="O149" s="144"/>
      <c r="P149" s="144"/>
      <c r="AW149" s="69"/>
    </row>
    <row r="150" spans="12:49" s="70" customFormat="1" x14ac:dyDescent="0.3">
      <c r="L150" s="142"/>
      <c r="M150" s="142"/>
      <c r="N150" s="142"/>
      <c r="O150" s="144"/>
      <c r="P150" s="144"/>
      <c r="AW150" s="69"/>
    </row>
    <row r="151" spans="12:49" s="70" customFormat="1" x14ac:dyDescent="0.3">
      <c r="L151" s="142"/>
      <c r="M151" s="142"/>
      <c r="N151" s="142"/>
      <c r="O151" s="144"/>
      <c r="P151" s="144"/>
      <c r="AW151" s="69"/>
    </row>
    <row r="152" spans="12:49" s="70" customFormat="1" x14ac:dyDescent="0.3">
      <c r="L152" s="142"/>
      <c r="M152" s="142"/>
      <c r="N152" s="142"/>
      <c r="O152" s="144"/>
      <c r="P152" s="144"/>
      <c r="AW152" s="69"/>
    </row>
    <row r="153" spans="12:49" s="70" customFormat="1" x14ac:dyDescent="0.3">
      <c r="L153" s="142"/>
      <c r="M153" s="142"/>
      <c r="N153" s="142"/>
      <c r="O153" s="144"/>
      <c r="P153" s="144"/>
      <c r="AW153" s="69"/>
    </row>
    <row r="154" spans="12:49" s="70" customFormat="1" x14ac:dyDescent="0.3">
      <c r="L154" s="142"/>
      <c r="M154" s="142"/>
      <c r="N154" s="142"/>
      <c r="O154" s="144"/>
      <c r="P154" s="144"/>
      <c r="AW154" s="69"/>
    </row>
    <row r="155" spans="12:49" s="70" customFormat="1" x14ac:dyDescent="0.3">
      <c r="L155" s="142"/>
      <c r="M155" s="142"/>
      <c r="N155" s="142"/>
      <c r="O155" s="144"/>
      <c r="P155" s="144"/>
      <c r="AW155" s="69"/>
    </row>
    <row r="156" spans="12:49" s="70" customFormat="1" x14ac:dyDescent="0.3">
      <c r="L156" s="142"/>
      <c r="M156" s="142"/>
      <c r="N156" s="142"/>
      <c r="O156" s="144"/>
      <c r="P156" s="144"/>
      <c r="AW156" s="69"/>
    </row>
    <row r="157" spans="12:49" s="70" customFormat="1" x14ac:dyDescent="0.3">
      <c r="L157" s="142"/>
      <c r="M157" s="142"/>
      <c r="N157" s="142"/>
      <c r="O157" s="144"/>
      <c r="P157" s="144"/>
      <c r="AW157" s="69"/>
    </row>
    <row r="158" spans="12:49" s="70" customFormat="1" x14ac:dyDescent="0.3">
      <c r="L158" s="142"/>
      <c r="M158" s="142"/>
      <c r="N158" s="142"/>
      <c r="O158" s="144"/>
      <c r="P158" s="144"/>
      <c r="AW158" s="69"/>
    </row>
    <row r="159" spans="12:49" s="70" customFormat="1" x14ac:dyDescent="0.3">
      <c r="L159" s="142"/>
      <c r="M159" s="142"/>
      <c r="N159" s="142"/>
      <c r="O159" s="144"/>
      <c r="P159" s="144"/>
      <c r="AW159" s="69"/>
    </row>
    <row r="160" spans="12:49" s="70" customFormat="1" x14ac:dyDescent="0.3">
      <c r="L160" s="142"/>
      <c r="M160" s="142"/>
      <c r="N160" s="142"/>
      <c r="O160" s="144"/>
      <c r="P160" s="144"/>
      <c r="AW160" s="69"/>
    </row>
    <row r="161" spans="1:50" s="70" customFormat="1" x14ac:dyDescent="0.3">
      <c r="L161" s="142"/>
      <c r="M161" s="142"/>
      <c r="N161" s="142"/>
      <c r="O161" s="144"/>
      <c r="P161" s="144"/>
      <c r="AW161" s="69"/>
    </row>
    <row r="162" spans="1:50" s="70" customFormat="1" x14ac:dyDescent="0.3">
      <c r="L162" s="142"/>
      <c r="M162" s="142"/>
      <c r="N162" s="142"/>
      <c r="O162" s="144"/>
      <c r="P162" s="144"/>
      <c r="AW162" s="69"/>
    </row>
    <row r="163" spans="1:50" s="70" customFormat="1" x14ac:dyDescent="0.3">
      <c r="L163" s="142"/>
      <c r="M163" s="142"/>
      <c r="N163" s="142"/>
      <c r="O163" s="144"/>
      <c r="P163" s="144"/>
      <c r="AW163" s="69"/>
    </row>
    <row r="164" spans="1:50" s="70" customFormat="1" x14ac:dyDescent="0.3">
      <c r="L164" s="142"/>
      <c r="M164" s="142"/>
      <c r="N164" s="142"/>
      <c r="O164" s="144"/>
      <c r="P164" s="144"/>
      <c r="AW164" s="69"/>
    </row>
    <row r="165" spans="1:50" s="70" customFormat="1" x14ac:dyDescent="0.3">
      <c r="L165" s="142"/>
      <c r="M165" s="142"/>
      <c r="N165" s="142"/>
      <c r="O165" s="144"/>
      <c r="P165" s="144"/>
      <c r="AW165" s="69"/>
    </row>
    <row r="166" spans="1:50" s="70" customFormat="1" x14ac:dyDescent="0.3">
      <c r="L166" s="142"/>
      <c r="M166" s="142"/>
      <c r="N166" s="142"/>
      <c r="O166" s="144"/>
      <c r="P166" s="144"/>
      <c r="AW166" s="69"/>
    </row>
    <row r="167" spans="1:50" s="145" customFormat="1" x14ac:dyDescent="0.3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142"/>
      <c r="M167" s="142"/>
      <c r="N167" s="142"/>
      <c r="O167" s="144"/>
      <c r="P167" s="144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69"/>
      <c r="AX167" s="70"/>
    </row>
    <row r="168" spans="1:50" s="145" customFormat="1" x14ac:dyDescent="0.3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142"/>
      <c r="M168" s="142"/>
      <c r="N168" s="142"/>
      <c r="O168" s="144"/>
      <c r="P168" s="144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69"/>
      <c r="AX168" s="70"/>
    </row>
    <row r="169" spans="1:50" s="145" customFormat="1" x14ac:dyDescent="0.3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142"/>
      <c r="M169" s="142"/>
      <c r="N169" s="142"/>
      <c r="O169" s="144"/>
      <c r="P169" s="144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69"/>
      <c r="AX169" s="70"/>
    </row>
    <row r="170" spans="1:50" s="145" customFormat="1" x14ac:dyDescent="0.3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142"/>
      <c r="M170" s="142"/>
      <c r="N170" s="142"/>
      <c r="O170" s="144"/>
      <c r="P170" s="144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69"/>
      <c r="AX170" s="70"/>
    </row>
    <row r="171" spans="1:50" s="145" customFormat="1" x14ac:dyDescent="0.3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142"/>
      <c r="M171" s="142"/>
      <c r="N171" s="142"/>
      <c r="O171" s="144"/>
      <c r="P171" s="144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69"/>
      <c r="AX171" s="70"/>
    </row>
    <row r="172" spans="1:50" s="145" customFormat="1" x14ac:dyDescent="0.3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142"/>
      <c r="M172" s="142"/>
      <c r="N172" s="142"/>
      <c r="O172" s="144"/>
      <c r="P172" s="144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69"/>
      <c r="AX172" s="70"/>
    </row>
    <row r="173" spans="1:50" s="145" customFormat="1" x14ac:dyDescent="0.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142"/>
      <c r="M173" s="142"/>
      <c r="N173" s="142"/>
      <c r="O173" s="144"/>
      <c r="P173" s="144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69"/>
      <c r="AX173" s="70"/>
    </row>
    <row r="174" spans="1:50" s="145" customFormat="1" x14ac:dyDescent="0.3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142"/>
      <c r="M174" s="142"/>
      <c r="N174" s="142"/>
      <c r="O174" s="144"/>
      <c r="P174" s="144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69"/>
      <c r="AX174" s="70"/>
    </row>
    <row r="175" spans="1:50" s="145" customFormat="1" x14ac:dyDescent="0.3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142"/>
      <c r="M175" s="142"/>
      <c r="N175" s="142"/>
      <c r="O175" s="144"/>
      <c r="P175" s="144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69"/>
      <c r="AX175" s="70"/>
    </row>
    <row r="176" spans="1:50" s="145" customFormat="1" x14ac:dyDescent="0.3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142"/>
      <c r="M176" s="142"/>
      <c r="N176" s="142"/>
      <c r="O176" s="144"/>
      <c r="P176" s="144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69"/>
      <c r="AX176" s="70"/>
    </row>
    <row r="177" spans="1:50" s="145" customFormat="1" x14ac:dyDescent="0.3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142"/>
      <c r="M177" s="142"/>
      <c r="N177" s="142"/>
      <c r="O177" s="144"/>
      <c r="P177" s="144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69"/>
      <c r="AX177" s="70"/>
    </row>
    <row r="178" spans="1:50" s="145" customFormat="1" x14ac:dyDescent="0.3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142"/>
      <c r="M178" s="142"/>
      <c r="N178" s="142"/>
      <c r="O178" s="147"/>
      <c r="P178" s="144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69"/>
      <c r="AX178" s="70"/>
    </row>
    <row r="179" spans="1:50" s="145" customFormat="1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146"/>
      <c r="M179" s="146"/>
      <c r="N179" s="146"/>
      <c r="O179" s="147"/>
      <c r="P179" s="144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69"/>
      <c r="AX179" s="70"/>
    </row>
    <row r="180" spans="1:50" s="145" customFormat="1" x14ac:dyDescent="0.3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146"/>
      <c r="M180" s="146"/>
      <c r="N180" s="146"/>
      <c r="O180" s="147"/>
      <c r="P180" s="144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69"/>
      <c r="AX180" s="70"/>
    </row>
    <row r="181" spans="1:50" s="145" customFormat="1" x14ac:dyDescent="0.3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146"/>
      <c r="M181" s="146"/>
      <c r="N181" s="146"/>
      <c r="O181" s="147"/>
      <c r="P181" s="144"/>
      <c r="Q181" s="149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69"/>
      <c r="AX181" s="70"/>
    </row>
    <row r="182" spans="1:50" s="145" customFormat="1" x14ac:dyDescent="0.3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146"/>
      <c r="M182" s="146"/>
      <c r="N182" s="146"/>
      <c r="O182" s="147"/>
      <c r="P182" s="144"/>
      <c r="Q182" s="149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69"/>
      <c r="AX182" s="70"/>
    </row>
    <row r="183" spans="1:50" s="145" customFormat="1" x14ac:dyDescent="0.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146"/>
      <c r="M183" s="146"/>
      <c r="N183" s="146"/>
      <c r="O183" s="147"/>
      <c r="P183" s="147"/>
      <c r="Q183" s="149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69"/>
      <c r="AX183" s="70"/>
    </row>
    <row r="184" spans="1:50" x14ac:dyDescent="0.3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146"/>
      <c r="M184" s="146"/>
      <c r="N184" s="146"/>
      <c r="O184" s="147"/>
      <c r="P184" s="147"/>
      <c r="Q184" s="149"/>
      <c r="AW184" s="148"/>
      <c r="AX184" s="148"/>
    </row>
    <row r="185" spans="1:50" x14ac:dyDescent="0.3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146"/>
      <c r="M185" s="146"/>
      <c r="N185" s="146"/>
      <c r="O185" s="147"/>
      <c r="P185" s="147"/>
      <c r="Q185" s="149"/>
      <c r="AW185" s="148"/>
      <c r="AX185" s="148"/>
    </row>
    <row r="186" spans="1:50" x14ac:dyDescent="0.3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146"/>
      <c r="M186" s="146"/>
      <c r="N186" s="146"/>
      <c r="O186" s="147"/>
      <c r="P186" s="147"/>
      <c r="Q186" s="149"/>
      <c r="AW186" s="148"/>
      <c r="AX186" s="148"/>
    </row>
    <row r="187" spans="1:50" x14ac:dyDescent="0.3">
      <c r="A187" s="149"/>
      <c r="B187" s="149"/>
      <c r="C187" s="149"/>
      <c r="D187" s="149"/>
      <c r="E187" s="149"/>
      <c r="F187" s="70"/>
      <c r="G187" s="70"/>
      <c r="H187" s="70"/>
      <c r="I187" s="70"/>
      <c r="J187" s="70"/>
      <c r="K187" s="70"/>
      <c r="L187" s="146"/>
      <c r="M187" s="146"/>
      <c r="N187" s="146"/>
      <c r="O187" s="147"/>
      <c r="P187" s="147"/>
      <c r="Q187" s="149"/>
      <c r="AW187" s="148"/>
      <c r="AX187" s="148"/>
    </row>
    <row r="188" spans="1:50" x14ac:dyDescent="0.3">
      <c r="A188" s="149"/>
      <c r="B188" s="149"/>
      <c r="C188" s="149"/>
      <c r="D188" s="149"/>
      <c r="E188" s="149"/>
      <c r="F188" s="149"/>
      <c r="G188" s="149"/>
      <c r="H188" s="149"/>
      <c r="I188" s="70"/>
      <c r="J188" s="70"/>
      <c r="K188" s="70"/>
      <c r="L188" s="146"/>
      <c r="M188" s="146"/>
      <c r="N188" s="146"/>
      <c r="O188" s="147"/>
      <c r="P188" s="147"/>
      <c r="Q188" s="149"/>
      <c r="AW188" s="148"/>
      <c r="AX188" s="148"/>
    </row>
    <row r="189" spans="1:50" x14ac:dyDescent="0.3">
      <c r="A189" s="149"/>
      <c r="B189" s="149"/>
      <c r="C189" s="149"/>
      <c r="D189" s="149"/>
      <c r="E189" s="149"/>
      <c r="F189" s="149"/>
      <c r="G189" s="149"/>
      <c r="H189" s="149"/>
      <c r="I189" s="149"/>
      <c r="J189" s="149"/>
      <c r="K189" s="149"/>
      <c r="L189" s="146"/>
      <c r="M189" s="146"/>
      <c r="N189" s="146"/>
      <c r="O189" s="147"/>
      <c r="P189" s="147"/>
      <c r="Q189" s="149"/>
      <c r="AW189" s="148"/>
      <c r="AX189" s="148"/>
    </row>
    <row r="190" spans="1:50" x14ac:dyDescent="0.3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6"/>
      <c r="M190" s="146"/>
      <c r="N190" s="146"/>
      <c r="O190" s="147"/>
      <c r="P190" s="147"/>
      <c r="Q190" s="149"/>
      <c r="AW190" s="148"/>
      <c r="AX190" s="148"/>
    </row>
    <row r="191" spans="1:50" x14ac:dyDescent="0.3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6"/>
      <c r="M191" s="146"/>
      <c r="N191" s="146"/>
      <c r="O191" s="147"/>
      <c r="P191" s="147"/>
      <c r="Q191" s="149"/>
      <c r="AW191" s="148"/>
      <c r="AX191" s="148"/>
    </row>
    <row r="192" spans="1:50" x14ac:dyDescent="0.3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6"/>
      <c r="M192" s="146"/>
      <c r="N192" s="146"/>
      <c r="O192" s="147"/>
      <c r="P192" s="147"/>
      <c r="Q192" s="149"/>
      <c r="AW192" s="148"/>
      <c r="AX192" s="148"/>
    </row>
    <row r="193" spans="1:50" x14ac:dyDescent="0.3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6"/>
      <c r="M193" s="146"/>
      <c r="N193" s="146"/>
      <c r="O193" s="147"/>
      <c r="P193" s="147"/>
      <c r="AW193" s="148"/>
      <c r="AX193" s="148"/>
    </row>
    <row r="194" spans="1:50" x14ac:dyDescent="0.3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6"/>
      <c r="M194" s="146"/>
      <c r="N194" s="146"/>
      <c r="O194" s="147"/>
      <c r="P194" s="147"/>
      <c r="AW194" s="148"/>
      <c r="AX194" s="148"/>
    </row>
    <row r="195" spans="1:50" x14ac:dyDescent="0.3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6"/>
      <c r="M195" s="146"/>
      <c r="N195" s="146"/>
      <c r="P195" s="147"/>
      <c r="AW195" s="148"/>
      <c r="AX195" s="148"/>
    </row>
    <row r="196" spans="1:50" x14ac:dyDescent="0.3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P196" s="147"/>
    </row>
    <row r="197" spans="1:50" x14ac:dyDescent="0.3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P197" s="147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69"/>
      <c r="AJ197" s="69"/>
      <c r="AK197" s="69"/>
      <c r="AL197" s="69"/>
      <c r="AM197" s="69"/>
      <c r="AN197" s="69"/>
      <c r="AO197" s="69"/>
      <c r="AP197" s="69"/>
      <c r="AQ197" s="69"/>
      <c r="AR197" s="69"/>
      <c r="AS197" s="69"/>
      <c r="AT197" s="69"/>
      <c r="AU197" s="69"/>
      <c r="AV197" s="69"/>
      <c r="AW197" s="148"/>
      <c r="AX197" s="148"/>
    </row>
    <row r="198" spans="1:50" x14ac:dyDescent="0.3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P198" s="147"/>
    </row>
    <row r="199" spans="1:50" x14ac:dyDescent="0.3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O199" s="148"/>
      <c r="P199" s="147"/>
    </row>
    <row r="200" spans="1:50" x14ac:dyDescent="0.3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</row>
    <row r="201" spans="1:50" x14ac:dyDescent="0.3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</row>
    <row r="202" spans="1:50" x14ac:dyDescent="0.3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</row>
    <row r="203" spans="1:50" x14ac:dyDescent="0.3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</row>
    <row r="204" spans="1:50" x14ac:dyDescent="0.3">
      <c r="F204" s="149"/>
      <c r="G204" s="149"/>
      <c r="H204" s="149"/>
      <c r="I204" s="149"/>
      <c r="J204" s="149"/>
      <c r="K204" s="149"/>
    </row>
    <row r="205" spans="1:50" x14ac:dyDescent="0.3">
      <c r="I205" s="149"/>
      <c r="J205" s="149"/>
      <c r="K205" s="149"/>
    </row>
    <row r="209" spans="12:14" x14ac:dyDescent="0.3">
      <c r="L209" s="148"/>
      <c r="M209" s="148"/>
      <c r="N209" s="148"/>
    </row>
    <row r="1048537" spans="1:61" x14ac:dyDescent="0.3">
      <c r="Q1048537" s="57"/>
    </row>
    <row r="1048541" spans="1:61" s="70" customFormat="1" x14ac:dyDescent="0.3">
      <c r="A1048541" s="148"/>
      <c r="B1048541" s="148"/>
      <c r="C1048541" s="148"/>
      <c r="D1048541" s="148"/>
      <c r="E1048541" s="148"/>
      <c r="F1048541" s="148"/>
      <c r="G1048541" s="148"/>
      <c r="H1048541" s="148"/>
      <c r="I1048541" s="148"/>
      <c r="J1048541" s="148"/>
      <c r="K1048541" s="148"/>
      <c r="L1048541" s="150"/>
      <c r="M1048541" s="150"/>
      <c r="N1048541" s="150"/>
      <c r="O1048541" s="150"/>
      <c r="P1048541" s="150"/>
      <c r="Q1048541" s="148"/>
      <c r="AW1048541" s="69"/>
      <c r="AX1048541" s="69"/>
      <c r="AY1048541" s="148"/>
      <c r="AZ1048541" s="148"/>
      <c r="BA1048541" s="148"/>
      <c r="BB1048541" s="148"/>
      <c r="BC1048541" s="148"/>
      <c r="BD1048541" s="148"/>
      <c r="BE1048541" s="148"/>
      <c r="BF1048541" s="148"/>
      <c r="BG1048541" s="148"/>
      <c r="BH1048541" s="148"/>
      <c r="BI1048541" s="148"/>
    </row>
  </sheetData>
  <mergeCells count="46">
    <mergeCell ref="O63:P63"/>
    <mergeCell ref="O75:P75"/>
    <mergeCell ref="O64:P64"/>
    <mergeCell ref="O65:P65"/>
    <mergeCell ref="O66:P66"/>
    <mergeCell ref="O67:P67"/>
    <mergeCell ref="O68:P68"/>
    <mergeCell ref="O69:P69"/>
    <mergeCell ref="O70:P70"/>
    <mergeCell ref="O71:P71"/>
    <mergeCell ref="O72:P72"/>
    <mergeCell ref="O73:P73"/>
    <mergeCell ref="O74:Q74"/>
    <mergeCell ref="O58:P58"/>
    <mergeCell ref="O59:P59"/>
    <mergeCell ref="O60:P60"/>
    <mergeCell ref="O61:P61"/>
    <mergeCell ref="O62:P62"/>
    <mergeCell ref="O53:P53"/>
    <mergeCell ref="O54:P54"/>
    <mergeCell ref="O55:P55"/>
    <mergeCell ref="O56:P56"/>
    <mergeCell ref="O57:P57"/>
    <mergeCell ref="O47:Q47"/>
    <mergeCell ref="O48:P48"/>
    <mergeCell ref="O49:P49"/>
    <mergeCell ref="O50:Q51"/>
    <mergeCell ref="O52:Q52"/>
    <mergeCell ref="E42:K42"/>
    <mergeCell ref="E43:K43"/>
    <mergeCell ref="E44:K44"/>
    <mergeCell ref="A45:K45"/>
    <mergeCell ref="A47:E47"/>
    <mergeCell ref="F47:H102"/>
    <mergeCell ref="A41:Q41"/>
    <mergeCell ref="A1:Q1"/>
    <mergeCell ref="A2:Q2"/>
    <mergeCell ref="A5:B5"/>
    <mergeCell ref="A6:Q6"/>
    <mergeCell ref="A35:B35"/>
    <mergeCell ref="A36:Q36"/>
    <mergeCell ref="E37:K37"/>
    <mergeCell ref="E38:K38"/>
    <mergeCell ref="A39:K39"/>
    <mergeCell ref="O39:Q39"/>
    <mergeCell ref="A40:O40"/>
  </mergeCells>
  <pageMargins left="0" right="0" top="0" bottom="0" header="0.31496062992125984" footer="0.31496062992125984"/>
  <pageSetup paperSize="9" scale="1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8D391-1DEC-44AF-B0EC-7BA6FBF10AFA}">
  <sheetPr>
    <pageSetUpPr fitToPage="1"/>
  </sheetPr>
  <dimension ref="A1:BI1048539"/>
  <sheetViews>
    <sheetView topLeftCell="A10" zoomScale="70" zoomScaleNormal="70" workbookViewId="0">
      <selection activeCell="A32" sqref="A32:XFD32"/>
    </sheetView>
  </sheetViews>
  <sheetFormatPr defaultColWidth="9.109375" defaultRowHeight="13.8" x14ac:dyDescent="0.3"/>
  <cols>
    <col min="1" max="1" width="52.109375" style="148" customWidth="1"/>
    <col min="2" max="2" width="11.109375" style="148" bestFit="1" customWidth="1"/>
    <col min="3" max="3" width="19" style="148" customWidth="1"/>
    <col min="4" max="4" width="19" style="148" bestFit="1" customWidth="1"/>
    <col min="5" max="5" width="17.109375" style="148" customWidth="1"/>
    <col min="6" max="6" width="19" style="148" bestFit="1" customWidth="1"/>
    <col min="7" max="7" width="16" style="148" customWidth="1"/>
    <col min="8" max="8" width="16.6640625" style="148" bestFit="1" customWidth="1"/>
    <col min="9" max="10" width="14.109375" style="148" bestFit="1" customWidth="1"/>
    <col min="11" max="11" width="15.109375" style="148" bestFit="1" customWidth="1"/>
    <col min="12" max="12" width="18.44140625" style="150" bestFit="1" customWidth="1"/>
    <col min="13" max="13" width="17.5546875" style="150" bestFit="1" customWidth="1"/>
    <col min="14" max="14" width="19" style="150" bestFit="1" customWidth="1"/>
    <col min="15" max="15" width="112.5546875" style="150" bestFit="1" customWidth="1"/>
    <col min="16" max="16" width="12" style="150" customWidth="1"/>
    <col min="17" max="17" width="18.109375" style="148" bestFit="1" customWidth="1"/>
    <col min="18" max="19" width="13.109375" style="70" bestFit="1" customWidth="1"/>
    <col min="20" max="48" width="9.109375" style="70"/>
    <col min="49" max="50" width="9.109375" style="69"/>
    <col min="51" max="16384" width="9.109375" style="148"/>
  </cols>
  <sheetData>
    <row r="1" spans="1:43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</row>
    <row r="2" spans="1:43" s="10" customFormat="1" ht="28.5" customHeight="1" x14ac:dyDescent="0.3">
      <c r="A2" s="571" t="s">
        <v>887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3"/>
    </row>
    <row r="3" spans="1:43" s="10" customFormat="1" ht="30.75" customHeight="1" x14ac:dyDescent="0.3">
      <c r="A3" s="83" t="s">
        <v>3</v>
      </c>
      <c r="B3" s="83" t="s">
        <v>0</v>
      </c>
      <c r="C3" s="83" t="s">
        <v>821</v>
      </c>
      <c r="D3" s="84" t="s">
        <v>1</v>
      </c>
      <c r="E3" s="84" t="s">
        <v>68</v>
      </c>
      <c r="F3" s="84" t="s">
        <v>69</v>
      </c>
      <c r="G3" s="85" t="s">
        <v>2</v>
      </c>
      <c r="H3" s="85" t="s">
        <v>592</v>
      </c>
      <c r="I3" s="84" t="s">
        <v>6</v>
      </c>
      <c r="J3" s="84" t="s">
        <v>764</v>
      </c>
      <c r="K3" s="84" t="s">
        <v>7</v>
      </c>
      <c r="L3" s="84" t="s">
        <v>4</v>
      </c>
      <c r="M3" s="84" t="s">
        <v>5</v>
      </c>
      <c r="N3" s="84" t="s">
        <v>70</v>
      </c>
      <c r="O3" s="83" t="s">
        <v>59</v>
      </c>
      <c r="P3" s="86" t="s">
        <v>8</v>
      </c>
      <c r="Q3" s="86" t="s">
        <v>10</v>
      </c>
    </row>
    <row r="4" spans="1:43" s="199" customFormat="1" ht="15" customHeight="1" x14ac:dyDescent="0.3">
      <c r="A4" s="193"/>
      <c r="B4" s="193"/>
      <c r="C4" s="193"/>
      <c r="D4" s="196">
        <v>0</v>
      </c>
      <c r="E4" s="196">
        <v>0</v>
      </c>
      <c r="F4" s="196">
        <f>D4-E4</f>
        <v>0</v>
      </c>
      <c r="G4" s="192">
        <v>0</v>
      </c>
      <c r="H4" s="192">
        <v>0</v>
      </c>
      <c r="I4" s="192">
        <v>0</v>
      </c>
      <c r="J4" s="192">
        <v>0</v>
      </c>
      <c r="K4" s="192">
        <v>0</v>
      </c>
      <c r="L4" s="191">
        <f>SUM(F4:K4)</f>
        <v>0</v>
      </c>
      <c r="M4" s="192">
        <f>60%*(D4+G4)</f>
        <v>0</v>
      </c>
      <c r="N4" s="192">
        <f>L4-M4</f>
        <v>0</v>
      </c>
      <c r="O4" s="193"/>
      <c r="P4" s="197"/>
      <c r="Q4" s="194"/>
      <c r="R4" s="198"/>
      <c r="S4" s="198"/>
      <c r="T4" s="198"/>
      <c r="U4" s="198"/>
      <c r="V4" s="198"/>
      <c r="W4" s="198"/>
      <c r="X4" s="198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8"/>
      <c r="AK4" s="198"/>
      <c r="AL4" s="198"/>
      <c r="AM4" s="198"/>
      <c r="AN4" s="198"/>
      <c r="AO4" s="198"/>
      <c r="AP4" s="198"/>
      <c r="AQ4" s="198"/>
    </row>
    <row r="5" spans="1:43" s="10" customFormat="1" x14ac:dyDescent="0.3">
      <c r="A5" s="518" t="s">
        <v>4</v>
      </c>
      <c r="B5" s="518"/>
      <c r="C5" s="95"/>
      <c r="D5" s="109">
        <f t="shared" ref="D5:M5" si="0">SUM(D4:D4)</f>
        <v>0</v>
      </c>
      <c r="E5" s="109">
        <f t="shared" si="0"/>
        <v>0</v>
      </c>
      <c r="F5" s="109">
        <f t="shared" si="0"/>
        <v>0</v>
      </c>
      <c r="G5" s="109">
        <f t="shared" si="0"/>
        <v>0</v>
      </c>
      <c r="H5" s="109">
        <f t="shared" si="0"/>
        <v>0</v>
      </c>
      <c r="I5" s="109">
        <f t="shared" si="0"/>
        <v>0</v>
      </c>
      <c r="J5" s="109">
        <f t="shared" si="0"/>
        <v>0</v>
      </c>
      <c r="K5" s="109">
        <f t="shared" si="0"/>
        <v>0</v>
      </c>
      <c r="L5" s="109">
        <f t="shared" si="0"/>
        <v>0</v>
      </c>
      <c r="M5" s="109">
        <f t="shared" si="0"/>
        <v>0</v>
      </c>
      <c r="N5" s="109">
        <f>SUM(N4:N4)</f>
        <v>0</v>
      </c>
      <c r="O5" s="90"/>
      <c r="P5" s="3"/>
      <c r="Q5" s="3"/>
    </row>
    <row r="6" spans="1:43" s="10" customFormat="1" ht="28.5" customHeight="1" x14ac:dyDescent="0.3">
      <c r="A6" s="571" t="s">
        <v>889</v>
      </c>
      <c r="B6" s="572"/>
      <c r="C6" s="572"/>
      <c r="D6" s="572"/>
      <c r="E6" s="572"/>
      <c r="F6" s="572"/>
      <c r="G6" s="572"/>
      <c r="H6" s="572"/>
      <c r="I6" s="572"/>
      <c r="J6" s="572"/>
      <c r="K6" s="572"/>
      <c r="L6" s="572"/>
      <c r="M6" s="572"/>
      <c r="N6" s="572"/>
      <c r="O6" s="572"/>
      <c r="P6" s="572"/>
      <c r="Q6" s="573"/>
    </row>
    <row r="7" spans="1:43" s="11" customFormat="1" ht="34.5" customHeight="1" x14ac:dyDescent="0.3">
      <c r="A7" s="83" t="s">
        <v>3</v>
      </c>
      <c r="B7" s="83" t="s">
        <v>0</v>
      </c>
      <c r="C7" s="83" t="s">
        <v>821</v>
      </c>
      <c r="D7" s="84" t="s">
        <v>1</v>
      </c>
      <c r="E7" s="84" t="s">
        <v>68</v>
      </c>
      <c r="F7" s="84" t="s">
        <v>69</v>
      </c>
      <c r="G7" s="85" t="s">
        <v>2</v>
      </c>
      <c r="H7" s="85" t="s">
        <v>592</v>
      </c>
      <c r="I7" s="84" t="s">
        <v>6</v>
      </c>
      <c r="J7" s="84" t="s">
        <v>764</v>
      </c>
      <c r="K7" s="84" t="s">
        <v>7</v>
      </c>
      <c r="L7" s="84" t="s">
        <v>4</v>
      </c>
      <c r="M7" s="84" t="s">
        <v>5</v>
      </c>
      <c r="N7" s="84" t="s">
        <v>70</v>
      </c>
      <c r="O7" s="83" t="s">
        <v>59</v>
      </c>
      <c r="P7" s="86" t="s">
        <v>8</v>
      </c>
      <c r="Q7" s="86" t="s">
        <v>10</v>
      </c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</row>
    <row r="8" spans="1:43" s="199" customFormat="1" x14ac:dyDescent="0.3">
      <c r="A8" s="195" t="s">
        <v>766</v>
      </c>
      <c r="B8" s="193">
        <v>1</v>
      </c>
      <c r="C8" s="193" t="s">
        <v>822</v>
      </c>
      <c r="D8" s="196">
        <v>0</v>
      </c>
      <c r="E8" s="192">
        <v>0</v>
      </c>
      <c r="F8" s="192">
        <f t="shared" ref="F8:F25" si="1">D8-E8</f>
        <v>0</v>
      </c>
      <c r="G8" s="196">
        <v>0</v>
      </c>
      <c r="H8" s="192">
        <f>(1541.7/27)</f>
        <v>57.1</v>
      </c>
      <c r="I8" s="192">
        <f>'GERAL 2024'!I3</f>
        <v>1.3105200945626476</v>
      </c>
      <c r="J8" s="192">
        <f>'GERAL 2024'!K3</f>
        <v>0.79837470449172576</v>
      </c>
      <c r="K8" s="192">
        <v>0</v>
      </c>
      <c r="L8" s="191">
        <f t="shared" ref="L8:L35" si="2">SUM(F8:K8)</f>
        <v>59.208894799054377</v>
      </c>
      <c r="M8" s="192">
        <f>7%*L8</f>
        <v>4.144622635933807</v>
      </c>
      <c r="N8" s="192">
        <f>L8-M8</f>
        <v>55.06427216312057</v>
      </c>
      <c r="O8" s="196" t="s">
        <v>892</v>
      </c>
      <c r="P8" s="197">
        <v>10</v>
      </c>
      <c r="Q8" s="197">
        <v>11</v>
      </c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</row>
    <row r="9" spans="1:43" s="203" customFormat="1" x14ac:dyDescent="0.3">
      <c r="A9" s="193" t="s">
        <v>758</v>
      </c>
      <c r="B9" s="194">
        <v>2</v>
      </c>
      <c r="C9" s="194" t="s">
        <v>822</v>
      </c>
      <c r="D9" s="196">
        <f>'GERAL 2022'!G4/31*20</f>
        <v>374.19354838709683</v>
      </c>
      <c r="E9" s="196">
        <v>0</v>
      </c>
      <c r="F9" s="196">
        <f t="shared" si="1"/>
        <v>374.19354838709683</v>
      </c>
      <c r="G9" s="196">
        <f>50/31*20</f>
        <v>32.258064516129032</v>
      </c>
      <c r="H9" s="192">
        <f>(1541.7/27)/31*20</f>
        <v>36.838709677419359</v>
      </c>
      <c r="I9" s="192">
        <f>'GERAL 2024'!I4/31*20</f>
        <v>0.84549683520170804</v>
      </c>
      <c r="J9" s="192">
        <f>'GERAL 2024'!K4/31*20</f>
        <v>0.51508045451079076</v>
      </c>
      <c r="K9" s="196">
        <v>0</v>
      </c>
      <c r="L9" s="191">
        <f t="shared" si="2"/>
        <v>444.6508998703577</v>
      </c>
      <c r="M9" s="192">
        <f>7%*L9</f>
        <v>31.125562990925044</v>
      </c>
      <c r="N9" s="192">
        <f t="shared" ref="N9:N34" si="3">L9-M9</f>
        <v>413.52533687943264</v>
      </c>
      <c r="O9" s="193" t="s">
        <v>900</v>
      </c>
      <c r="P9" s="197">
        <v>10</v>
      </c>
      <c r="Q9" s="197">
        <v>11</v>
      </c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G9" s="200"/>
      <c r="AH9" s="200"/>
      <c r="AI9" s="200"/>
      <c r="AJ9" s="200"/>
      <c r="AK9" s="200"/>
      <c r="AL9" s="200"/>
      <c r="AM9" s="201"/>
      <c r="AN9" s="202"/>
      <c r="AO9" s="202"/>
      <c r="AP9" s="202"/>
      <c r="AQ9" s="202"/>
    </row>
    <row r="10" spans="1:43" s="204" customFormat="1" x14ac:dyDescent="0.3">
      <c r="A10" s="193" t="s">
        <v>753</v>
      </c>
      <c r="B10" s="194">
        <v>3</v>
      </c>
      <c r="C10" s="194" t="s">
        <v>822</v>
      </c>
      <c r="D10" s="196">
        <f>'GERAL 2022'!G5</f>
        <v>550</v>
      </c>
      <c r="E10" s="196">
        <v>0</v>
      </c>
      <c r="F10" s="196">
        <f>D10-E10</f>
        <v>550</v>
      </c>
      <c r="G10" s="196">
        <v>0</v>
      </c>
      <c r="H10" s="192">
        <f t="shared" ref="H10:H35" si="4">(1541.7/27)</f>
        <v>57.1</v>
      </c>
      <c r="I10" s="192">
        <f>'GERAL 2024'!I5</f>
        <v>1.3105200945626476</v>
      </c>
      <c r="J10" s="192">
        <f>'GERAL 2024'!K5</f>
        <v>0.79837470449172576</v>
      </c>
      <c r="K10" s="196">
        <v>0</v>
      </c>
      <c r="L10" s="191">
        <f t="shared" si="2"/>
        <v>609.20889479905441</v>
      </c>
      <c r="M10" s="192">
        <f t="shared" ref="M10:M35" si="5">7%*L10</f>
        <v>42.644622635933814</v>
      </c>
      <c r="N10" s="192">
        <f t="shared" si="3"/>
        <v>566.56427216312056</v>
      </c>
      <c r="O10" s="193" t="s">
        <v>891</v>
      </c>
      <c r="P10" s="197">
        <v>10</v>
      </c>
      <c r="Q10" s="197">
        <v>11</v>
      </c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0"/>
      <c r="AM10" s="200"/>
      <c r="AN10" s="200"/>
      <c r="AO10" s="200"/>
      <c r="AP10" s="200"/>
      <c r="AQ10" s="200"/>
    </row>
    <row r="11" spans="1:43" s="199" customFormat="1" ht="15" customHeight="1" x14ac:dyDescent="0.3">
      <c r="A11" s="193" t="s">
        <v>842</v>
      </c>
      <c r="B11" s="193">
        <v>4</v>
      </c>
      <c r="C11" s="193" t="s">
        <v>832</v>
      </c>
      <c r="D11" s="196">
        <f>'GERAL 2023'!G40</f>
        <v>610</v>
      </c>
      <c r="E11" s="196">
        <v>0</v>
      </c>
      <c r="F11" s="196">
        <f>D11-E11</f>
        <v>610</v>
      </c>
      <c r="G11" s="192">
        <v>50</v>
      </c>
      <c r="H11" s="192">
        <f t="shared" si="4"/>
        <v>57.1</v>
      </c>
      <c r="I11" s="192">
        <f>'GERAL 2024'!I6</f>
        <v>1.3105200945626476</v>
      </c>
      <c r="J11" s="192">
        <f>'GERAL 2024'!K6</f>
        <v>0.79837470449172576</v>
      </c>
      <c r="K11" s="192">
        <f>'GERAL 2023'!K40</f>
        <v>19.754999999999999</v>
      </c>
      <c r="L11" s="191">
        <f t="shared" si="2"/>
        <v>738.9638947990544</v>
      </c>
      <c r="M11" s="192">
        <f>7%*L11</f>
        <v>51.727472635933815</v>
      </c>
      <c r="N11" s="192">
        <f t="shared" si="3"/>
        <v>687.23642216312055</v>
      </c>
      <c r="O11" s="193" t="s">
        <v>895</v>
      </c>
      <c r="P11" s="197">
        <v>10</v>
      </c>
      <c r="Q11" s="194">
        <v>11</v>
      </c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</row>
    <row r="12" spans="1:43" s="199" customFormat="1" x14ac:dyDescent="0.3">
      <c r="A12" s="193" t="s">
        <v>744</v>
      </c>
      <c r="B12" s="193">
        <v>5</v>
      </c>
      <c r="C12" s="209" t="s">
        <v>823</v>
      </c>
      <c r="D12" s="196">
        <f>'GERAL 2023'!G7</f>
        <v>580</v>
      </c>
      <c r="E12" s="192">
        <v>0</v>
      </c>
      <c r="F12" s="192">
        <f>D12-E12</f>
        <v>580</v>
      </c>
      <c r="G12" s="192">
        <f>50</f>
        <v>50</v>
      </c>
      <c r="H12" s="192">
        <f t="shared" si="4"/>
        <v>57.1</v>
      </c>
      <c r="I12" s="192">
        <f>'GERAL 2024'!I7</f>
        <v>1.3105200945626476</v>
      </c>
      <c r="J12" s="192">
        <f>'GERAL 2024'!K7</f>
        <v>0.79837470449172576</v>
      </c>
      <c r="K12" s="192">
        <v>21.09</v>
      </c>
      <c r="L12" s="191">
        <f t="shared" si="2"/>
        <v>710.29889479905444</v>
      </c>
      <c r="M12" s="192">
        <f>7%*L12</f>
        <v>49.720922635933817</v>
      </c>
      <c r="N12" s="192">
        <f t="shared" si="3"/>
        <v>660.57797216312065</v>
      </c>
      <c r="O12" s="193" t="s">
        <v>896</v>
      </c>
      <c r="P12" s="197">
        <v>10</v>
      </c>
      <c r="Q12" s="197">
        <v>11</v>
      </c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</row>
    <row r="13" spans="1:43" s="206" customFormat="1" x14ac:dyDescent="0.3">
      <c r="A13" s="193" t="s">
        <v>745</v>
      </c>
      <c r="B13" s="193">
        <v>6</v>
      </c>
      <c r="C13" s="209" t="s">
        <v>823</v>
      </c>
      <c r="D13" s="196">
        <f>'GERAL 2023'!G8</f>
        <v>680</v>
      </c>
      <c r="E13" s="196">
        <v>0</v>
      </c>
      <c r="F13" s="192">
        <f>D13-E13</f>
        <v>680</v>
      </c>
      <c r="G13" s="192">
        <v>50</v>
      </c>
      <c r="H13" s="192">
        <f t="shared" si="4"/>
        <v>57.1</v>
      </c>
      <c r="I13" s="192">
        <f>'GERAL 2024'!I8</f>
        <v>1.8347281323877069</v>
      </c>
      <c r="J13" s="192">
        <f>'GERAL 2024'!K8</f>
        <v>1.1177245862884162</v>
      </c>
      <c r="K13" s="192">
        <v>21.31</v>
      </c>
      <c r="L13" s="191">
        <f t="shared" si="2"/>
        <v>811.36245271867608</v>
      </c>
      <c r="M13" s="192">
        <f t="shared" si="5"/>
        <v>56.795371690307334</v>
      </c>
      <c r="N13" s="192">
        <f>L13-M13</f>
        <v>754.56708102836876</v>
      </c>
      <c r="O13" s="193" t="s">
        <v>896</v>
      </c>
      <c r="P13" s="197">
        <v>10</v>
      </c>
      <c r="Q13" s="197">
        <v>11</v>
      </c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</row>
    <row r="14" spans="1:43" s="199" customFormat="1" x14ac:dyDescent="0.3">
      <c r="A14" s="193" t="s">
        <v>791</v>
      </c>
      <c r="B14" s="193">
        <v>7</v>
      </c>
      <c r="C14" s="193" t="s">
        <v>822</v>
      </c>
      <c r="D14" s="196">
        <f>'GERAL 2023'!G35</f>
        <v>610</v>
      </c>
      <c r="E14" s="192">
        <v>0</v>
      </c>
      <c r="F14" s="196">
        <f>D14-E14</f>
        <v>610</v>
      </c>
      <c r="G14" s="192">
        <v>50</v>
      </c>
      <c r="H14" s="192">
        <f t="shared" si="4"/>
        <v>57.1</v>
      </c>
      <c r="I14" s="192">
        <f>'GERAL 2024'!I9</f>
        <v>1.3105200945626476</v>
      </c>
      <c r="J14" s="192">
        <f>'GERAL 2024'!K9</f>
        <v>0.79837470449172576</v>
      </c>
      <c r="K14" s="192">
        <v>0</v>
      </c>
      <c r="L14" s="191">
        <f t="shared" si="2"/>
        <v>719.20889479905441</v>
      </c>
      <c r="M14" s="192">
        <f t="shared" si="5"/>
        <v>50.34462263593381</v>
      </c>
      <c r="N14" s="192">
        <f t="shared" si="3"/>
        <v>668.86427216312063</v>
      </c>
      <c r="O14" s="193" t="s">
        <v>891</v>
      </c>
      <c r="P14" s="197">
        <v>10</v>
      </c>
      <c r="Q14" s="197">
        <v>11</v>
      </c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</row>
    <row r="15" spans="1:43" s="199" customFormat="1" x14ac:dyDescent="0.3">
      <c r="A15" s="193" t="s">
        <v>746</v>
      </c>
      <c r="B15" s="193">
        <v>8</v>
      </c>
      <c r="C15" s="193" t="s">
        <v>824</v>
      </c>
      <c r="D15" s="196">
        <f>'GERAL 2022'!G37</f>
        <v>580</v>
      </c>
      <c r="E15" s="192">
        <v>0</v>
      </c>
      <c r="F15" s="196">
        <f t="shared" si="1"/>
        <v>580</v>
      </c>
      <c r="G15" s="192">
        <v>50</v>
      </c>
      <c r="H15" s="192">
        <f t="shared" si="4"/>
        <v>57.1</v>
      </c>
      <c r="I15" s="192">
        <f>'GERAL 2024'!I10</f>
        <v>1.3105200945626476</v>
      </c>
      <c r="J15" s="192">
        <f>'GERAL 2024'!K10</f>
        <v>0.79837470449172576</v>
      </c>
      <c r="K15" s="192">
        <v>19.7</v>
      </c>
      <c r="L15" s="191">
        <f t="shared" si="2"/>
        <v>708.90889479905445</v>
      </c>
      <c r="M15" s="192">
        <f t="shared" si="5"/>
        <v>49.623622635933813</v>
      </c>
      <c r="N15" s="192">
        <f t="shared" si="3"/>
        <v>659.28527216312068</v>
      </c>
      <c r="O15" s="193" t="s">
        <v>897</v>
      </c>
      <c r="P15" s="207">
        <v>10</v>
      </c>
      <c r="Q15" s="197">
        <v>11</v>
      </c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</row>
    <row r="16" spans="1:43" s="199" customFormat="1" x14ac:dyDescent="0.3">
      <c r="A16" s="193" t="s">
        <v>852</v>
      </c>
      <c r="B16" s="193">
        <v>9</v>
      </c>
      <c r="C16" s="193" t="s">
        <v>828</v>
      </c>
      <c r="D16" s="196">
        <f>'GERAL 2024'!G11</f>
        <v>640</v>
      </c>
      <c r="E16" s="192">
        <v>0</v>
      </c>
      <c r="F16" s="196">
        <f t="shared" si="1"/>
        <v>640</v>
      </c>
      <c r="G16" s="192">
        <v>0</v>
      </c>
      <c r="H16" s="192">
        <f>(1541.7/27)</f>
        <v>57.1</v>
      </c>
      <c r="I16" s="192">
        <f>'GERAL 2024'!I11</f>
        <v>1.3105200945626476</v>
      </c>
      <c r="J16" s="192">
        <f>'GERAL 2024'!K11</f>
        <v>0.79837470449172576</v>
      </c>
      <c r="K16" s="192">
        <v>19.809999999999999</v>
      </c>
      <c r="L16" s="191">
        <f t="shared" si="2"/>
        <v>719.01889479905435</v>
      </c>
      <c r="M16" s="192">
        <f>7%*L16</f>
        <v>50.331322635933809</v>
      </c>
      <c r="N16" s="192">
        <f>L16-M16</f>
        <v>668.68757216312054</v>
      </c>
      <c r="O16" s="193" t="s">
        <v>890</v>
      </c>
      <c r="P16" s="207">
        <v>10</v>
      </c>
      <c r="Q16" s="197">
        <v>11</v>
      </c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  <c r="AQ16" s="198"/>
    </row>
    <row r="17" spans="1:48" s="148" customFormat="1" x14ac:dyDescent="0.3">
      <c r="A17" s="194" t="s">
        <v>739</v>
      </c>
      <c r="B17" s="194">
        <v>10</v>
      </c>
      <c r="C17" s="194" t="s">
        <v>825</v>
      </c>
      <c r="D17" s="196">
        <f>'GERAL 2022'!G38</f>
        <v>550</v>
      </c>
      <c r="E17" s="192">
        <v>0</v>
      </c>
      <c r="F17" s="196">
        <f t="shared" si="1"/>
        <v>550</v>
      </c>
      <c r="G17" s="192">
        <v>50</v>
      </c>
      <c r="H17" s="192">
        <f t="shared" si="4"/>
        <v>57.1</v>
      </c>
      <c r="I17" s="192">
        <f>'GERAL 2024'!I12</f>
        <v>1.3105200945626476</v>
      </c>
      <c r="J17" s="192">
        <f>'GERAL 2024'!K12</f>
        <v>0.79837470449172576</v>
      </c>
      <c r="K17" s="192">
        <v>0</v>
      </c>
      <c r="L17" s="191">
        <f t="shared" si="2"/>
        <v>659.20889479905441</v>
      </c>
      <c r="M17" s="192">
        <f t="shared" si="5"/>
        <v>46.144622635933814</v>
      </c>
      <c r="N17" s="192">
        <f t="shared" si="3"/>
        <v>613.06427216312056</v>
      </c>
      <c r="O17" s="193" t="s">
        <v>891</v>
      </c>
      <c r="P17" s="197">
        <v>10</v>
      </c>
      <c r="Q17" s="194">
        <v>11</v>
      </c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208"/>
      <c r="AD17" s="208"/>
      <c r="AE17" s="208"/>
      <c r="AF17" s="208"/>
      <c r="AG17" s="208"/>
      <c r="AH17" s="208"/>
      <c r="AI17" s="208"/>
      <c r="AJ17" s="208"/>
      <c r="AK17" s="208"/>
      <c r="AL17" s="208"/>
      <c r="AM17" s="208"/>
      <c r="AN17" s="208"/>
      <c r="AO17" s="208"/>
      <c r="AP17" s="208"/>
      <c r="AQ17" s="208"/>
      <c r="AR17" s="208"/>
      <c r="AS17" s="208"/>
      <c r="AT17" s="208"/>
      <c r="AU17" s="208"/>
      <c r="AV17" s="208"/>
    </row>
    <row r="18" spans="1:48" s="148" customFormat="1" ht="15.75" customHeight="1" x14ac:dyDescent="0.3">
      <c r="A18" s="194"/>
      <c r="B18" s="194">
        <v>11</v>
      </c>
      <c r="C18" s="194"/>
      <c r="D18" s="192">
        <v>0</v>
      </c>
      <c r="E18" s="192">
        <v>0</v>
      </c>
      <c r="F18" s="196">
        <f t="shared" si="1"/>
        <v>0</v>
      </c>
      <c r="G18" s="192">
        <v>0</v>
      </c>
      <c r="H18" s="192">
        <f t="shared" si="4"/>
        <v>57.1</v>
      </c>
      <c r="I18" s="192">
        <v>0</v>
      </c>
      <c r="J18" s="192">
        <v>0</v>
      </c>
      <c r="K18" s="192">
        <v>0</v>
      </c>
      <c r="L18" s="191">
        <f t="shared" si="2"/>
        <v>57.1</v>
      </c>
      <c r="M18" s="192">
        <f>7%*L18</f>
        <v>3.9970000000000003</v>
      </c>
      <c r="N18" s="192">
        <f t="shared" si="3"/>
        <v>53.103000000000002</v>
      </c>
      <c r="O18" s="196" t="s">
        <v>904</v>
      </c>
      <c r="P18" s="197"/>
      <c r="Q18" s="194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  <c r="AI18" s="208"/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  <c r="AT18" s="208"/>
      <c r="AU18" s="208"/>
      <c r="AV18" s="208"/>
    </row>
    <row r="19" spans="1:48" s="199" customFormat="1" x14ac:dyDescent="0.3">
      <c r="A19" s="193" t="s">
        <v>826</v>
      </c>
      <c r="B19" s="193">
        <v>12</v>
      </c>
      <c r="C19" s="193" t="s">
        <v>825</v>
      </c>
      <c r="D19" s="196">
        <f>'GERAL 2022'!G14/31*19</f>
        <v>337.09677419354841</v>
      </c>
      <c r="E19" s="192">
        <v>0</v>
      </c>
      <c r="F19" s="196">
        <f t="shared" si="1"/>
        <v>337.09677419354841</v>
      </c>
      <c r="G19" s="196">
        <f>25/31*19</f>
        <v>15.32258064516129</v>
      </c>
      <c r="H19" s="192">
        <f>(1541.7/27)/31*19</f>
        <v>34.99677419354839</v>
      </c>
      <c r="I19" s="192">
        <f>'GERAL 2024'!I14/31*19</f>
        <v>0.80322199344162271</v>
      </c>
      <c r="J19" s="192">
        <f>'GERAL 2024'!K14/31*19</f>
        <v>0.48932643178525126</v>
      </c>
      <c r="K19" s="196">
        <v>0</v>
      </c>
      <c r="L19" s="191">
        <f t="shared" si="2"/>
        <v>388.70867745748495</v>
      </c>
      <c r="M19" s="192">
        <f t="shared" si="5"/>
        <v>27.20960742202395</v>
      </c>
      <c r="N19" s="192">
        <f t="shared" si="3"/>
        <v>361.49907003546099</v>
      </c>
      <c r="O19" s="193" t="s">
        <v>901</v>
      </c>
      <c r="P19" s="197">
        <v>10</v>
      </c>
      <c r="Q19" s="197">
        <v>11</v>
      </c>
      <c r="R19" s="198"/>
      <c r="S19" s="198"/>
      <c r="T19" s="198"/>
      <c r="U19" s="198"/>
      <c r="V19" s="198"/>
      <c r="W19" s="198"/>
      <c r="X19" s="198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198"/>
      <c r="AN19" s="198"/>
      <c r="AO19" s="198"/>
      <c r="AP19" s="198"/>
      <c r="AQ19" s="198"/>
    </row>
    <row r="20" spans="1:48" s="206" customFormat="1" ht="16.5" customHeight="1" x14ac:dyDescent="0.3">
      <c r="A20" s="193" t="s">
        <v>756</v>
      </c>
      <c r="B20" s="193">
        <v>13</v>
      </c>
      <c r="C20" s="193" t="s">
        <v>827</v>
      </c>
      <c r="D20" s="196">
        <f>'GERAL 2022'!G15</f>
        <v>550</v>
      </c>
      <c r="E20" s="196">
        <v>0</v>
      </c>
      <c r="F20" s="196">
        <f t="shared" si="1"/>
        <v>550</v>
      </c>
      <c r="G20" s="192">
        <v>0</v>
      </c>
      <c r="H20" s="192">
        <f t="shared" si="4"/>
        <v>57.1</v>
      </c>
      <c r="I20" s="192">
        <f>'GERAL 2024'!I15</f>
        <v>1.3105200945626476</v>
      </c>
      <c r="J20" s="192">
        <f>'GERAL 2024'!K15</f>
        <v>0.79837470449172576</v>
      </c>
      <c r="K20" s="192">
        <v>0</v>
      </c>
      <c r="L20" s="191">
        <f t="shared" si="2"/>
        <v>609.20889479905441</v>
      </c>
      <c r="M20" s="192">
        <f t="shared" si="5"/>
        <v>42.644622635933814</v>
      </c>
      <c r="N20" s="192">
        <f t="shared" si="3"/>
        <v>566.56427216312056</v>
      </c>
      <c r="O20" s="193" t="s">
        <v>891</v>
      </c>
      <c r="P20" s="197">
        <v>10</v>
      </c>
      <c r="Q20" s="197">
        <v>11</v>
      </c>
      <c r="R20" s="205"/>
      <c r="S20" s="205"/>
      <c r="T20" s="205"/>
      <c r="U20" s="205"/>
      <c r="V20" s="205"/>
      <c r="W20" s="205"/>
      <c r="X20" s="205"/>
      <c r="Y20" s="205"/>
      <c r="Z20" s="205"/>
      <c r="AA20" s="205"/>
      <c r="AB20" s="205"/>
      <c r="AC20" s="205"/>
      <c r="AD20" s="205"/>
      <c r="AE20" s="205"/>
      <c r="AF20" s="205"/>
      <c r="AG20" s="205"/>
      <c r="AH20" s="205"/>
      <c r="AI20" s="205"/>
      <c r="AJ20" s="205"/>
      <c r="AK20" s="205"/>
      <c r="AL20" s="205"/>
      <c r="AM20" s="205"/>
      <c r="AN20" s="205"/>
      <c r="AO20" s="205"/>
      <c r="AP20" s="205"/>
      <c r="AQ20" s="205"/>
    </row>
    <row r="21" spans="1:48" s="148" customFormat="1" x14ac:dyDescent="0.3">
      <c r="A21" s="194" t="s">
        <v>747</v>
      </c>
      <c r="B21" s="194">
        <v>14</v>
      </c>
      <c r="C21" s="193" t="s">
        <v>832</v>
      </c>
      <c r="D21" s="196">
        <f>'GERAL 2022'!G39</f>
        <v>580</v>
      </c>
      <c r="E21" s="192">
        <v>0</v>
      </c>
      <c r="F21" s="196">
        <f t="shared" si="1"/>
        <v>580</v>
      </c>
      <c r="G21" s="192">
        <f>50</f>
        <v>50</v>
      </c>
      <c r="H21" s="192">
        <f t="shared" si="4"/>
        <v>57.1</v>
      </c>
      <c r="I21" s="192">
        <f>'GERAL 2024'!I16</f>
        <v>1.3105200945626476</v>
      </c>
      <c r="J21" s="192">
        <f>'GERAL 2024'!K16</f>
        <v>0.79837470449172576</v>
      </c>
      <c r="K21" s="192">
        <f>'GERAL 2023'!K16</f>
        <v>19.696666666666669</v>
      </c>
      <c r="L21" s="191">
        <f t="shared" si="2"/>
        <v>708.90556146572112</v>
      </c>
      <c r="M21" s="192">
        <f t="shared" si="5"/>
        <v>49.623389302600486</v>
      </c>
      <c r="N21" s="192">
        <f t="shared" si="3"/>
        <v>659.28217216312066</v>
      </c>
      <c r="O21" s="193" t="s">
        <v>895</v>
      </c>
      <c r="P21" s="197">
        <v>10</v>
      </c>
      <c r="Q21" s="194">
        <v>11</v>
      </c>
      <c r="R21" s="208"/>
      <c r="S21" s="208"/>
      <c r="T21" s="208"/>
      <c r="U21" s="208"/>
      <c r="V21" s="208"/>
      <c r="W21" s="208"/>
      <c r="X21" s="208"/>
      <c r="Y21" s="208"/>
      <c r="Z21" s="208"/>
      <c r="AA21" s="208"/>
      <c r="AB21" s="208"/>
      <c r="AC21" s="208"/>
      <c r="AD21" s="208"/>
      <c r="AE21" s="208"/>
      <c r="AF21" s="208"/>
      <c r="AG21" s="208"/>
      <c r="AH21" s="208"/>
      <c r="AI21" s="208"/>
      <c r="AJ21" s="208"/>
      <c r="AK21" s="208"/>
      <c r="AL21" s="208"/>
      <c r="AM21" s="208"/>
      <c r="AN21" s="208"/>
      <c r="AO21" s="208"/>
      <c r="AP21" s="208"/>
      <c r="AQ21" s="208"/>
      <c r="AR21" s="208"/>
      <c r="AS21" s="208"/>
      <c r="AT21" s="208"/>
      <c r="AU21" s="208"/>
      <c r="AV21" s="208"/>
    </row>
    <row r="22" spans="1:48" s="204" customFormat="1" x14ac:dyDescent="0.3">
      <c r="A22" s="193" t="s">
        <v>748</v>
      </c>
      <c r="B22" s="193">
        <v>15</v>
      </c>
      <c r="C22" s="193" t="s">
        <v>827</v>
      </c>
      <c r="D22" s="196">
        <f>'GERAL 2023'!G36</f>
        <v>680</v>
      </c>
      <c r="E22" s="192">
        <v>0</v>
      </c>
      <c r="F22" s="196">
        <f t="shared" si="1"/>
        <v>680</v>
      </c>
      <c r="G22" s="192">
        <v>25</v>
      </c>
      <c r="H22" s="192">
        <f t="shared" si="4"/>
        <v>57.1</v>
      </c>
      <c r="I22" s="192">
        <f>'GERAL 2024'!I17</f>
        <v>1.8347281323877069</v>
      </c>
      <c r="J22" s="192">
        <f>'GERAL 2024'!K17</f>
        <v>1.1177245862884162</v>
      </c>
      <c r="K22" s="192">
        <v>0</v>
      </c>
      <c r="L22" s="191">
        <f t="shared" si="2"/>
        <v>765.05245271867614</v>
      </c>
      <c r="M22" s="192">
        <f t="shared" si="5"/>
        <v>53.553671690307333</v>
      </c>
      <c r="N22" s="192">
        <f t="shared" si="3"/>
        <v>711.49878102836885</v>
      </c>
      <c r="O22" s="193" t="s">
        <v>891</v>
      </c>
      <c r="P22" s="197">
        <v>10</v>
      </c>
      <c r="Q22" s="194">
        <v>11</v>
      </c>
      <c r="R22" s="200"/>
      <c r="S22" s="200"/>
      <c r="T22" s="200"/>
      <c r="U22" s="200"/>
      <c r="V22" s="200"/>
      <c r="W22" s="200"/>
      <c r="X22" s="200"/>
      <c r="Y22" s="200"/>
      <c r="Z22" s="200"/>
    </row>
    <row r="23" spans="1:48" s="206" customFormat="1" x14ac:dyDescent="0.3">
      <c r="A23" s="226" t="s">
        <v>894</v>
      </c>
      <c r="B23" s="197">
        <v>16</v>
      </c>
      <c r="C23" s="209" t="s">
        <v>823</v>
      </c>
      <c r="D23" s="196">
        <f>'GERAL 2024'!G34/31*2</f>
        <v>41.29032258064516</v>
      </c>
      <c r="E23" s="192">
        <v>0</v>
      </c>
      <c r="F23" s="196">
        <f>D23-E23</f>
        <v>41.29032258064516</v>
      </c>
      <c r="G23" s="192">
        <f>50/31*2</f>
        <v>3.225806451612903</v>
      </c>
      <c r="H23" s="192">
        <f>(1541.7/27)/31*2</f>
        <v>3.6838709677419357</v>
      </c>
      <c r="I23" s="192">
        <f>'GERAL 2024'!I35/31*2</f>
        <v>8.454968352017081E-2</v>
      </c>
      <c r="J23" s="192">
        <f>'GERAL 2024'!K35/31*2</f>
        <v>5.1508045451079079E-2</v>
      </c>
      <c r="K23" s="192">
        <v>21.18</v>
      </c>
      <c r="L23" s="191">
        <f t="shared" si="2"/>
        <v>69.516057728971248</v>
      </c>
      <c r="M23" s="192">
        <f t="shared" si="5"/>
        <v>4.8661240410279882</v>
      </c>
      <c r="N23" s="192">
        <f t="shared" si="3"/>
        <v>64.64993368794326</v>
      </c>
      <c r="O23" s="193" t="s">
        <v>907</v>
      </c>
      <c r="P23" s="197">
        <v>10</v>
      </c>
      <c r="Q23" s="197">
        <v>11</v>
      </c>
      <c r="R23" s="205"/>
      <c r="S23" s="205"/>
      <c r="T23" s="205"/>
      <c r="U23" s="205"/>
      <c r="V23" s="205"/>
      <c r="W23" s="205"/>
      <c r="X23" s="205"/>
      <c r="Y23" s="205"/>
      <c r="Z23" s="205"/>
      <c r="AA23" s="205"/>
      <c r="AB23" s="205"/>
      <c r="AC23" s="205"/>
      <c r="AD23" s="205"/>
      <c r="AE23" s="205"/>
      <c r="AF23" s="205"/>
      <c r="AG23" s="205"/>
      <c r="AH23" s="205"/>
      <c r="AI23" s="205"/>
      <c r="AJ23" s="205"/>
      <c r="AK23" s="205"/>
      <c r="AL23" s="205"/>
      <c r="AM23" s="205"/>
      <c r="AN23" s="205"/>
      <c r="AO23" s="205"/>
      <c r="AP23" s="205"/>
      <c r="AQ23" s="205"/>
    </row>
    <row r="24" spans="1:48" s="206" customFormat="1" x14ac:dyDescent="0.3">
      <c r="A24" s="195" t="s">
        <v>741</v>
      </c>
      <c r="B24" s="195">
        <v>17</v>
      </c>
      <c r="C24" s="195" t="s">
        <v>825</v>
      </c>
      <c r="D24" s="196">
        <f>'GERAL 2022'!G41/31*2</f>
        <v>37.41935483870968</v>
      </c>
      <c r="E24" s="192">
        <v>0</v>
      </c>
      <c r="F24" s="196">
        <f t="shared" si="1"/>
        <v>37.41935483870968</v>
      </c>
      <c r="G24" s="192">
        <v>0</v>
      </c>
      <c r="H24" s="192">
        <f>(1541.7/27)/31*2</f>
        <v>3.6838709677419357</v>
      </c>
      <c r="I24" s="192">
        <f>'GERAL 2024'!I19/31*2</f>
        <v>8.454968352017081E-2</v>
      </c>
      <c r="J24" s="192">
        <f>'GERAL 2024'!K19/31*2</f>
        <v>5.1508045451079079E-2</v>
      </c>
      <c r="K24" s="192">
        <v>0</v>
      </c>
      <c r="L24" s="191">
        <f t="shared" si="2"/>
        <v>41.239283535422871</v>
      </c>
      <c r="M24" s="192">
        <f t="shared" si="5"/>
        <v>2.8867498474796012</v>
      </c>
      <c r="N24" s="192">
        <f t="shared" si="3"/>
        <v>38.352533687943271</v>
      </c>
      <c r="O24" s="196" t="s">
        <v>899</v>
      </c>
      <c r="P24" s="197">
        <v>10</v>
      </c>
      <c r="Q24" s="197">
        <v>11</v>
      </c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  <c r="AP24" s="205"/>
      <c r="AQ24" s="205"/>
    </row>
    <row r="25" spans="1:48" s="206" customFormat="1" x14ac:dyDescent="0.3">
      <c r="A25" s="227" t="s">
        <v>902</v>
      </c>
      <c r="B25" s="195">
        <v>17</v>
      </c>
      <c r="C25" s="227" t="s">
        <v>823</v>
      </c>
      <c r="D25" s="196">
        <f>'GERAL 2024'!G35/31*13</f>
        <v>268.38709677419354</v>
      </c>
      <c r="E25" s="192">
        <v>0</v>
      </c>
      <c r="F25" s="196">
        <f t="shared" si="1"/>
        <v>268.38709677419354</v>
      </c>
      <c r="G25" s="192">
        <f>50/31*13</f>
        <v>20.967741935483868</v>
      </c>
      <c r="H25" s="192">
        <f>(1541.7/27)/31*13</f>
        <v>23.945161290322581</v>
      </c>
      <c r="I25" s="192">
        <f>'GERAL 2024'!I35/31*13</f>
        <v>0.54957294288111025</v>
      </c>
      <c r="J25" s="192">
        <f>'GERAL 2024'!K35/31*13</f>
        <v>0.33480229543201401</v>
      </c>
      <c r="K25" s="192">
        <v>21.18</v>
      </c>
      <c r="L25" s="191">
        <f t="shared" si="2"/>
        <v>335.36437523831313</v>
      </c>
      <c r="M25" s="192">
        <f>7%*L25</f>
        <v>23.475506266681922</v>
      </c>
      <c r="N25" s="192">
        <f>L25-M25</f>
        <v>311.88886897163121</v>
      </c>
      <c r="O25" s="196" t="s">
        <v>903</v>
      </c>
      <c r="P25" s="197">
        <v>10</v>
      </c>
      <c r="Q25" s="197">
        <v>11</v>
      </c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  <c r="AQ25" s="205"/>
    </row>
    <row r="26" spans="1:48" s="206" customFormat="1" x14ac:dyDescent="0.3">
      <c r="A26" s="195" t="s">
        <v>749</v>
      </c>
      <c r="B26" s="193">
        <v>18</v>
      </c>
      <c r="C26" s="193" t="s">
        <v>830</v>
      </c>
      <c r="D26" s="196">
        <f>'GERAL 2023'!G20</f>
        <v>640</v>
      </c>
      <c r="E26" s="192">
        <v>0</v>
      </c>
      <c r="F26" s="196">
        <f>D26-E26</f>
        <v>640</v>
      </c>
      <c r="G26" s="192">
        <v>50</v>
      </c>
      <c r="H26" s="192">
        <f t="shared" si="4"/>
        <v>57.1</v>
      </c>
      <c r="I26" s="192">
        <f>'GERAL 2024'!I20</f>
        <v>1.3105200945626476</v>
      </c>
      <c r="J26" s="192">
        <f>'GERAL 2024'!K20</f>
        <v>0.79837470449172576</v>
      </c>
      <c r="K26" s="192">
        <v>19.809999999999999</v>
      </c>
      <c r="L26" s="191">
        <f t="shared" si="2"/>
        <v>769.01889479905435</v>
      </c>
      <c r="M26" s="192">
        <f t="shared" si="5"/>
        <v>53.831322635933809</v>
      </c>
      <c r="N26" s="192">
        <f t="shared" si="3"/>
        <v>715.18757216312054</v>
      </c>
      <c r="O26" s="193" t="s">
        <v>898</v>
      </c>
      <c r="P26" s="197">
        <v>10</v>
      </c>
      <c r="Q26" s="197">
        <v>11</v>
      </c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  <c r="AQ26" s="205"/>
    </row>
    <row r="27" spans="1:48" s="206" customFormat="1" x14ac:dyDescent="0.3">
      <c r="A27" s="193" t="s">
        <v>738</v>
      </c>
      <c r="B27" s="193">
        <v>19</v>
      </c>
      <c r="C27" s="193" t="s">
        <v>825</v>
      </c>
      <c r="D27" s="196">
        <f>'GERAL 2023'!G38</f>
        <v>610</v>
      </c>
      <c r="E27" s="192">
        <v>0</v>
      </c>
      <c r="F27" s="196">
        <f>(D27-E27)</f>
        <v>610</v>
      </c>
      <c r="G27" s="192">
        <v>25</v>
      </c>
      <c r="H27" s="192">
        <f t="shared" si="4"/>
        <v>57.1</v>
      </c>
      <c r="I27" s="192">
        <f>'GERAL 2024'!I21</f>
        <v>1.3105200945626476</v>
      </c>
      <c r="J27" s="192">
        <f>'GERAL 2024'!K21</f>
        <v>0.79837470449172576</v>
      </c>
      <c r="K27" s="192">
        <v>0</v>
      </c>
      <c r="L27" s="191">
        <f t="shared" si="2"/>
        <v>694.20889479905441</v>
      </c>
      <c r="M27" s="192">
        <f t="shared" si="5"/>
        <v>48.59462263593381</v>
      </c>
      <c r="N27" s="192">
        <f t="shared" si="3"/>
        <v>645.61427216312063</v>
      </c>
      <c r="O27" s="193" t="s">
        <v>891</v>
      </c>
      <c r="P27" s="197">
        <v>10</v>
      </c>
      <c r="Q27" s="197">
        <v>11</v>
      </c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  <c r="AQ27" s="205"/>
    </row>
    <row r="28" spans="1:48" s="206" customFormat="1" x14ac:dyDescent="0.3">
      <c r="A28" s="195"/>
      <c r="B28" s="193">
        <v>20</v>
      </c>
      <c r="C28" s="193"/>
      <c r="D28" s="196">
        <v>0</v>
      </c>
      <c r="E28" s="192">
        <v>0</v>
      </c>
      <c r="F28" s="196">
        <f t="shared" ref="F28:F35" si="6">D28-E28</f>
        <v>0</v>
      </c>
      <c r="G28" s="192">
        <v>0</v>
      </c>
      <c r="H28" s="192">
        <v>0</v>
      </c>
      <c r="I28" s="192">
        <v>0</v>
      </c>
      <c r="J28" s="192">
        <v>0</v>
      </c>
      <c r="K28" s="192">
        <v>0</v>
      </c>
      <c r="L28" s="191">
        <f t="shared" si="2"/>
        <v>0</v>
      </c>
      <c r="M28" s="192">
        <f t="shared" si="5"/>
        <v>0</v>
      </c>
      <c r="N28" s="192">
        <f t="shared" si="3"/>
        <v>0</v>
      </c>
      <c r="O28" s="193" t="s">
        <v>525</v>
      </c>
      <c r="P28" s="207"/>
      <c r="Q28" s="197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  <c r="AQ28" s="205"/>
    </row>
    <row r="29" spans="1:48" s="206" customFormat="1" x14ac:dyDescent="0.3">
      <c r="A29" s="195" t="s">
        <v>788</v>
      </c>
      <c r="B29" s="193">
        <v>21</v>
      </c>
      <c r="C29" s="193" t="s">
        <v>822</v>
      </c>
      <c r="D29" s="196">
        <f>'GERAL 2023'!G39</f>
        <v>580</v>
      </c>
      <c r="E29" s="192">
        <v>0</v>
      </c>
      <c r="F29" s="196">
        <f t="shared" si="6"/>
        <v>580</v>
      </c>
      <c r="G29" s="192">
        <v>25</v>
      </c>
      <c r="H29" s="192">
        <f t="shared" si="4"/>
        <v>57.1</v>
      </c>
      <c r="I29" s="192">
        <f>'GERAL 2024'!I23</f>
        <v>1.3105200945626476</v>
      </c>
      <c r="J29" s="192">
        <f>'GERAL 2024'!K23</f>
        <v>0.79837470449172576</v>
      </c>
      <c r="K29" s="192">
        <v>0</v>
      </c>
      <c r="L29" s="191">
        <f t="shared" si="2"/>
        <v>664.20889479905441</v>
      </c>
      <c r="M29" s="192">
        <f t="shared" si="5"/>
        <v>46.494622635933816</v>
      </c>
      <c r="N29" s="192">
        <f t="shared" si="3"/>
        <v>617.71427216312054</v>
      </c>
      <c r="O29" s="193" t="s">
        <v>891</v>
      </c>
      <c r="P29" s="207">
        <v>10</v>
      </c>
      <c r="Q29" s="197">
        <v>11</v>
      </c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  <c r="AQ29" s="205"/>
    </row>
    <row r="30" spans="1:48" s="206" customFormat="1" x14ac:dyDescent="0.3">
      <c r="A30" s="195"/>
      <c r="B30" s="193">
        <v>22</v>
      </c>
      <c r="C30" s="193"/>
      <c r="D30" s="196">
        <v>0</v>
      </c>
      <c r="E30" s="192">
        <v>0</v>
      </c>
      <c r="F30" s="196">
        <f t="shared" si="6"/>
        <v>0</v>
      </c>
      <c r="G30" s="192">
        <v>0</v>
      </c>
      <c r="H30" s="192">
        <v>0</v>
      </c>
      <c r="I30" s="192">
        <v>0</v>
      </c>
      <c r="J30" s="192">
        <v>0</v>
      </c>
      <c r="K30" s="192">
        <v>0</v>
      </c>
      <c r="L30" s="191">
        <f t="shared" si="2"/>
        <v>0</v>
      </c>
      <c r="M30" s="192">
        <f t="shared" si="5"/>
        <v>0</v>
      </c>
      <c r="N30" s="192">
        <f t="shared" si="3"/>
        <v>0</v>
      </c>
      <c r="O30" s="193" t="s">
        <v>525</v>
      </c>
      <c r="P30" s="207"/>
      <c r="Q30" s="197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  <c r="AQ30" s="205"/>
    </row>
    <row r="31" spans="1:48" s="206" customFormat="1" x14ac:dyDescent="0.3">
      <c r="A31" s="195" t="s">
        <v>750</v>
      </c>
      <c r="B31" s="193">
        <v>23</v>
      </c>
      <c r="C31" s="193" t="s">
        <v>827</v>
      </c>
      <c r="D31" s="196">
        <f>'GERAL 2022'!G25</f>
        <v>550</v>
      </c>
      <c r="E31" s="192">
        <v>0</v>
      </c>
      <c r="F31" s="196">
        <f t="shared" si="6"/>
        <v>550</v>
      </c>
      <c r="G31" s="192">
        <v>0</v>
      </c>
      <c r="H31" s="192">
        <f t="shared" si="4"/>
        <v>57.1</v>
      </c>
      <c r="I31" s="192">
        <f>'GERAL 2024'!I25</f>
        <v>1.3105200945626476</v>
      </c>
      <c r="J31" s="192">
        <f>'GERAL 2024'!K25</f>
        <v>0.79837470449172576</v>
      </c>
      <c r="K31" s="192">
        <v>0</v>
      </c>
      <c r="L31" s="191">
        <f t="shared" si="2"/>
        <v>609.20889479905441</v>
      </c>
      <c r="M31" s="192">
        <f t="shared" si="5"/>
        <v>42.644622635933814</v>
      </c>
      <c r="N31" s="192">
        <f t="shared" si="3"/>
        <v>566.56427216312056</v>
      </c>
      <c r="O31" s="193" t="s">
        <v>891</v>
      </c>
      <c r="P31" s="197">
        <v>10</v>
      </c>
      <c r="Q31" s="197">
        <v>11</v>
      </c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  <c r="AC31" s="205"/>
      <c r="AD31" s="205"/>
      <c r="AE31" s="205"/>
      <c r="AF31" s="205"/>
      <c r="AG31" s="205"/>
      <c r="AH31" s="205"/>
      <c r="AI31" s="205"/>
      <c r="AJ31" s="205"/>
      <c r="AK31" s="205"/>
      <c r="AL31" s="205"/>
      <c r="AM31" s="205"/>
      <c r="AN31" s="205"/>
      <c r="AO31" s="205"/>
      <c r="AP31" s="205"/>
      <c r="AQ31" s="205"/>
    </row>
    <row r="32" spans="1:48" s="204" customFormat="1" ht="15.75" customHeight="1" x14ac:dyDescent="0.3">
      <c r="A32" s="193" t="s">
        <v>844</v>
      </c>
      <c r="B32" s="193">
        <v>24</v>
      </c>
      <c r="C32" s="193" t="s">
        <v>832</v>
      </c>
      <c r="D32" s="196">
        <f>'GERAL 2023'!G41</f>
        <v>680</v>
      </c>
      <c r="E32" s="192">
        <v>0</v>
      </c>
      <c r="F32" s="196">
        <f t="shared" si="6"/>
        <v>680</v>
      </c>
      <c r="G32" s="192">
        <v>25</v>
      </c>
      <c r="H32" s="192">
        <f t="shared" si="4"/>
        <v>57.1</v>
      </c>
      <c r="I32" s="192">
        <f>'GERAL 2024'!I26</f>
        <v>1.8347281323877069</v>
      </c>
      <c r="J32" s="192">
        <f>'GERAL 2024'!K26</f>
        <v>1.1177245862884162</v>
      </c>
      <c r="K32" s="192">
        <v>19.89</v>
      </c>
      <c r="L32" s="191">
        <f t="shared" si="2"/>
        <v>784.94245271867612</v>
      </c>
      <c r="M32" s="192">
        <f t="shared" si="5"/>
        <v>54.945971690307331</v>
      </c>
      <c r="N32" s="192">
        <f t="shared" si="3"/>
        <v>729.99648102836875</v>
      </c>
      <c r="O32" s="193" t="s">
        <v>895</v>
      </c>
      <c r="P32" s="207">
        <v>10</v>
      </c>
      <c r="Q32" s="197">
        <v>11</v>
      </c>
      <c r="R32" s="200"/>
      <c r="S32" s="200"/>
      <c r="T32" s="200"/>
      <c r="U32" s="200"/>
      <c r="V32" s="200"/>
      <c r="W32" s="200"/>
      <c r="X32" s="200"/>
      <c r="Y32" s="200"/>
      <c r="Z32" s="200"/>
    </row>
    <row r="33" spans="1:61" s="204" customFormat="1" ht="15" customHeight="1" x14ac:dyDescent="0.3">
      <c r="A33" s="206" t="s">
        <v>809</v>
      </c>
      <c r="B33" s="193">
        <v>25</v>
      </c>
      <c r="C33" s="193" t="s">
        <v>832</v>
      </c>
      <c r="D33" s="196">
        <f>'GERAL 2022'!G44</f>
        <v>610</v>
      </c>
      <c r="E33" s="192">
        <v>0</v>
      </c>
      <c r="F33" s="196">
        <f t="shared" si="6"/>
        <v>610</v>
      </c>
      <c r="G33" s="192">
        <v>0</v>
      </c>
      <c r="H33" s="192">
        <f t="shared" si="4"/>
        <v>57.1</v>
      </c>
      <c r="I33" s="192">
        <f>'GERAL 2024'!I27</f>
        <v>1.3105200945626476</v>
      </c>
      <c r="J33" s="192">
        <f>'GERAL 2024'!K27</f>
        <v>0.79837470449172576</v>
      </c>
      <c r="K33" s="192">
        <f>'GERAL 2023'!K27</f>
        <v>19.754999999999999</v>
      </c>
      <c r="L33" s="191">
        <f t="shared" si="2"/>
        <v>688.9638947990544</v>
      </c>
      <c r="M33" s="192">
        <f t="shared" si="5"/>
        <v>48.227472635933815</v>
      </c>
      <c r="N33" s="192">
        <f t="shared" si="3"/>
        <v>640.73642216312055</v>
      </c>
      <c r="O33" s="193" t="s">
        <v>895</v>
      </c>
      <c r="P33" s="207">
        <v>10</v>
      </c>
      <c r="Q33" s="197">
        <v>11</v>
      </c>
      <c r="R33" s="200"/>
      <c r="S33" s="200"/>
      <c r="T33" s="200"/>
      <c r="U33" s="200"/>
      <c r="V33" s="200"/>
      <c r="W33" s="200"/>
      <c r="X33" s="200"/>
      <c r="Y33" s="200"/>
      <c r="Z33" s="200"/>
    </row>
    <row r="34" spans="1:61" s="206" customFormat="1" x14ac:dyDescent="0.3">
      <c r="A34" s="195" t="s">
        <v>751</v>
      </c>
      <c r="B34" s="193">
        <v>26</v>
      </c>
      <c r="C34" s="193" t="s">
        <v>827</v>
      </c>
      <c r="D34" s="196">
        <f>'GERAL 2022'!G28</f>
        <v>560</v>
      </c>
      <c r="E34" s="192">
        <v>0</v>
      </c>
      <c r="F34" s="196">
        <f t="shared" si="6"/>
        <v>560</v>
      </c>
      <c r="G34" s="192">
        <v>25</v>
      </c>
      <c r="H34" s="192">
        <f t="shared" si="4"/>
        <v>57.1</v>
      </c>
      <c r="I34" s="192">
        <f>'GERAL 2024'!I28</f>
        <v>1.3105200945626476</v>
      </c>
      <c r="J34" s="192">
        <f>'GERAL 2024'!K29</f>
        <v>0.79837470449172576</v>
      </c>
      <c r="K34" s="192">
        <v>0</v>
      </c>
      <c r="L34" s="191">
        <f t="shared" si="2"/>
        <v>644.20889479905441</v>
      </c>
      <c r="M34" s="192">
        <f t="shared" si="5"/>
        <v>45.09462263593381</v>
      </c>
      <c r="N34" s="192">
        <f t="shared" si="3"/>
        <v>599.11427216312063</v>
      </c>
      <c r="O34" s="193" t="s">
        <v>891</v>
      </c>
      <c r="P34" s="197">
        <v>10</v>
      </c>
      <c r="Q34" s="197">
        <v>11</v>
      </c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205"/>
    </row>
    <row r="35" spans="1:61" s="206" customFormat="1" x14ac:dyDescent="0.3">
      <c r="A35" s="195" t="s">
        <v>752</v>
      </c>
      <c r="B35" s="193">
        <v>27</v>
      </c>
      <c r="C35" s="216" t="s">
        <v>827</v>
      </c>
      <c r="D35" s="217">
        <f>'GERAL 2022'!G45</f>
        <v>580</v>
      </c>
      <c r="E35" s="210">
        <v>0</v>
      </c>
      <c r="F35" s="196">
        <f t="shared" si="6"/>
        <v>580</v>
      </c>
      <c r="G35" s="210">
        <v>0</v>
      </c>
      <c r="H35" s="192">
        <f t="shared" si="4"/>
        <v>57.1</v>
      </c>
      <c r="I35" s="210">
        <f>'GERAL 2024'!I29</f>
        <v>1.3105200945626476</v>
      </c>
      <c r="J35" s="192">
        <f>'GERAL 2024'!K29</f>
        <v>0.79837470449172576</v>
      </c>
      <c r="K35" s="210">
        <v>0</v>
      </c>
      <c r="L35" s="191">
        <f t="shared" si="2"/>
        <v>639.20889479905441</v>
      </c>
      <c r="M35" s="192">
        <f t="shared" si="5"/>
        <v>44.744622635933816</v>
      </c>
      <c r="N35" s="192">
        <f>L35-M35</f>
        <v>594.46427216312054</v>
      </c>
      <c r="O35" s="193" t="s">
        <v>891</v>
      </c>
      <c r="P35" s="197">
        <v>10</v>
      </c>
      <c r="Q35" s="197">
        <v>11</v>
      </c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  <c r="AQ35" s="205"/>
    </row>
    <row r="36" spans="1:61" s="206" customFormat="1" x14ac:dyDescent="0.3">
      <c r="A36" s="584" t="s">
        <v>4</v>
      </c>
      <c r="B36" s="584"/>
      <c r="C36" s="209"/>
      <c r="D36" s="191">
        <f>SUM(D8:D35)</f>
        <v>12478.387096774193</v>
      </c>
      <c r="E36" s="191">
        <f t="shared" ref="E36:N36" si="7">SUM(E8:E35)</f>
        <v>0</v>
      </c>
      <c r="F36" s="191">
        <f t="shared" si="7"/>
        <v>12478.387096774193</v>
      </c>
      <c r="G36" s="191">
        <f t="shared" si="7"/>
        <v>596.77419354838707</v>
      </c>
      <c r="H36" s="191">
        <f t="shared" si="7"/>
        <v>1302.248387096774</v>
      </c>
      <c r="I36" s="191">
        <f t="shared" si="7"/>
        <v>30.150417143292909</v>
      </c>
      <c r="J36" s="191">
        <f t="shared" si="7"/>
        <v>18.367769007854804</v>
      </c>
      <c r="K36" s="191">
        <f t="shared" si="7"/>
        <v>223.17666666666668</v>
      </c>
      <c r="L36" s="191">
        <f t="shared" si="7"/>
        <v>14649.104530237166</v>
      </c>
      <c r="M36" s="191">
        <f t="shared" si="7"/>
        <v>1025.4373171166021</v>
      </c>
      <c r="N36" s="191">
        <f t="shared" si="7"/>
        <v>13623.667213120569</v>
      </c>
      <c r="O36" s="193"/>
      <c r="P36" s="197"/>
      <c r="Q36" s="197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  <c r="AQ36" s="205"/>
    </row>
    <row r="37" spans="1:61" s="11" customFormat="1" ht="28.5" customHeight="1" x14ac:dyDescent="0.3">
      <c r="A37" s="521" t="s">
        <v>893</v>
      </c>
      <c r="B37" s="521"/>
      <c r="C37" s="521"/>
      <c r="D37" s="521"/>
      <c r="E37" s="521"/>
      <c r="F37" s="521"/>
      <c r="G37" s="521"/>
      <c r="H37" s="521"/>
      <c r="I37" s="521"/>
      <c r="J37" s="521"/>
      <c r="K37" s="521"/>
      <c r="L37" s="521"/>
      <c r="M37" s="521"/>
      <c r="N37" s="521"/>
      <c r="O37" s="521"/>
      <c r="P37" s="521"/>
      <c r="Q37" s="521"/>
      <c r="R37" s="10"/>
      <c r="S37" s="10"/>
      <c r="T37" s="10"/>
      <c r="U37" s="10"/>
      <c r="V37" s="10"/>
      <c r="W37" s="10"/>
      <c r="X37" s="10"/>
      <c r="Y37" s="10"/>
      <c r="Z37" s="10"/>
    </row>
    <row r="38" spans="1:61" s="11" customFormat="1" ht="27.75" customHeight="1" x14ac:dyDescent="0.3">
      <c r="A38" s="127" t="s">
        <v>3</v>
      </c>
      <c r="B38" s="127" t="s">
        <v>0</v>
      </c>
      <c r="C38" s="127" t="s">
        <v>821</v>
      </c>
      <c r="D38" s="128" t="s">
        <v>174</v>
      </c>
      <c r="E38" s="555" t="s">
        <v>175</v>
      </c>
      <c r="F38" s="556"/>
      <c r="G38" s="556"/>
      <c r="H38" s="556"/>
      <c r="I38" s="556"/>
      <c r="J38" s="556"/>
      <c r="K38" s="557"/>
      <c r="L38" s="128" t="s">
        <v>4</v>
      </c>
      <c r="M38" s="128" t="s">
        <v>5</v>
      </c>
      <c r="N38" s="128" t="s">
        <v>70</v>
      </c>
      <c r="O38" s="127" t="s">
        <v>59</v>
      </c>
      <c r="P38" s="130" t="s">
        <v>8</v>
      </c>
      <c r="Q38" s="130" t="s">
        <v>10</v>
      </c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spans="1:61" s="199" customFormat="1" x14ac:dyDescent="0.3">
      <c r="A39" s="197"/>
      <c r="B39" s="197"/>
      <c r="C39" s="197"/>
      <c r="D39" s="192"/>
      <c r="E39" s="551"/>
      <c r="F39" s="580"/>
      <c r="G39" s="580"/>
      <c r="H39" s="580"/>
      <c r="I39" s="580"/>
      <c r="J39" s="580"/>
      <c r="K39" s="552"/>
      <c r="L39" s="192"/>
      <c r="M39" s="192"/>
      <c r="N39" s="192"/>
      <c r="O39" s="193"/>
      <c r="P39" s="197"/>
      <c r="Q39" s="197"/>
      <c r="R39" s="198"/>
      <c r="S39" s="198"/>
      <c r="T39" s="198"/>
      <c r="U39" s="198"/>
      <c r="V39" s="198"/>
      <c r="W39" s="198"/>
      <c r="X39" s="198"/>
      <c r="Y39" s="198"/>
      <c r="Z39" s="198"/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</row>
    <row r="40" spans="1:61" s="11" customFormat="1" x14ac:dyDescent="0.3">
      <c r="A40" s="518" t="s">
        <v>4</v>
      </c>
      <c r="B40" s="518"/>
      <c r="C40" s="518"/>
      <c r="D40" s="518"/>
      <c r="E40" s="518"/>
      <c r="F40" s="518"/>
      <c r="G40" s="518"/>
      <c r="H40" s="518"/>
      <c r="I40" s="518"/>
      <c r="J40" s="518"/>
      <c r="K40" s="518"/>
      <c r="L40" s="109">
        <f>SUM(L39:L39)</f>
        <v>0</v>
      </c>
      <c r="M40" s="109">
        <f>SUM(M39:M39)</f>
        <v>0</v>
      </c>
      <c r="N40" s="109">
        <f>SUM(N39:N39)</f>
        <v>0</v>
      </c>
      <c r="O40" s="527"/>
      <c r="P40" s="527"/>
      <c r="Q40" s="527"/>
      <c r="R40" s="10"/>
      <c r="S40" s="10"/>
      <c r="T40" s="10"/>
      <c r="U40" s="10"/>
      <c r="V40" s="10"/>
      <c r="W40" s="10"/>
      <c r="X40" s="10"/>
      <c r="Y40" s="10"/>
      <c r="Z40" s="10"/>
    </row>
    <row r="41" spans="1:61" s="11" customFormat="1" x14ac:dyDescent="0.3">
      <c r="A41" s="518"/>
      <c r="B41" s="518"/>
      <c r="C41" s="518"/>
      <c r="D41" s="518"/>
      <c r="E41" s="518"/>
      <c r="F41" s="518"/>
      <c r="G41" s="518"/>
      <c r="H41" s="518"/>
      <c r="I41" s="518"/>
      <c r="J41" s="518"/>
      <c r="K41" s="518"/>
      <c r="L41" s="518"/>
      <c r="M41" s="518"/>
      <c r="N41" s="518"/>
      <c r="O41" s="518"/>
      <c r="P41" s="109"/>
      <c r="Q41" s="109"/>
      <c r="R41" s="10"/>
      <c r="S41" s="10"/>
      <c r="T41" s="10"/>
      <c r="U41" s="10"/>
      <c r="V41" s="10"/>
      <c r="W41" s="10"/>
      <c r="X41" s="10"/>
      <c r="Y41" s="10"/>
      <c r="Z41" s="10"/>
    </row>
    <row r="42" spans="1:61" s="11" customFormat="1" ht="28.5" customHeight="1" x14ac:dyDescent="0.3">
      <c r="A42" s="521" t="s">
        <v>177</v>
      </c>
      <c r="B42" s="521"/>
      <c r="C42" s="521"/>
      <c r="D42" s="521"/>
      <c r="E42" s="521"/>
      <c r="F42" s="521"/>
      <c r="G42" s="521"/>
      <c r="H42" s="521"/>
      <c r="I42" s="521"/>
      <c r="J42" s="521"/>
      <c r="K42" s="521"/>
      <c r="L42" s="521"/>
      <c r="M42" s="521"/>
      <c r="N42" s="521"/>
      <c r="O42" s="521"/>
      <c r="P42" s="521"/>
      <c r="Q42" s="52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61" s="11" customFormat="1" ht="25.5" customHeight="1" x14ac:dyDescent="0.3">
      <c r="A43" s="126" t="s">
        <v>173</v>
      </c>
      <c r="B43" s="126" t="s">
        <v>0</v>
      </c>
      <c r="C43" s="126"/>
      <c r="D43" s="126" t="s">
        <v>174</v>
      </c>
      <c r="E43" s="521" t="s">
        <v>175</v>
      </c>
      <c r="F43" s="521"/>
      <c r="G43" s="521"/>
      <c r="H43" s="521"/>
      <c r="I43" s="521"/>
      <c r="J43" s="521"/>
      <c r="K43" s="521"/>
      <c r="L43" s="129" t="s">
        <v>4</v>
      </c>
      <c r="M43" s="128"/>
      <c r="N43" s="128"/>
      <c r="O43" s="127" t="s">
        <v>59</v>
      </c>
      <c r="P43" s="130" t="s">
        <v>8</v>
      </c>
      <c r="Q43" s="130" t="s">
        <v>10</v>
      </c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61" s="69" customFormat="1" ht="15" customHeight="1" x14ac:dyDescent="0.3">
      <c r="A44" s="4" t="s">
        <v>132</v>
      </c>
      <c r="B44" s="4">
        <v>1</v>
      </c>
      <c r="C44" s="4"/>
      <c r="D44" s="5">
        <f>4977.59-1520</f>
        <v>3457.59</v>
      </c>
      <c r="E44" s="546" t="s">
        <v>284</v>
      </c>
      <c r="F44" s="547"/>
      <c r="G44" s="547"/>
      <c r="H44" s="547"/>
      <c r="I44" s="547"/>
      <c r="J44" s="547"/>
      <c r="K44" s="548"/>
      <c r="L44" s="5">
        <f>4977.59-1520</f>
        <v>3457.59</v>
      </c>
      <c r="M44" s="5"/>
      <c r="N44" s="5"/>
      <c r="O44" s="5" t="s">
        <v>510</v>
      </c>
      <c r="P44" s="140">
        <v>10</v>
      </c>
      <c r="Q44" s="4">
        <v>11</v>
      </c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</row>
    <row r="45" spans="1:61" s="11" customFormat="1" x14ac:dyDescent="0.3">
      <c r="A45" s="90" t="s">
        <v>87</v>
      </c>
      <c r="B45" s="90">
        <v>25</v>
      </c>
      <c r="C45" s="90"/>
      <c r="D45" s="5">
        <v>3013.33</v>
      </c>
      <c r="E45" s="546" t="s">
        <v>543</v>
      </c>
      <c r="F45" s="547"/>
      <c r="G45" s="547"/>
      <c r="H45" s="547"/>
      <c r="I45" s="547"/>
      <c r="J45" s="547"/>
      <c r="K45" s="548"/>
      <c r="L45" s="5">
        <v>3040.58</v>
      </c>
      <c r="M45" s="2"/>
      <c r="N45" s="2"/>
      <c r="O45" s="5" t="s">
        <v>545</v>
      </c>
      <c r="P45" s="98">
        <v>10</v>
      </c>
      <c r="Q45" s="3">
        <v>11</v>
      </c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</row>
    <row r="46" spans="1:61" s="40" customFormat="1" ht="15" customHeight="1" thickBot="1" x14ac:dyDescent="0.35">
      <c r="A46" s="534" t="s">
        <v>4</v>
      </c>
      <c r="B46" s="549"/>
      <c r="C46" s="549"/>
      <c r="D46" s="549"/>
      <c r="E46" s="549"/>
      <c r="F46" s="549"/>
      <c r="G46" s="549"/>
      <c r="H46" s="549"/>
      <c r="I46" s="549"/>
      <c r="J46" s="549"/>
      <c r="K46" s="535"/>
      <c r="L46" s="114">
        <f>SUM(L44:L45)</f>
        <v>6498.17</v>
      </c>
      <c r="M46" s="90"/>
      <c r="N46" s="90"/>
      <c r="O46" s="90"/>
      <c r="P46" s="90"/>
      <c r="Q46" s="9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1"/>
      <c r="AV46" s="11"/>
      <c r="AW46" s="11"/>
      <c r="AX46" s="11"/>
    </row>
    <row r="47" spans="1:61" s="19" customFormat="1" x14ac:dyDescent="0.3">
      <c r="A47" s="179"/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1"/>
      <c r="Q47" s="182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</row>
    <row r="48" spans="1:61" s="40" customFormat="1" x14ac:dyDescent="0.3">
      <c r="A48" s="585"/>
      <c r="B48" s="585"/>
      <c r="C48" s="585"/>
      <c r="D48" s="585"/>
      <c r="E48" s="585"/>
      <c r="F48" s="46"/>
      <c r="G48" s="46"/>
      <c r="H48" s="46"/>
      <c r="I48" s="46"/>
      <c r="J48" s="46"/>
      <c r="K48" s="46"/>
      <c r="L48" s="46"/>
      <c r="M48" s="46"/>
      <c r="N48" s="46"/>
      <c r="O48" s="544" t="s">
        <v>315</v>
      </c>
      <c r="P48" s="544"/>
      <c r="Q48" s="545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1"/>
      <c r="AV48" s="11"/>
      <c r="AW48" s="11"/>
      <c r="AX48" s="11"/>
    </row>
    <row r="49" spans="1:50" s="40" customFormat="1" x14ac:dyDescent="0.3">
      <c r="A49" s="206"/>
      <c r="B49" s="223"/>
      <c r="C49" s="223"/>
      <c r="D49" s="224"/>
      <c r="E49" s="223"/>
      <c r="F49" s="46"/>
      <c r="G49" s="46"/>
      <c r="H49" s="46"/>
      <c r="I49" s="11"/>
      <c r="J49" s="11"/>
      <c r="K49" s="11"/>
      <c r="L49" s="87"/>
      <c r="M49" s="87"/>
      <c r="N49" s="87"/>
      <c r="O49" s="527" t="s">
        <v>94</v>
      </c>
      <c r="P49" s="527"/>
      <c r="Q49" s="114">
        <f>M36+M40</f>
        <v>1025.4373171166021</v>
      </c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1"/>
      <c r="AV49" s="11"/>
      <c r="AW49" s="11"/>
      <c r="AX49" s="11"/>
    </row>
    <row r="50" spans="1:50" s="40" customFormat="1" x14ac:dyDescent="0.3">
      <c r="A50" s="206"/>
      <c r="B50" s="223"/>
      <c r="C50" s="223"/>
      <c r="D50" s="224"/>
      <c r="E50" s="223"/>
      <c r="F50" s="46"/>
      <c r="G50" s="46"/>
      <c r="H50" s="46"/>
      <c r="I50" s="11"/>
      <c r="J50" s="11"/>
      <c r="K50" s="11"/>
      <c r="L50" s="14"/>
      <c r="M50" s="14"/>
      <c r="N50" s="14"/>
      <c r="O50" s="518" t="s">
        <v>260</v>
      </c>
      <c r="P50" s="518"/>
      <c r="Q50" s="114">
        <f>M5</f>
        <v>0</v>
      </c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1"/>
      <c r="AV50" s="11"/>
      <c r="AW50" s="11"/>
      <c r="AX50" s="11"/>
    </row>
    <row r="51" spans="1:50" s="40" customFormat="1" x14ac:dyDescent="0.3">
      <c r="A51" s="206"/>
      <c r="B51" s="223"/>
      <c r="C51" s="223"/>
      <c r="D51" s="224"/>
      <c r="E51" s="223"/>
      <c r="F51" s="46"/>
      <c r="G51" s="46"/>
      <c r="H51" s="46"/>
      <c r="I51" s="11"/>
      <c r="J51" s="11"/>
      <c r="K51" s="11"/>
      <c r="L51" s="14"/>
      <c r="M51" s="14"/>
      <c r="N51" s="14"/>
      <c r="O51" s="520"/>
      <c r="P51" s="520"/>
      <c r="Q51" s="52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1"/>
      <c r="AV51" s="11"/>
      <c r="AW51" s="11"/>
      <c r="AX51" s="11"/>
    </row>
    <row r="52" spans="1:50" s="40" customFormat="1" x14ac:dyDescent="0.3">
      <c r="A52" s="206"/>
      <c r="B52" s="223"/>
      <c r="C52" s="223"/>
      <c r="D52" s="224"/>
      <c r="E52" s="223"/>
      <c r="F52" s="46"/>
      <c r="G52" s="46"/>
      <c r="H52" s="46"/>
      <c r="I52" s="11"/>
      <c r="J52" s="11"/>
      <c r="K52" s="11"/>
      <c r="L52" s="62"/>
      <c r="M52" s="62"/>
      <c r="N52" s="62"/>
      <c r="O52" s="520"/>
      <c r="P52" s="520"/>
      <c r="Q52" s="52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1"/>
      <c r="AV52" s="11"/>
      <c r="AW52" s="11"/>
      <c r="AX52" s="11"/>
    </row>
    <row r="53" spans="1:50" s="40" customFormat="1" ht="14.4" x14ac:dyDescent="0.3">
      <c r="A53" s="206"/>
      <c r="B53" s="223"/>
      <c r="C53" s="223"/>
      <c r="D53" s="224"/>
      <c r="E53" s="223"/>
      <c r="F53" s="46"/>
      <c r="G53" s="46"/>
      <c r="H53" s="46"/>
      <c r="I53" s="11"/>
      <c r="J53" s="11"/>
      <c r="K53" s="11"/>
      <c r="L53" s="14"/>
      <c r="M53" s="14"/>
      <c r="N53" s="14"/>
      <c r="O53" s="529" t="s">
        <v>12</v>
      </c>
      <c r="P53" s="529"/>
      <c r="Q53" s="529"/>
      <c r="R53" s="175"/>
      <c r="S53" s="178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1"/>
      <c r="AV53" s="11"/>
      <c r="AW53" s="11"/>
      <c r="AX53" s="11"/>
    </row>
    <row r="54" spans="1:50" s="11" customFormat="1" ht="15" customHeight="1" x14ac:dyDescent="0.3">
      <c r="A54" s="206"/>
      <c r="B54" s="223"/>
      <c r="C54" s="223"/>
      <c r="D54" s="224"/>
      <c r="E54" s="223"/>
      <c r="F54" s="46"/>
      <c r="G54" s="46"/>
      <c r="H54" s="46"/>
      <c r="L54" s="63"/>
      <c r="M54" s="63"/>
      <c r="N54" s="63"/>
      <c r="O54" s="514" t="s">
        <v>364</v>
      </c>
      <c r="P54" s="514"/>
      <c r="Q54" s="192">
        <v>19.760000000000002</v>
      </c>
      <c r="R54" s="190"/>
      <c r="S54" s="178"/>
    </row>
    <row r="55" spans="1:50" s="11" customFormat="1" ht="14.4" x14ac:dyDescent="0.3">
      <c r="A55" s="206"/>
      <c r="B55" s="223"/>
      <c r="C55" s="223"/>
      <c r="D55" s="224"/>
      <c r="E55" s="223"/>
      <c r="F55" s="46"/>
      <c r="G55" s="46"/>
      <c r="H55" s="46"/>
      <c r="L55" s="14"/>
      <c r="M55" s="14"/>
      <c r="N55" s="14"/>
      <c r="O55" s="514" t="s">
        <v>449</v>
      </c>
      <c r="P55" s="514"/>
      <c r="Q55" s="192">
        <v>21.09</v>
      </c>
      <c r="R55" s="175"/>
      <c r="S55" s="178"/>
    </row>
    <row r="56" spans="1:50" s="11" customFormat="1" ht="15" customHeight="1" x14ac:dyDescent="0.3">
      <c r="A56" s="206"/>
      <c r="B56" s="223"/>
      <c r="C56" s="223"/>
      <c r="D56" s="224"/>
      <c r="E56" s="223"/>
      <c r="F56" s="46"/>
      <c r="G56" s="46"/>
      <c r="H56" s="46"/>
      <c r="L56" s="63"/>
      <c r="M56" s="63"/>
      <c r="N56" s="63"/>
      <c r="O56" s="514" t="s">
        <v>307</v>
      </c>
      <c r="P56" s="514"/>
      <c r="Q56" s="192">
        <v>21.31</v>
      </c>
      <c r="R56" s="190"/>
      <c r="S56" s="178"/>
    </row>
    <row r="57" spans="1:50" s="11" customFormat="1" ht="14.4" x14ac:dyDescent="0.3">
      <c r="A57" s="206"/>
      <c r="B57" s="223"/>
      <c r="C57" s="223"/>
      <c r="D57" s="224"/>
      <c r="E57" s="223"/>
      <c r="F57" s="46"/>
      <c r="G57" s="46"/>
      <c r="H57" s="46"/>
      <c r="L57" s="14"/>
      <c r="M57" s="14"/>
      <c r="N57" s="14"/>
      <c r="O57" s="514" t="s">
        <v>452</v>
      </c>
      <c r="P57" s="514"/>
      <c r="Q57" s="192">
        <v>19.7</v>
      </c>
      <c r="R57" s="222"/>
      <c r="S57" s="178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</row>
    <row r="58" spans="1:50" s="11" customFormat="1" ht="14.4" x14ac:dyDescent="0.3">
      <c r="A58" s="206"/>
      <c r="B58" s="223"/>
      <c r="C58" s="223"/>
      <c r="D58" s="224"/>
      <c r="E58" s="223"/>
      <c r="F58" s="46"/>
      <c r="G58" s="46"/>
      <c r="H58" s="46"/>
      <c r="L58" s="63"/>
      <c r="M58" s="63"/>
      <c r="N58" s="63"/>
      <c r="O58" s="514" t="s">
        <v>309</v>
      </c>
      <c r="P58" s="514"/>
      <c r="Q58" s="192">
        <v>19.809999999999999</v>
      </c>
      <c r="R58" s="175"/>
      <c r="S58" s="178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</row>
    <row r="59" spans="1:50" s="11" customFormat="1" ht="14.4" x14ac:dyDescent="0.3">
      <c r="A59" s="206"/>
      <c r="B59" s="223"/>
      <c r="C59" s="223"/>
      <c r="D59" s="224"/>
      <c r="E59" s="223"/>
      <c r="F59" s="46"/>
      <c r="G59" s="46"/>
      <c r="H59" s="46"/>
      <c r="L59" s="14"/>
      <c r="M59" s="14"/>
      <c r="N59" s="14"/>
      <c r="O59" s="514" t="s">
        <v>415</v>
      </c>
      <c r="P59" s="514"/>
      <c r="Q59" s="192">
        <v>19.7</v>
      </c>
      <c r="R59" s="175"/>
      <c r="S59" s="185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</row>
    <row r="60" spans="1:50" s="11" customFormat="1" ht="14.4" x14ac:dyDescent="0.3">
      <c r="A60" s="206"/>
      <c r="B60" s="223"/>
      <c r="C60" s="223"/>
      <c r="D60" s="224"/>
      <c r="E60" s="223"/>
      <c r="F60" s="46"/>
      <c r="G60" s="46"/>
      <c r="H60" s="46"/>
      <c r="L60" s="14"/>
      <c r="M60" s="14"/>
      <c r="N60" s="14"/>
      <c r="O60" s="514" t="s">
        <v>110</v>
      </c>
      <c r="P60" s="514"/>
      <c r="Q60" s="192">
        <v>21.18</v>
      </c>
      <c r="R60" s="175"/>
      <c r="S60" s="185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</row>
    <row r="61" spans="1:50" s="11" customFormat="1" ht="14.4" x14ac:dyDescent="0.3">
      <c r="A61" s="206"/>
      <c r="B61" s="223"/>
      <c r="C61" s="223"/>
      <c r="D61" s="224"/>
      <c r="E61" s="223"/>
      <c r="F61" s="46"/>
      <c r="G61" s="46"/>
      <c r="H61" s="46"/>
      <c r="L61" s="63"/>
      <c r="M61" s="63"/>
      <c r="N61" s="63"/>
      <c r="O61" s="514" t="s">
        <v>120</v>
      </c>
      <c r="P61" s="514"/>
      <c r="Q61" s="192">
        <v>21.18</v>
      </c>
      <c r="R61" s="175"/>
      <c r="S61" s="178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</row>
    <row r="62" spans="1:50" s="11" customFormat="1" ht="14.4" x14ac:dyDescent="0.3">
      <c r="A62" s="206"/>
      <c r="B62" s="223"/>
      <c r="C62" s="223"/>
      <c r="D62" s="224"/>
      <c r="E62" s="223"/>
      <c r="F62" s="46"/>
      <c r="G62" s="46"/>
      <c r="H62" s="46"/>
      <c r="L62" s="14"/>
      <c r="M62" s="14"/>
      <c r="N62" s="14"/>
      <c r="O62" s="514" t="s">
        <v>123</v>
      </c>
      <c r="P62" s="514"/>
      <c r="Q62" s="192">
        <v>19.809999999999999</v>
      </c>
      <c r="R62" s="175"/>
      <c r="S62" s="178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</row>
    <row r="63" spans="1:50" s="11" customFormat="1" ht="15" customHeight="1" x14ac:dyDescent="0.3">
      <c r="A63" s="206"/>
      <c r="B63" s="223"/>
      <c r="C63" s="223"/>
      <c r="D63" s="224"/>
      <c r="E63" s="223"/>
      <c r="F63" s="46"/>
      <c r="G63" s="46"/>
      <c r="H63" s="46"/>
      <c r="L63" s="63"/>
      <c r="M63" s="63"/>
      <c r="N63" s="63"/>
      <c r="O63" s="514" t="s">
        <v>373</v>
      </c>
      <c r="P63" s="514"/>
      <c r="Q63" s="192">
        <v>19.89</v>
      </c>
      <c r="S63" s="14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</row>
    <row r="64" spans="1:50" s="11" customFormat="1" ht="14.4" x14ac:dyDescent="0.3">
      <c r="A64" s="206"/>
      <c r="B64" s="223"/>
      <c r="C64" s="223"/>
      <c r="D64" s="224"/>
      <c r="E64" s="223"/>
      <c r="F64" s="46"/>
      <c r="G64" s="46"/>
      <c r="H64" s="46"/>
      <c r="L64" s="14"/>
      <c r="M64" s="14"/>
      <c r="N64" s="14"/>
      <c r="O64" s="514" t="s">
        <v>170</v>
      </c>
      <c r="P64" s="514"/>
      <c r="Q64" s="192">
        <v>19.760000000000002</v>
      </c>
      <c r="R64" s="190"/>
      <c r="S64" s="178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</row>
    <row r="65" spans="1:49" s="11" customFormat="1" ht="14.4" x14ac:dyDescent="0.3">
      <c r="A65" s="206"/>
      <c r="B65" s="223"/>
      <c r="C65" s="223"/>
      <c r="D65" s="224"/>
      <c r="E65" s="223"/>
      <c r="F65" s="46"/>
      <c r="G65" s="46"/>
      <c r="H65" s="46"/>
      <c r="L65" s="63"/>
      <c r="M65" s="63"/>
      <c r="N65" s="63"/>
      <c r="O65" s="514" t="s">
        <v>126</v>
      </c>
      <c r="P65" s="514"/>
      <c r="Q65" s="192">
        <v>102.75</v>
      </c>
      <c r="R65" s="175"/>
      <c r="S65" s="178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</row>
    <row r="66" spans="1:49" s="11" customFormat="1" ht="14.4" x14ac:dyDescent="0.3">
      <c r="A66" s="206"/>
      <c r="B66" s="223"/>
      <c r="C66" s="223"/>
      <c r="D66" s="224"/>
      <c r="E66" s="223"/>
      <c r="F66" s="46"/>
      <c r="G66" s="46"/>
      <c r="H66" s="46"/>
      <c r="O66" s="583" t="s">
        <v>127</v>
      </c>
      <c r="P66" s="583"/>
      <c r="Q66" s="192">
        <v>1541.7</v>
      </c>
      <c r="R66" s="175"/>
      <c r="S66" s="178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</row>
    <row r="67" spans="1:49" s="11" customFormat="1" ht="14.4" x14ac:dyDescent="0.3">
      <c r="A67" s="206"/>
      <c r="B67" s="223"/>
      <c r="C67" s="223"/>
      <c r="D67" s="224"/>
      <c r="E67" s="223"/>
      <c r="F67" s="46"/>
      <c r="G67" s="46"/>
      <c r="H67" s="46"/>
      <c r="L67" s="63"/>
      <c r="M67" s="63"/>
      <c r="N67" s="63"/>
      <c r="O67" s="514" t="s">
        <v>905</v>
      </c>
      <c r="P67" s="514"/>
      <c r="Q67" s="196">
        <v>20</v>
      </c>
      <c r="R67" s="175"/>
      <c r="S67" s="178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</row>
    <row r="68" spans="1:49" s="11" customFormat="1" ht="14.4" x14ac:dyDescent="0.3">
      <c r="A68" s="206"/>
      <c r="B68" s="223"/>
      <c r="C68" s="223"/>
      <c r="D68" s="224"/>
      <c r="E68" s="223"/>
      <c r="F68" s="46"/>
      <c r="G68" s="46"/>
      <c r="H68" s="46"/>
      <c r="L68" s="14"/>
      <c r="M68" s="14"/>
      <c r="N68" s="14"/>
      <c r="O68" s="581" t="s">
        <v>906</v>
      </c>
      <c r="P68" s="582"/>
      <c r="Q68" s="212">
        <v>30</v>
      </c>
      <c r="R68" s="175"/>
      <c r="S68" s="185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</row>
    <row r="69" spans="1:49" s="11" customFormat="1" ht="14.4" x14ac:dyDescent="0.3">
      <c r="A69" s="206"/>
      <c r="B69" s="223"/>
      <c r="C69" s="223"/>
      <c r="D69" s="224"/>
      <c r="E69" s="223"/>
      <c r="F69" s="46"/>
      <c r="G69" s="46"/>
      <c r="H69" s="46"/>
      <c r="O69" s="518" t="s">
        <v>26</v>
      </c>
      <c r="P69" s="518"/>
      <c r="Q69" s="109">
        <f>SUM(Q49:Q68)</f>
        <v>2943.077317116602</v>
      </c>
      <c r="R69" s="175"/>
      <c r="S69" s="176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</row>
    <row r="70" spans="1:49" s="11" customFormat="1" ht="14.4" x14ac:dyDescent="0.3">
      <c r="A70" s="206"/>
      <c r="B70" s="223"/>
      <c r="C70" s="223"/>
      <c r="D70" s="224"/>
      <c r="E70" s="223"/>
      <c r="F70" s="46"/>
      <c r="G70" s="46"/>
      <c r="H70" s="46"/>
      <c r="O70" s="543"/>
      <c r="P70" s="543"/>
      <c r="Q70" s="135"/>
      <c r="R70" s="175"/>
      <c r="S70" s="176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</row>
    <row r="71" spans="1:49" s="11" customFormat="1" ht="14.4" x14ac:dyDescent="0.3">
      <c r="A71" s="206"/>
      <c r="B71" s="223"/>
      <c r="C71" s="223"/>
      <c r="D71" s="224"/>
      <c r="E71" s="223"/>
      <c r="F71" s="46"/>
      <c r="G71" s="46"/>
      <c r="H71" s="46"/>
      <c r="O71" s="564" t="s">
        <v>11</v>
      </c>
      <c r="P71" s="565"/>
      <c r="Q71" s="153">
        <f>L5+L36+L40</f>
        <v>14649.104530237166</v>
      </c>
      <c r="R71" s="175"/>
      <c r="S71" s="178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</row>
    <row r="72" spans="1:49" s="11" customFormat="1" ht="14.4" x14ac:dyDescent="0.3">
      <c r="A72" s="206"/>
      <c r="B72" s="223"/>
      <c r="C72" s="223"/>
      <c r="D72" s="224"/>
      <c r="E72" s="223"/>
      <c r="F72" s="46"/>
      <c r="G72" s="46"/>
      <c r="H72" s="46"/>
      <c r="L72" s="14"/>
      <c r="M72" s="14"/>
      <c r="N72" s="14"/>
      <c r="O72" s="518"/>
      <c r="P72" s="518"/>
      <c r="Q72" s="519"/>
      <c r="R72" s="175"/>
      <c r="S72" s="178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</row>
    <row r="73" spans="1:49" s="11" customFormat="1" ht="14.4" x14ac:dyDescent="0.3">
      <c r="A73" s="206"/>
      <c r="B73" s="223"/>
      <c r="C73" s="223"/>
      <c r="D73" s="224"/>
      <c r="E73" s="223"/>
      <c r="F73" s="46"/>
      <c r="G73" s="46"/>
      <c r="H73" s="46"/>
      <c r="L73" s="15"/>
      <c r="M73" s="15"/>
      <c r="N73" s="15"/>
      <c r="O73" s="513" t="s">
        <v>13</v>
      </c>
      <c r="P73" s="513"/>
      <c r="Q73" s="151">
        <f>Q71-Q69</f>
        <v>11706.027213120564</v>
      </c>
      <c r="R73" s="175"/>
      <c r="S73" s="178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</row>
    <row r="74" spans="1:49" s="11" customFormat="1" ht="14.4" x14ac:dyDescent="0.3">
      <c r="A74" s="206"/>
      <c r="B74" s="223"/>
      <c r="C74" s="223"/>
      <c r="D74" s="224"/>
      <c r="E74" s="223"/>
      <c r="F74" s="46"/>
      <c r="G74" s="46"/>
      <c r="H74" s="46"/>
      <c r="L74" s="14"/>
      <c r="M74" s="14"/>
      <c r="N74" s="14"/>
      <c r="O74" s="124"/>
      <c r="P74" s="124"/>
      <c r="Q74" s="57"/>
      <c r="R74" s="175"/>
      <c r="S74" s="178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</row>
    <row r="75" spans="1:49" s="11" customFormat="1" ht="14.4" x14ac:dyDescent="0.3">
      <c r="A75" s="206"/>
      <c r="B75" s="223"/>
      <c r="C75" s="223"/>
      <c r="D75" s="224"/>
      <c r="E75" s="223"/>
      <c r="F75" s="46"/>
      <c r="G75" s="46"/>
      <c r="H75" s="46"/>
      <c r="L75" s="14"/>
      <c r="M75" s="14"/>
      <c r="N75" s="14"/>
      <c r="O75" s="124"/>
      <c r="P75" s="124"/>
      <c r="Q75" s="57"/>
      <c r="R75" s="175"/>
      <c r="S75" s="178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</row>
    <row r="76" spans="1:49" s="11" customFormat="1" ht="14.4" x14ac:dyDescent="0.3">
      <c r="A76" s="206"/>
      <c r="B76" s="223"/>
      <c r="C76" s="223"/>
      <c r="D76" s="224"/>
      <c r="E76" s="223"/>
      <c r="F76" s="46"/>
      <c r="G76" s="46"/>
      <c r="H76" s="46"/>
      <c r="L76" s="14"/>
      <c r="M76" s="14"/>
      <c r="N76" s="14"/>
      <c r="O76" s="124"/>
      <c r="P76" s="124"/>
      <c r="Q76" s="57"/>
      <c r="R76" s="175"/>
      <c r="S76" s="178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</row>
    <row r="77" spans="1:49" s="11" customFormat="1" x14ac:dyDescent="0.3">
      <c r="A77" s="206"/>
      <c r="B77" s="223"/>
      <c r="C77" s="223"/>
      <c r="D77" s="224"/>
      <c r="E77" s="223"/>
      <c r="F77" s="46"/>
      <c r="G77" s="46"/>
      <c r="H77" s="46"/>
      <c r="L77" s="14"/>
      <c r="M77" s="14"/>
      <c r="N77" s="14"/>
      <c r="O77" s="124"/>
      <c r="P77" s="124"/>
      <c r="Q77" s="57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</row>
    <row r="78" spans="1:49" s="69" customFormat="1" x14ac:dyDescent="0.3">
      <c r="A78" s="206"/>
      <c r="B78" s="223"/>
      <c r="C78" s="223"/>
      <c r="D78" s="224"/>
      <c r="E78" s="223"/>
      <c r="F78" s="46"/>
      <c r="G78" s="46"/>
      <c r="H78" s="46"/>
      <c r="I78" s="11"/>
      <c r="J78" s="11"/>
      <c r="K78" s="11"/>
      <c r="L78" s="14"/>
      <c r="M78" s="14"/>
      <c r="N78" s="14"/>
      <c r="O78" s="15"/>
      <c r="P78" s="14"/>
      <c r="Q78" s="57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s="69" customFormat="1" x14ac:dyDescent="0.3">
      <c r="A79" s="206"/>
      <c r="B79" s="223"/>
      <c r="C79" s="223"/>
      <c r="D79" s="224"/>
      <c r="E79" s="223"/>
      <c r="F79" s="46"/>
      <c r="G79" s="46"/>
      <c r="H79" s="46"/>
      <c r="I79" s="11"/>
      <c r="J79" s="11"/>
      <c r="K79" s="11"/>
      <c r="L79" s="14"/>
      <c r="M79" s="14"/>
      <c r="N79" s="14"/>
      <c r="O79" s="11"/>
      <c r="P79" s="15"/>
      <c r="Q79" s="57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s="69" customFormat="1" x14ac:dyDescent="0.3">
      <c r="A80" s="206"/>
      <c r="B80" s="223"/>
      <c r="C80" s="223"/>
      <c r="D80" s="224"/>
      <c r="E80" s="223"/>
      <c r="F80" s="46"/>
      <c r="G80" s="46"/>
      <c r="H80" s="46"/>
      <c r="I80" s="11"/>
      <c r="J80" s="11"/>
      <c r="K80" s="11"/>
      <c r="L80" s="14"/>
      <c r="M80" s="14"/>
      <c r="N80" s="14"/>
      <c r="O80" s="11"/>
      <c r="P80" s="11"/>
      <c r="Q80" s="57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s="69" customFormat="1" x14ac:dyDescent="0.3">
      <c r="A81" s="206"/>
      <c r="B81" s="223"/>
      <c r="C81" s="223"/>
      <c r="D81" s="224"/>
      <c r="E81" s="223"/>
      <c r="F81" s="46"/>
      <c r="G81" s="46"/>
      <c r="H81" s="46"/>
      <c r="I81" s="11"/>
      <c r="J81" s="11"/>
      <c r="K81" s="11"/>
      <c r="L81" s="14"/>
      <c r="M81" s="14"/>
      <c r="N81" s="14"/>
      <c r="O81" s="14"/>
      <c r="P81" s="14"/>
      <c r="Q81" s="57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s="69" customFormat="1" x14ac:dyDescent="0.3">
      <c r="A82" s="206"/>
      <c r="B82" s="223"/>
      <c r="C82" s="223"/>
      <c r="D82" s="224"/>
      <c r="E82" s="223"/>
      <c r="F82" s="46"/>
      <c r="G82" s="46"/>
      <c r="H82" s="46"/>
      <c r="I82" s="11"/>
      <c r="J82" s="11"/>
      <c r="K82" s="11"/>
      <c r="L82" s="14"/>
      <c r="M82" s="14"/>
      <c r="N82" s="14"/>
      <c r="O82" s="14"/>
      <c r="P82" s="15"/>
      <c r="Q82" s="57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s="69" customFormat="1" x14ac:dyDescent="0.3">
      <c r="A83" s="206"/>
      <c r="B83" s="223"/>
      <c r="C83" s="223"/>
      <c r="D83" s="224"/>
      <c r="E83" s="223"/>
      <c r="F83" s="46"/>
      <c r="G83" s="46"/>
      <c r="H83" s="46"/>
      <c r="I83" s="11"/>
      <c r="J83" s="11"/>
      <c r="K83" s="11"/>
      <c r="L83" s="14"/>
      <c r="M83" s="14"/>
      <c r="N83" s="14"/>
      <c r="O83" s="14"/>
      <c r="P83" s="11"/>
      <c r="Q83" s="57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s="69" customFormat="1" x14ac:dyDescent="0.3">
      <c r="A84" s="206"/>
      <c r="B84" s="223"/>
      <c r="C84" s="223"/>
      <c r="D84" s="224"/>
      <c r="E84" s="223"/>
      <c r="F84" s="46"/>
      <c r="G84" s="46"/>
      <c r="H84" s="46"/>
      <c r="I84" s="11"/>
      <c r="J84" s="11"/>
      <c r="K84" s="11"/>
      <c r="L84" s="14"/>
      <c r="M84" s="14"/>
      <c r="N84" s="14"/>
      <c r="O84" s="14"/>
      <c r="P84" s="11"/>
      <c r="Q84" s="57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s="69" customFormat="1" x14ac:dyDescent="0.3">
      <c r="A85" s="206"/>
      <c r="B85" s="223"/>
      <c r="C85" s="223"/>
      <c r="D85" s="224"/>
      <c r="E85" s="223"/>
      <c r="F85" s="46"/>
      <c r="G85" s="46"/>
      <c r="H85" s="46"/>
      <c r="I85" s="11"/>
      <c r="J85" s="11"/>
      <c r="K85" s="11"/>
      <c r="L85" s="14"/>
      <c r="M85" s="14"/>
      <c r="N85" s="14"/>
      <c r="O85" s="11"/>
      <c r="P85" s="11"/>
      <c r="Q85" s="57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s="69" customFormat="1" x14ac:dyDescent="0.3">
      <c r="A86" s="206"/>
      <c r="B86" s="223"/>
      <c r="C86" s="223"/>
      <c r="D86" s="224"/>
      <c r="E86" s="223"/>
      <c r="F86" s="46"/>
      <c r="G86" s="46"/>
      <c r="H86" s="46"/>
      <c r="I86" s="11"/>
      <c r="J86" s="11"/>
      <c r="K86" s="11"/>
      <c r="L86" s="14"/>
      <c r="M86" s="14"/>
      <c r="N86" s="14"/>
      <c r="O86" s="11"/>
      <c r="P86" s="14"/>
      <c r="Q86" s="57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s="69" customFormat="1" x14ac:dyDescent="0.3">
      <c r="A87" s="206"/>
      <c r="B87" s="223"/>
      <c r="C87" s="223"/>
      <c r="D87" s="224"/>
      <c r="E87" s="223"/>
      <c r="F87" s="46"/>
      <c r="G87" s="46"/>
      <c r="H87" s="46"/>
      <c r="I87" s="11"/>
      <c r="J87" s="11"/>
      <c r="K87" s="11"/>
      <c r="L87" s="14"/>
      <c r="M87" s="14"/>
      <c r="N87" s="14"/>
      <c r="O87" s="11"/>
      <c r="P87" s="14"/>
      <c r="Q87" s="57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s="69" customFormat="1" x14ac:dyDescent="0.3">
      <c r="A88" s="206"/>
      <c r="B88" s="223"/>
      <c r="C88" s="223"/>
      <c r="D88" s="224"/>
      <c r="E88" s="223"/>
      <c r="F88" s="46"/>
      <c r="G88" s="46"/>
      <c r="H88" s="46"/>
      <c r="I88" s="11"/>
      <c r="J88" s="11"/>
      <c r="K88" s="11"/>
      <c r="L88" s="14"/>
      <c r="M88" s="14"/>
      <c r="N88" s="14"/>
      <c r="O88" s="11"/>
      <c r="P88" s="14"/>
      <c r="Q88" s="57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69" customFormat="1" x14ac:dyDescent="0.3">
      <c r="A89" s="206"/>
      <c r="B89" s="223"/>
      <c r="C89" s="223"/>
      <c r="D89" s="224"/>
      <c r="E89" s="223"/>
      <c r="F89" s="46"/>
      <c r="G89" s="46"/>
      <c r="H89" s="46"/>
      <c r="L89" s="142"/>
      <c r="M89" s="142"/>
      <c r="N89" s="142"/>
      <c r="O89" s="11"/>
      <c r="P89" s="14"/>
      <c r="Q89" s="57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s="70" customFormat="1" x14ac:dyDescent="0.3">
      <c r="A90" s="206"/>
      <c r="B90" s="223"/>
      <c r="C90" s="223"/>
      <c r="D90" s="224"/>
      <c r="E90" s="223"/>
      <c r="F90" s="46"/>
      <c r="G90" s="46"/>
      <c r="H90" s="46"/>
      <c r="I90" s="63"/>
      <c r="J90" s="63"/>
      <c r="K90" s="63"/>
      <c r="L90" s="69"/>
      <c r="M90" s="69"/>
      <c r="N90" s="69"/>
      <c r="O90" s="11"/>
      <c r="P90" s="11"/>
      <c r="Q90" s="57"/>
    </row>
    <row r="91" spans="1:49" s="70" customFormat="1" ht="15" customHeight="1" x14ac:dyDescent="0.3">
      <c r="A91" s="206"/>
      <c r="B91" s="223"/>
      <c r="C91" s="223"/>
      <c r="D91" s="224"/>
      <c r="E91" s="223"/>
      <c r="F91" s="46"/>
      <c r="G91" s="46"/>
      <c r="H91" s="46"/>
      <c r="I91" s="11"/>
      <c r="J91" s="11"/>
      <c r="K91" s="63"/>
      <c r="L91" s="142"/>
      <c r="M91" s="142"/>
      <c r="N91" s="142"/>
      <c r="O91" s="11"/>
      <c r="P91" s="11"/>
      <c r="Q91" s="57"/>
      <c r="AW91" s="69"/>
    </row>
    <row r="92" spans="1:49" s="70" customFormat="1" x14ac:dyDescent="0.3">
      <c r="A92" s="206"/>
      <c r="B92" s="223"/>
      <c r="C92" s="223"/>
      <c r="D92" s="224"/>
      <c r="E92" s="223"/>
      <c r="F92" s="46"/>
      <c r="G92" s="46"/>
      <c r="H92" s="46"/>
      <c r="I92" s="142"/>
      <c r="J92" s="142"/>
      <c r="K92" s="142"/>
      <c r="L92" s="142"/>
      <c r="M92" s="142"/>
      <c r="N92" s="142"/>
      <c r="O92" s="69"/>
      <c r="P92" s="69"/>
      <c r="Q92" s="69"/>
      <c r="AW92" s="69"/>
    </row>
    <row r="93" spans="1:49" s="70" customFormat="1" x14ac:dyDescent="0.3">
      <c r="A93" s="206"/>
      <c r="B93" s="223"/>
      <c r="C93" s="223"/>
      <c r="D93" s="224"/>
      <c r="E93" s="223"/>
      <c r="F93" s="46"/>
      <c r="G93" s="46"/>
      <c r="H93" s="46"/>
      <c r="I93" s="11"/>
      <c r="J93" s="11"/>
      <c r="K93" s="63"/>
      <c r="L93" s="142"/>
      <c r="M93" s="142"/>
      <c r="N93" s="142"/>
      <c r="O93" s="69"/>
      <c r="P93" s="69"/>
      <c r="Q93" s="69"/>
      <c r="AW93" s="69"/>
    </row>
    <row r="94" spans="1:49" s="70" customFormat="1" x14ac:dyDescent="0.3">
      <c r="A94" s="206"/>
      <c r="B94" s="223"/>
      <c r="C94" s="223"/>
      <c r="D94" s="224"/>
      <c r="E94" s="223"/>
      <c r="F94" s="46"/>
      <c r="G94" s="46"/>
      <c r="H94" s="46"/>
      <c r="I94" s="142"/>
      <c r="J94" s="142"/>
      <c r="K94" s="142"/>
      <c r="L94" s="142"/>
      <c r="M94" s="142"/>
      <c r="N94" s="142"/>
      <c r="O94" s="69"/>
      <c r="P94" s="69"/>
      <c r="Q94" s="69"/>
      <c r="AW94" s="69"/>
    </row>
    <row r="95" spans="1:49" s="70" customFormat="1" x14ac:dyDescent="0.3">
      <c r="A95" s="206"/>
      <c r="B95" s="223"/>
      <c r="C95" s="223"/>
      <c r="D95" s="224"/>
      <c r="E95" s="223"/>
      <c r="F95" s="46"/>
      <c r="G95" s="46"/>
      <c r="H95" s="46"/>
      <c r="I95" s="11"/>
      <c r="J95" s="11"/>
      <c r="K95" s="63"/>
      <c r="L95" s="142"/>
      <c r="M95" s="142"/>
      <c r="N95" s="142"/>
      <c r="O95" s="69"/>
      <c r="P95" s="69"/>
      <c r="Q95" s="69"/>
      <c r="AW95" s="69"/>
    </row>
    <row r="96" spans="1:49" s="70" customFormat="1" x14ac:dyDescent="0.3">
      <c r="A96" s="206"/>
      <c r="B96" s="223"/>
      <c r="C96" s="223"/>
      <c r="D96" s="224"/>
      <c r="E96" s="223"/>
      <c r="F96" s="46"/>
      <c r="G96" s="46"/>
      <c r="H96" s="46"/>
      <c r="I96" s="142"/>
      <c r="J96" s="142"/>
      <c r="K96" s="142"/>
      <c r="L96" s="142"/>
      <c r="M96" s="142"/>
      <c r="N96" s="142"/>
      <c r="O96" s="69"/>
      <c r="P96" s="69"/>
      <c r="Q96" s="69"/>
      <c r="AW96" s="69"/>
    </row>
    <row r="97" spans="1:49" s="70" customFormat="1" x14ac:dyDescent="0.3">
      <c r="A97" s="206"/>
      <c r="B97" s="223"/>
      <c r="C97" s="223"/>
      <c r="D97" s="224"/>
      <c r="E97" s="223"/>
      <c r="F97" s="46"/>
      <c r="G97" s="46"/>
      <c r="H97" s="46"/>
      <c r="I97" s="11"/>
      <c r="J97" s="11"/>
      <c r="K97" s="63"/>
      <c r="L97" s="142"/>
      <c r="M97" s="142"/>
      <c r="N97" s="142"/>
      <c r="O97" s="69"/>
      <c r="P97" s="69"/>
      <c r="Q97" s="69"/>
      <c r="AW97" s="69"/>
    </row>
    <row r="98" spans="1:49" s="70" customFormat="1" x14ac:dyDescent="0.3">
      <c r="A98" s="206"/>
      <c r="B98" s="223"/>
      <c r="C98" s="223"/>
      <c r="D98" s="224"/>
      <c r="E98" s="223"/>
      <c r="F98" s="46"/>
      <c r="G98" s="46"/>
      <c r="H98" s="46"/>
      <c r="I98" s="142"/>
      <c r="J98" s="142"/>
      <c r="K98" s="142"/>
      <c r="L98" s="142"/>
      <c r="M98" s="142"/>
      <c r="N98" s="142"/>
      <c r="O98" s="69"/>
      <c r="P98" s="69"/>
      <c r="Q98" s="69"/>
      <c r="AW98" s="69"/>
    </row>
    <row r="99" spans="1:49" s="70" customFormat="1" x14ac:dyDescent="0.3">
      <c r="A99" s="206"/>
      <c r="B99" s="223"/>
      <c r="C99" s="223"/>
      <c r="D99" s="224"/>
      <c r="E99" s="223"/>
      <c r="F99" s="46"/>
      <c r="G99" s="46"/>
      <c r="H99" s="46"/>
      <c r="I99" s="11"/>
      <c r="J99" s="11"/>
      <c r="K99" s="63"/>
      <c r="L99" s="142"/>
      <c r="M99" s="142"/>
      <c r="N99" s="142"/>
      <c r="O99" s="144"/>
      <c r="P99" s="69"/>
      <c r="Q99" s="69"/>
      <c r="AW99" s="69"/>
    </row>
    <row r="100" spans="1:49" s="70" customFormat="1" x14ac:dyDescent="0.3">
      <c r="A100" s="148"/>
      <c r="B100" s="225"/>
      <c r="C100" s="225"/>
      <c r="D100" s="225"/>
      <c r="E100" s="225"/>
      <c r="F100" s="46"/>
      <c r="G100" s="46"/>
      <c r="H100" s="46"/>
      <c r="I100" s="142"/>
      <c r="J100" s="142"/>
      <c r="K100" s="142"/>
      <c r="L100" s="142"/>
      <c r="M100" s="142"/>
      <c r="N100" s="142"/>
      <c r="O100" s="144"/>
      <c r="P100" s="69"/>
      <c r="Q100" s="69"/>
      <c r="AW100" s="69"/>
    </row>
    <row r="101" spans="1:49" s="70" customFormat="1" x14ac:dyDescent="0.3">
      <c r="A101" s="69"/>
      <c r="B101" s="69"/>
      <c r="C101" s="69"/>
      <c r="D101" s="69"/>
      <c r="E101" s="69"/>
      <c r="F101" s="69"/>
      <c r="G101" s="69"/>
      <c r="H101" s="69"/>
      <c r="I101" s="142"/>
      <c r="J101" s="142"/>
      <c r="K101" s="142"/>
      <c r="L101" s="142"/>
      <c r="M101" s="142"/>
      <c r="N101" s="142"/>
      <c r="O101" s="144"/>
      <c r="P101" s="69"/>
      <c r="AW101" s="69"/>
    </row>
    <row r="102" spans="1:49" s="70" customFormat="1" x14ac:dyDescent="0.3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142"/>
      <c r="M102" s="142"/>
      <c r="N102" s="142"/>
      <c r="O102" s="144"/>
      <c r="P102" s="69"/>
      <c r="AW102" s="69"/>
    </row>
    <row r="103" spans="1:49" s="70" customFormat="1" x14ac:dyDescent="0.3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142"/>
      <c r="M103" s="142"/>
      <c r="N103" s="142"/>
      <c r="O103" s="144"/>
      <c r="P103" s="69"/>
      <c r="AW103" s="69"/>
    </row>
    <row r="104" spans="1:49" s="70" customFormat="1" x14ac:dyDescent="0.3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142"/>
      <c r="M104" s="142"/>
      <c r="N104" s="142"/>
      <c r="O104" s="144"/>
      <c r="P104" s="144"/>
      <c r="AW104" s="69"/>
    </row>
    <row r="105" spans="1:49" s="70" customFormat="1" x14ac:dyDescent="0.3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142"/>
      <c r="M105" s="142"/>
      <c r="N105" s="142"/>
      <c r="O105" s="144"/>
      <c r="P105" s="144"/>
      <c r="AW105" s="69"/>
    </row>
    <row r="106" spans="1:49" s="70" customFormat="1" x14ac:dyDescent="0.3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142"/>
      <c r="M106" s="142"/>
      <c r="N106" s="142"/>
      <c r="O106" s="144"/>
      <c r="P106" s="144"/>
      <c r="AW106" s="69"/>
    </row>
    <row r="107" spans="1:49" s="70" customFormat="1" x14ac:dyDescent="0.3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142"/>
      <c r="M107" s="142"/>
      <c r="N107" s="142"/>
      <c r="O107" s="144"/>
      <c r="P107" s="144"/>
      <c r="AW107" s="69"/>
    </row>
    <row r="108" spans="1:49" s="70" customFormat="1" x14ac:dyDescent="0.3">
      <c r="F108" s="69"/>
      <c r="G108" s="69"/>
      <c r="H108" s="69"/>
      <c r="I108" s="69"/>
      <c r="J108" s="69"/>
      <c r="K108" s="69"/>
      <c r="L108" s="142"/>
      <c r="M108" s="142"/>
      <c r="N108" s="142"/>
      <c r="O108" s="144"/>
      <c r="P108" s="144"/>
      <c r="AW108" s="69"/>
    </row>
    <row r="109" spans="1:49" s="70" customFormat="1" x14ac:dyDescent="0.3">
      <c r="I109" s="69"/>
      <c r="J109" s="69"/>
      <c r="K109" s="69"/>
      <c r="L109" s="142"/>
      <c r="M109" s="142"/>
      <c r="N109" s="142"/>
      <c r="O109" s="144"/>
      <c r="P109" s="144"/>
      <c r="AW109" s="69"/>
    </row>
    <row r="110" spans="1:49" s="70" customFormat="1" x14ac:dyDescent="0.3">
      <c r="L110" s="142"/>
      <c r="M110" s="142"/>
      <c r="N110" s="142"/>
      <c r="O110" s="144"/>
      <c r="P110" s="144"/>
      <c r="AW110" s="69"/>
    </row>
    <row r="111" spans="1:49" s="70" customFormat="1" x14ac:dyDescent="0.3">
      <c r="L111" s="142"/>
      <c r="M111" s="142"/>
      <c r="N111" s="142"/>
      <c r="O111" s="144"/>
      <c r="P111" s="144"/>
      <c r="AW111" s="69"/>
    </row>
    <row r="112" spans="1:49" s="70" customFormat="1" x14ac:dyDescent="0.3">
      <c r="L112" s="142"/>
      <c r="M112" s="142"/>
      <c r="N112" s="142"/>
      <c r="O112" s="144"/>
      <c r="P112" s="144"/>
      <c r="AW112" s="69"/>
    </row>
    <row r="113" spans="12:49" s="70" customFormat="1" x14ac:dyDescent="0.3">
      <c r="L113" s="142"/>
      <c r="M113" s="142"/>
      <c r="N113" s="142"/>
      <c r="O113" s="144"/>
      <c r="P113" s="144"/>
      <c r="AW113" s="69"/>
    </row>
    <row r="114" spans="12:49" s="70" customFormat="1" x14ac:dyDescent="0.3">
      <c r="L114" s="142"/>
      <c r="M114" s="142"/>
      <c r="N114" s="142"/>
      <c r="O114" s="144"/>
      <c r="P114" s="144"/>
      <c r="AW114" s="69"/>
    </row>
    <row r="115" spans="12:49" s="70" customFormat="1" x14ac:dyDescent="0.3">
      <c r="L115" s="142"/>
      <c r="M115" s="142"/>
      <c r="N115" s="142"/>
      <c r="O115" s="144"/>
      <c r="P115" s="144"/>
      <c r="AW115" s="69"/>
    </row>
    <row r="116" spans="12:49" s="70" customFormat="1" x14ac:dyDescent="0.3">
      <c r="L116" s="142"/>
      <c r="M116" s="142"/>
      <c r="N116" s="142"/>
      <c r="O116" s="144"/>
      <c r="P116" s="144"/>
      <c r="AW116" s="69"/>
    </row>
    <row r="117" spans="12:49" s="70" customFormat="1" x14ac:dyDescent="0.3">
      <c r="L117" s="142"/>
      <c r="M117" s="142"/>
      <c r="N117" s="142"/>
      <c r="O117" s="144"/>
      <c r="P117" s="144"/>
      <c r="AW117" s="69"/>
    </row>
    <row r="118" spans="12:49" s="70" customFormat="1" x14ac:dyDescent="0.3">
      <c r="L118" s="142"/>
      <c r="M118" s="142"/>
      <c r="N118" s="142"/>
      <c r="O118" s="144"/>
      <c r="P118" s="144"/>
      <c r="AW118" s="69"/>
    </row>
    <row r="119" spans="12:49" s="70" customFormat="1" x14ac:dyDescent="0.3">
      <c r="L119" s="142"/>
      <c r="M119" s="142"/>
      <c r="N119" s="142"/>
      <c r="O119" s="144"/>
      <c r="P119" s="144"/>
      <c r="AW119" s="69"/>
    </row>
    <row r="120" spans="12:49" s="70" customFormat="1" x14ac:dyDescent="0.3">
      <c r="L120" s="142"/>
      <c r="M120" s="142"/>
      <c r="N120" s="142"/>
      <c r="O120" s="144"/>
      <c r="P120" s="144"/>
      <c r="AW120" s="69"/>
    </row>
    <row r="121" spans="12:49" s="70" customFormat="1" x14ac:dyDescent="0.3">
      <c r="L121" s="142"/>
      <c r="M121" s="142"/>
      <c r="N121" s="142"/>
      <c r="O121" s="144"/>
      <c r="P121" s="144"/>
      <c r="AW121" s="69"/>
    </row>
    <row r="122" spans="12:49" s="70" customFormat="1" x14ac:dyDescent="0.3">
      <c r="L122" s="142"/>
      <c r="M122" s="142"/>
      <c r="N122" s="142"/>
      <c r="O122" s="144"/>
      <c r="P122" s="144"/>
      <c r="AW122" s="69"/>
    </row>
    <row r="123" spans="12:49" s="70" customFormat="1" x14ac:dyDescent="0.3">
      <c r="L123" s="142"/>
      <c r="M123" s="142"/>
      <c r="N123" s="142"/>
      <c r="O123" s="144"/>
      <c r="P123" s="144"/>
      <c r="AW123" s="69"/>
    </row>
    <row r="124" spans="12:49" s="70" customFormat="1" x14ac:dyDescent="0.3">
      <c r="L124" s="142"/>
      <c r="M124" s="142"/>
      <c r="N124" s="142"/>
      <c r="O124" s="144"/>
      <c r="P124" s="144"/>
      <c r="AW124" s="69"/>
    </row>
    <row r="125" spans="12:49" s="70" customFormat="1" x14ac:dyDescent="0.3">
      <c r="L125" s="142"/>
      <c r="M125" s="142"/>
      <c r="N125" s="142"/>
      <c r="O125" s="144"/>
      <c r="P125" s="144"/>
      <c r="AW125" s="69"/>
    </row>
    <row r="126" spans="12:49" s="70" customFormat="1" x14ac:dyDescent="0.3">
      <c r="L126" s="142"/>
      <c r="M126" s="142"/>
      <c r="N126" s="142"/>
      <c r="O126" s="144"/>
      <c r="P126" s="144"/>
      <c r="AW126" s="69"/>
    </row>
    <row r="127" spans="12:49" s="70" customFormat="1" x14ac:dyDescent="0.3">
      <c r="L127" s="142"/>
      <c r="M127" s="142"/>
      <c r="N127" s="142"/>
      <c r="O127" s="144"/>
      <c r="P127" s="144"/>
      <c r="AW127" s="69"/>
    </row>
    <row r="128" spans="12:49" s="70" customFormat="1" x14ac:dyDescent="0.3">
      <c r="L128" s="142"/>
      <c r="M128" s="142"/>
      <c r="N128" s="142"/>
      <c r="O128" s="144"/>
      <c r="P128" s="144"/>
      <c r="AW128" s="69"/>
    </row>
    <row r="129" spans="12:49" s="70" customFormat="1" x14ac:dyDescent="0.3">
      <c r="L129" s="142"/>
      <c r="M129" s="142"/>
      <c r="N129" s="142"/>
      <c r="O129" s="144"/>
      <c r="P129" s="144"/>
      <c r="AW129" s="69"/>
    </row>
    <row r="130" spans="12:49" s="70" customFormat="1" x14ac:dyDescent="0.3">
      <c r="L130" s="142"/>
      <c r="M130" s="142"/>
      <c r="N130" s="142"/>
      <c r="O130" s="144"/>
      <c r="P130" s="144"/>
      <c r="AW130" s="69"/>
    </row>
    <row r="131" spans="12:49" s="70" customFormat="1" x14ac:dyDescent="0.3">
      <c r="L131" s="142"/>
      <c r="M131" s="142"/>
      <c r="N131" s="142"/>
      <c r="O131" s="144"/>
      <c r="P131" s="144"/>
      <c r="AW131" s="69"/>
    </row>
    <row r="132" spans="12:49" s="70" customFormat="1" x14ac:dyDescent="0.3">
      <c r="L132" s="142"/>
      <c r="M132" s="142"/>
      <c r="N132" s="142"/>
      <c r="O132" s="144"/>
      <c r="P132" s="144"/>
      <c r="AW132" s="69"/>
    </row>
    <row r="133" spans="12:49" s="70" customFormat="1" x14ac:dyDescent="0.3">
      <c r="L133" s="142"/>
      <c r="M133" s="142"/>
      <c r="N133" s="142"/>
      <c r="O133" s="144"/>
      <c r="P133" s="144"/>
      <c r="AW133" s="69"/>
    </row>
    <row r="134" spans="12:49" s="70" customFormat="1" x14ac:dyDescent="0.3">
      <c r="L134" s="142"/>
      <c r="M134" s="142"/>
      <c r="N134" s="142"/>
      <c r="O134" s="144"/>
      <c r="P134" s="144"/>
      <c r="AW134" s="69"/>
    </row>
    <row r="135" spans="12:49" s="70" customFormat="1" x14ac:dyDescent="0.3">
      <c r="L135" s="142"/>
      <c r="M135" s="142"/>
      <c r="N135" s="142"/>
      <c r="O135" s="144"/>
      <c r="P135" s="144"/>
      <c r="AW135" s="69"/>
    </row>
    <row r="136" spans="12:49" s="70" customFormat="1" x14ac:dyDescent="0.3">
      <c r="L136" s="142"/>
      <c r="M136" s="142"/>
      <c r="N136" s="142"/>
      <c r="O136" s="144"/>
      <c r="P136" s="144"/>
      <c r="AW136" s="69"/>
    </row>
    <row r="137" spans="12:49" s="70" customFormat="1" x14ac:dyDescent="0.3">
      <c r="L137" s="142"/>
      <c r="M137" s="142"/>
      <c r="N137" s="142"/>
      <c r="O137" s="144"/>
      <c r="P137" s="144"/>
      <c r="AW137" s="69"/>
    </row>
    <row r="138" spans="12:49" s="70" customFormat="1" x14ac:dyDescent="0.3">
      <c r="L138" s="142"/>
      <c r="M138" s="142"/>
      <c r="N138" s="142"/>
      <c r="O138" s="144"/>
      <c r="P138" s="144"/>
      <c r="AW138" s="69"/>
    </row>
    <row r="139" spans="12:49" s="70" customFormat="1" x14ac:dyDescent="0.3">
      <c r="L139" s="142"/>
      <c r="M139" s="142"/>
      <c r="N139" s="142"/>
      <c r="O139" s="144"/>
      <c r="P139" s="144"/>
      <c r="AW139" s="69"/>
    </row>
    <row r="140" spans="12:49" s="70" customFormat="1" x14ac:dyDescent="0.3">
      <c r="L140" s="142"/>
      <c r="M140" s="142"/>
      <c r="N140" s="142"/>
      <c r="O140" s="144"/>
      <c r="P140" s="144"/>
      <c r="AW140" s="69"/>
    </row>
    <row r="141" spans="12:49" s="70" customFormat="1" x14ac:dyDescent="0.3">
      <c r="L141" s="142"/>
      <c r="M141" s="142"/>
      <c r="N141" s="142"/>
      <c r="O141" s="144"/>
      <c r="P141" s="144"/>
      <c r="AW141" s="69"/>
    </row>
    <row r="142" spans="12:49" s="70" customFormat="1" x14ac:dyDescent="0.3">
      <c r="L142" s="142"/>
      <c r="M142" s="142"/>
      <c r="N142" s="142"/>
      <c r="O142" s="144"/>
      <c r="P142" s="144"/>
      <c r="AW142" s="69"/>
    </row>
    <row r="143" spans="12:49" s="70" customFormat="1" x14ac:dyDescent="0.3">
      <c r="L143" s="142"/>
      <c r="M143" s="142"/>
      <c r="N143" s="142"/>
      <c r="O143" s="144"/>
      <c r="P143" s="144"/>
      <c r="AW143" s="69"/>
    </row>
    <row r="144" spans="12:49" s="70" customFormat="1" x14ac:dyDescent="0.3">
      <c r="L144" s="142"/>
      <c r="M144" s="142"/>
      <c r="N144" s="142"/>
      <c r="O144" s="144"/>
      <c r="P144" s="144"/>
      <c r="AW144" s="69"/>
    </row>
    <row r="145" spans="12:49" s="70" customFormat="1" x14ac:dyDescent="0.3">
      <c r="L145" s="142"/>
      <c r="M145" s="142"/>
      <c r="N145" s="142"/>
      <c r="O145" s="144"/>
      <c r="P145" s="144"/>
      <c r="AW145" s="69"/>
    </row>
    <row r="146" spans="12:49" s="70" customFormat="1" x14ac:dyDescent="0.3">
      <c r="L146" s="142"/>
      <c r="M146" s="142"/>
      <c r="N146" s="142"/>
      <c r="O146" s="144"/>
      <c r="P146" s="144"/>
      <c r="AW146" s="69"/>
    </row>
    <row r="147" spans="12:49" s="70" customFormat="1" x14ac:dyDescent="0.3">
      <c r="L147" s="142"/>
      <c r="M147" s="142"/>
      <c r="N147" s="142"/>
      <c r="O147" s="144"/>
      <c r="P147" s="144"/>
      <c r="AW147" s="69"/>
    </row>
    <row r="148" spans="12:49" s="70" customFormat="1" x14ac:dyDescent="0.3">
      <c r="L148" s="142"/>
      <c r="M148" s="142"/>
      <c r="N148" s="142"/>
      <c r="O148" s="144"/>
      <c r="P148" s="144"/>
      <c r="AW148" s="69"/>
    </row>
    <row r="149" spans="12:49" s="70" customFormat="1" x14ac:dyDescent="0.3">
      <c r="L149" s="142"/>
      <c r="M149" s="142"/>
      <c r="N149" s="142"/>
      <c r="O149" s="144"/>
      <c r="P149" s="144"/>
      <c r="AW149" s="69"/>
    </row>
    <row r="150" spans="12:49" s="70" customFormat="1" x14ac:dyDescent="0.3">
      <c r="L150" s="142"/>
      <c r="M150" s="142"/>
      <c r="N150" s="142"/>
      <c r="O150" s="144"/>
      <c r="P150" s="144"/>
      <c r="AW150" s="69"/>
    </row>
    <row r="151" spans="12:49" s="70" customFormat="1" x14ac:dyDescent="0.3">
      <c r="L151" s="142"/>
      <c r="M151" s="142"/>
      <c r="N151" s="142"/>
      <c r="O151" s="144"/>
      <c r="P151" s="144"/>
      <c r="AW151" s="69"/>
    </row>
    <row r="152" spans="12:49" s="70" customFormat="1" x14ac:dyDescent="0.3">
      <c r="L152" s="142"/>
      <c r="M152" s="142"/>
      <c r="N152" s="142"/>
      <c r="O152" s="144"/>
      <c r="P152" s="144"/>
      <c r="AW152" s="69"/>
    </row>
    <row r="153" spans="12:49" s="70" customFormat="1" x14ac:dyDescent="0.3">
      <c r="L153" s="142"/>
      <c r="M153" s="142"/>
      <c r="N153" s="142"/>
      <c r="O153" s="144"/>
      <c r="P153" s="144"/>
      <c r="AW153" s="69"/>
    </row>
    <row r="154" spans="12:49" s="70" customFormat="1" x14ac:dyDescent="0.3">
      <c r="L154" s="142"/>
      <c r="M154" s="142"/>
      <c r="N154" s="142"/>
      <c r="O154" s="144"/>
      <c r="P154" s="144"/>
      <c r="AW154" s="69"/>
    </row>
    <row r="155" spans="12:49" s="70" customFormat="1" x14ac:dyDescent="0.3">
      <c r="L155" s="142"/>
      <c r="M155" s="142"/>
      <c r="N155" s="142"/>
      <c r="O155" s="144"/>
      <c r="P155" s="144"/>
      <c r="AW155" s="69"/>
    </row>
    <row r="156" spans="12:49" s="70" customFormat="1" x14ac:dyDescent="0.3">
      <c r="L156" s="142"/>
      <c r="M156" s="142"/>
      <c r="N156" s="142"/>
      <c r="O156" s="144"/>
      <c r="P156" s="144"/>
      <c r="AW156" s="69"/>
    </row>
    <row r="157" spans="12:49" s="70" customFormat="1" x14ac:dyDescent="0.3">
      <c r="L157" s="142"/>
      <c r="M157" s="142"/>
      <c r="N157" s="142"/>
      <c r="O157" s="144"/>
      <c r="P157" s="144"/>
      <c r="AW157" s="69"/>
    </row>
    <row r="158" spans="12:49" s="70" customFormat="1" x14ac:dyDescent="0.3">
      <c r="L158" s="142"/>
      <c r="M158" s="142"/>
      <c r="N158" s="142"/>
      <c r="O158" s="144"/>
      <c r="P158" s="144"/>
      <c r="AW158" s="69"/>
    </row>
    <row r="159" spans="12:49" s="70" customFormat="1" x14ac:dyDescent="0.3">
      <c r="L159" s="142"/>
      <c r="M159" s="142"/>
      <c r="N159" s="142"/>
      <c r="O159" s="144"/>
      <c r="P159" s="144"/>
      <c r="AW159" s="69"/>
    </row>
    <row r="160" spans="12:49" s="70" customFormat="1" x14ac:dyDescent="0.3">
      <c r="L160" s="142"/>
      <c r="M160" s="142"/>
      <c r="N160" s="142"/>
      <c r="O160" s="144"/>
      <c r="P160" s="144"/>
      <c r="AW160" s="69"/>
    </row>
    <row r="161" spans="1:50" s="70" customFormat="1" x14ac:dyDescent="0.3">
      <c r="L161" s="142"/>
      <c r="M161" s="142"/>
      <c r="N161" s="142"/>
      <c r="O161" s="144"/>
      <c r="P161" s="144"/>
      <c r="AW161" s="69"/>
    </row>
    <row r="162" spans="1:50" s="70" customFormat="1" x14ac:dyDescent="0.3">
      <c r="L162" s="142"/>
      <c r="M162" s="142"/>
      <c r="N162" s="142"/>
      <c r="O162" s="144"/>
      <c r="P162" s="144"/>
      <c r="AW162" s="69"/>
    </row>
    <row r="163" spans="1:50" s="70" customFormat="1" x14ac:dyDescent="0.3">
      <c r="L163" s="142"/>
      <c r="M163" s="142"/>
      <c r="N163" s="142"/>
      <c r="O163" s="144"/>
      <c r="P163" s="144"/>
      <c r="AW163" s="69"/>
    </row>
    <row r="164" spans="1:50" s="70" customFormat="1" x14ac:dyDescent="0.3">
      <c r="L164" s="142"/>
      <c r="M164" s="142"/>
      <c r="N164" s="142"/>
      <c r="O164" s="144"/>
      <c r="P164" s="144"/>
      <c r="AW164" s="69"/>
    </row>
    <row r="165" spans="1:50" s="145" customFormat="1" x14ac:dyDescent="0.3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142"/>
      <c r="M165" s="142"/>
      <c r="N165" s="142"/>
      <c r="O165" s="144"/>
      <c r="P165" s="144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 s="69"/>
      <c r="AX165" s="70"/>
    </row>
    <row r="166" spans="1:50" s="145" customFormat="1" x14ac:dyDescent="0.3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142"/>
      <c r="M166" s="142"/>
      <c r="N166" s="142"/>
      <c r="O166" s="144"/>
      <c r="P166" s="144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69"/>
      <c r="AX166" s="70"/>
    </row>
    <row r="167" spans="1:50" s="145" customFormat="1" x14ac:dyDescent="0.3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142"/>
      <c r="M167" s="142"/>
      <c r="N167" s="142"/>
      <c r="O167" s="144"/>
      <c r="P167" s="144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69"/>
      <c r="AX167" s="70"/>
    </row>
    <row r="168" spans="1:50" s="145" customFormat="1" x14ac:dyDescent="0.3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142"/>
      <c r="M168" s="142"/>
      <c r="N168" s="142"/>
      <c r="O168" s="144"/>
      <c r="P168" s="144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69"/>
      <c r="AX168" s="70"/>
    </row>
    <row r="169" spans="1:50" s="145" customFormat="1" x14ac:dyDescent="0.3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142"/>
      <c r="M169" s="142"/>
      <c r="N169" s="142"/>
      <c r="O169" s="144"/>
      <c r="P169" s="144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69"/>
      <c r="AX169" s="70"/>
    </row>
    <row r="170" spans="1:50" s="145" customFormat="1" x14ac:dyDescent="0.3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142"/>
      <c r="M170" s="142"/>
      <c r="N170" s="142"/>
      <c r="O170" s="144"/>
      <c r="P170" s="144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69"/>
      <c r="AX170" s="70"/>
    </row>
    <row r="171" spans="1:50" s="145" customFormat="1" x14ac:dyDescent="0.3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142"/>
      <c r="M171" s="142"/>
      <c r="N171" s="142"/>
      <c r="O171" s="144"/>
      <c r="P171" s="144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69"/>
      <c r="AX171" s="70"/>
    </row>
    <row r="172" spans="1:50" s="145" customFormat="1" x14ac:dyDescent="0.3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142"/>
      <c r="M172" s="142"/>
      <c r="N172" s="142"/>
      <c r="O172" s="144"/>
      <c r="P172" s="144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69"/>
      <c r="AX172" s="70"/>
    </row>
    <row r="173" spans="1:50" s="145" customFormat="1" x14ac:dyDescent="0.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142"/>
      <c r="M173" s="142"/>
      <c r="N173" s="142"/>
      <c r="O173" s="144"/>
      <c r="P173" s="144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69"/>
      <c r="AX173" s="70"/>
    </row>
    <row r="174" spans="1:50" s="145" customFormat="1" x14ac:dyDescent="0.3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142"/>
      <c r="M174" s="142"/>
      <c r="N174" s="142"/>
      <c r="O174" s="144"/>
      <c r="P174" s="144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69"/>
      <c r="AX174" s="70"/>
    </row>
    <row r="175" spans="1:50" s="145" customFormat="1" x14ac:dyDescent="0.3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142"/>
      <c r="M175" s="142"/>
      <c r="N175" s="142"/>
      <c r="O175" s="144"/>
      <c r="P175" s="144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69"/>
      <c r="AX175" s="70"/>
    </row>
    <row r="176" spans="1:50" s="145" customFormat="1" x14ac:dyDescent="0.3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142"/>
      <c r="M176" s="142"/>
      <c r="N176" s="142"/>
      <c r="O176" s="147"/>
      <c r="P176" s="144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69"/>
      <c r="AX176" s="70"/>
    </row>
    <row r="177" spans="1:50" s="145" customFormat="1" x14ac:dyDescent="0.3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146"/>
      <c r="M177" s="146"/>
      <c r="N177" s="146"/>
      <c r="O177" s="147"/>
      <c r="P177" s="144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69"/>
      <c r="AX177" s="70"/>
    </row>
    <row r="178" spans="1:50" s="145" customFormat="1" x14ac:dyDescent="0.3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146"/>
      <c r="M178" s="146"/>
      <c r="N178" s="146"/>
      <c r="O178" s="147"/>
      <c r="P178" s="144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69"/>
      <c r="AX178" s="70"/>
    </row>
    <row r="179" spans="1:50" s="145" customFormat="1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146"/>
      <c r="M179" s="146"/>
      <c r="N179" s="146"/>
      <c r="O179" s="147"/>
      <c r="P179" s="144"/>
      <c r="Q179" s="149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69"/>
      <c r="AX179" s="70"/>
    </row>
    <row r="180" spans="1:50" s="145" customFormat="1" x14ac:dyDescent="0.3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146"/>
      <c r="M180" s="146"/>
      <c r="N180" s="146"/>
      <c r="O180" s="147"/>
      <c r="P180" s="144"/>
      <c r="Q180" s="149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69"/>
      <c r="AX180" s="70"/>
    </row>
    <row r="181" spans="1:50" s="145" customFormat="1" x14ac:dyDescent="0.3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146"/>
      <c r="M181" s="146"/>
      <c r="N181" s="146"/>
      <c r="O181" s="147"/>
      <c r="P181" s="147"/>
      <c r="Q181" s="149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69"/>
      <c r="AX181" s="70"/>
    </row>
    <row r="182" spans="1:50" x14ac:dyDescent="0.3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146"/>
      <c r="M182" s="146"/>
      <c r="N182" s="146"/>
      <c r="O182" s="147"/>
      <c r="P182" s="147"/>
      <c r="Q182" s="149"/>
      <c r="AW182" s="148"/>
      <c r="AX182" s="148"/>
    </row>
    <row r="183" spans="1:50" x14ac:dyDescent="0.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146"/>
      <c r="M183" s="146"/>
      <c r="N183" s="146"/>
      <c r="O183" s="147"/>
      <c r="P183" s="147"/>
      <c r="Q183" s="149"/>
      <c r="AW183" s="148"/>
      <c r="AX183" s="148"/>
    </row>
    <row r="184" spans="1:50" x14ac:dyDescent="0.3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146"/>
      <c r="M184" s="146"/>
      <c r="N184" s="146"/>
      <c r="O184" s="147"/>
      <c r="P184" s="147"/>
      <c r="Q184" s="149"/>
      <c r="AW184" s="148"/>
      <c r="AX184" s="148"/>
    </row>
    <row r="185" spans="1:50" x14ac:dyDescent="0.3">
      <c r="A185" s="149"/>
      <c r="B185" s="149"/>
      <c r="C185" s="149"/>
      <c r="D185" s="149"/>
      <c r="E185" s="149"/>
      <c r="F185" s="70"/>
      <c r="G185" s="70"/>
      <c r="H185" s="70"/>
      <c r="I185" s="70"/>
      <c r="J185" s="70"/>
      <c r="K185" s="70"/>
      <c r="L185" s="146"/>
      <c r="M185" s="146"/>
      <c r="N185" s="146"/>
      <c r="O185" s="147"/>
      <c r="P185" s="147"/>
      <c r="Q185" s="149"/>
      <c r="AW185" s="148"/>
      <c r="AX185" s="148"/>
    </row>
    <row r="186" spans="1:50" x14ac:dyDescent="0.3">
      <c r="A186" s="149"/>
      <c r="B186" s="149"/>
      <c r="C186" s="149"/>
      <c r="D186" s="149"/>
      <c r="E186" s="149"/>
      <c r="F186" s="149"/>
      <c r="G186" s="149"/>
      <c r="H186" s="149"/>
      <c r="I186" s="70"/>
      <c r="J186" s="70"/>
      <c r="K186" s="70"/>
      <c r="L186" s="146"/>
      <c r="M186" s="146"/>
      <c r="N186" s="146"/>
      <c r="O186" s="147"/>
      <c r="P186" s="147"/>
      <c r="Q186" s="149"/>
      <c r="AW186" s="148"/>
      <c r="AX186" s="148"/>
    </row>
    <row r="187" spans="1:50" x14ac:dyDescent="0.3">
      <c r="A187" s="149"/>
      <c r="B187" s="149"/>
      <c r="C187" s="149"/>
      <c r="D187" s="149"/>
      <c r="E187" s="149"/>
      <c r="F187" s="149"/>
      <c r="G187" s="149"/>
      <c r="H187" s="149"/>
      <c r="I187" s="149"/>
      <c r="J187" s="149"/>
      <c r="K187" s="149"/>
      <c r="L187" s="146"/>
      <c r="M187" s="146"/>
      <c r="N187" s="146"/>
      <c r="O187" s="147"/>
      <c r="P187" s="147"/>
      <c r="Q187" s="149"/>
      <c r="AW187" s="148"/>
      <c r="AX187" s="148"/>
    </row>
    <row r="188" spans="1:50" x14ac:dyDescent="0.3">
      <c r="A188" s="149"/>
      <c r="B188" s="149"/>
      <c r="C188" s="149"/>
      <c r="D188" s="149"/>
      <c r="E188" s="149"/>
      <c r="F188" s="149"/>
      <c r="G188" s="149"/>
      <c r="H188" s="149"/>
      <c r="I188" s="149"/>
      <c r="J188" s="149"/>
      <c r="K188" s="149"/>
      <c r="L188" s="146"/>
      <c r="M188" s="146"/>
      <c r="N188" s="146"/>
      <c r="O188" s="147"/>
      <c r="P188" s="147"/>
      <c r="Q188" s="149"/>
      <c r="AW188" s="148"/>
      <c r="AX188" s="148"/>
    </row>
    <row r="189" spans="1:50" x14ac:dyDescent="0.3">
      <c r="A189" s="149"/>
      <c r="B189" s="149"/>
      <c r="C189" s="149"/>
      <c r="D189" s="149"/>
      <c r="E189" s="149"/>
      <c r="F189" s="149"/>
      <c r="G189" s="149"/>
      <c r="H189" s="149"/>
      <c r="I189" s="149"/>
      <c r="J189" s="149"/>
      <c r="K189" s="149"/>
      <c r="L189" s="146"/>
      <c r="M189" s="146"/>
      <c r="N189" s="146"/>
      <c r="O189" s="147"/>
      <c r="P189" s="147"/>
      <c r="Q189" s="149"/>
      <c r="AW189" s="148"/>
      <c r="AX189" s="148"/>
    </row>
    <row r="190" spans="1:50" x14ac:dyDescent="0.3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6"/>
      <c r="M190" s="146"/>
      <c r="N190" s="146"/>
      <c r="O190" s="147"/>
      <c r="P190" s="147"/>
      <c r="Q190" s="149"/>
      <c r="AW190" s="148"/>
      <c r="AX190" s="148"/>
    </row>
    <row r="191" spans="1:50" x14ac:dyDescent="0.3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6"/>
      <c r="M191" s="146"/>
      <c r="N191" s="146"/>
      <c r="O191" s="147"/>
      <c r="P191" s="147"/>
      <c r="AW191" s="148"/>
      <c r="AX191" s="148"/>
    </row>
    <row r="192" spans="1:50" x14ac:dyDescent="0.3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6"/>
      <c r="M192" s="146"/>
      <c r="N192" s="146"/>
      <c r="O192" s="147"/>
      <c r="P192" s="147"/>
      <c r="AW192" s="148"/>
      <c r="AX192" s="148"/>
    </row>
    <row r="193" spans="1:50" x14ac:dyDescent="0.3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6"/>
      <c r="M193" s="146"/>
      <c r="N193" s="146"/>
      <c r="P193" s="147"/>
      <c r="AW193" s="148"/>
      <c r="AX193" s="148"/>
    </row>
    <row r="194" spans="1:50" x14ac:dyDescent="0.3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P194" s="147"/>
    </row>
    <row r="195" spans="1:50" x14ac:dyDescent="0.3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P195" s="147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/>
      <c r="AO195" s="69"/>
      <c r="AP195" s="69"/>
      <c r="AQ195" s="69"/>
      <c r="AR195" s="69"/>
      <c r="AS195" s="69"/>
      <c r="AT195" s="69"/>
      <c r="AU195" s="69"/>
      <c r="AV195" s="69"/>
      <c r="AW195" s="148"/>
      <c r="AX195" s="148"/>
    </row>
    <row r="196" spans="1:50" x14ac:dyDescent="0.3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P196" s="147"/>
    </row>
    <row r="197" spans="1:50" x14ac:dyDescent="0.3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O197" s="148"/>
      <c r="P197" s="147"/>
    </row>
    <row r="198" spans="1:50" x14ac:dyDescent="0.3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</row>
    <row r="199" spans="1:50" x14ac:dyDescent="0.3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</row>
    <row r="200" spans="1:50" x14ac:dyDescent="0.3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</row>
    <row r="201" spans="1:50" x14ac:dyDescent="0.3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</row>
    <row r="202" spans="1:50" x14ac:dyDescent="0.3">
      <c r="F202" s="149"/>
      <c r="G202" s="149"/>
      <c r="H202" s="149"/>
      <c r="I202" s="149"/>
      <c r="J202" s="149"/>
      <c r="K202" s="149"/>
    </row>
    <row r="203" spans="1:50" x14ac:dyDescent="0.3">
      <c r="I203" s="149"/>
      <c r="J203" s="149"/>
      <c r="K203" s="149"/>
    </row>
    <row r="207" spans="1:50" x14ac:dyDescent="0.3">
      <c r="L207" s="148"/>
      <c r="M207" s="148"/>
      <c r="N207" s="148"/>
    </row>
    <row r="1048535" spans="1:61" x14ac:dyDescent="0.3">
      <c r="Q1048535" s="57"/>
    </row>
    <row r="1048539" spans="1:61" s="70" customFormat="1" x14ac:dyDescent="0.3">
      <c r="A1048539" s="148"/>
      <c r="B1048539" s="148"/>
      <c r="C1048539" s="148"/>
      <c r="D1048539" s="148"/>
      <c r="E1048539" s="148"/>
      <c r="F1048539" s="148"/>
      <c r="G1048539" s="148"/>
      <c r="H1048539" s="148"/>
      <c r="I1048539" s="148"/>
      <c r="J1048539" s="148"/>
      <c r="K1048539" s="148"/>
      <c r="L1048539" s="150"/>
      <c r="M1048539" s="150"/>
      <c r="N1048539" s="150"/>
      <c r="O1048539" s="150"/>
      <c r="P1048539" s="150"/>
      <c r="Q1048539" s="148"/>
      <c r="AW1048539" s="69"/>
      <c r="AX1048539" s="69"/>
      <c r="AY1048539" s="148"/>
      <c r="AZ1048539" s="148"/>
      <c r="BA1048539" s="148"/>
      <c r="BB1048539" s="148"/>
      <c r="BC1048539" s="148"/>
      <c r="BD1048539" s="148"/>
      <c r="BE1048539" s="148"/>
      <c r="BF1048539" s="148"/>
      <c r="BG1048539" s="148"/>
      <c r="BH1048539" s="148"/>
      <c r="BI1048539" s="148"/>
    </row>
  </sheetData>
  <mergeCells count="42">
    <mergeCell ref="O55:P55"/>
    <mergeCell ref="O60:P60"/>
    <mergeCell ref="O61:P61"/>
    <mergeCell ref="O56:P56"/>
    <mergeCell ref="O72:Q72"/>
    <mergeCell ref="O63:P63"/>
    <mergeCell ref="O64:P64"/>
    <mergeCell ref="O65:P65"/>
    <mergeCell ref="O57:P57"/>
    <mergeCell ref="O58:P58"/>
    <mergeCell ref="O59:P59"/>
    <mergeCell ref="O62:P62"/>
    <mergeCell ref="O66:P66"/>
    <mergeCell ref="O73:P73"/>
    <mergeCell ref="O67:P67"/>
    <mergeCell ref="O68:P68"/>
    <mergeCell ref="O69:P69"/>
    <mergeCell ref="O70:P70"/>
    <mergeCell ref="O71:P71"/>
    <mergeCell ref="O51:Q52"/>
    <mergeCell ref="O53:Q53"/>
    <mergeCell ref="E43:K43"/>
    <mergeCell ref="E44:K44"/>
    <mergeCell ref="E45:K45"/>
    <mergeCell ref="A46:K46"/>
    <mergeCell ref="A48:E48"/>
    <mergeCell ref="O54:P54"/>
    <mergeCell ref="A42:Q42"/>
    <mergeCell ref="A1:Q1"/>
    <mergeCell ref="A2:Q2"/>
    <mergeCell ref="A5:B5"/>
    <mergeCell ref="A6:Q6"/>
    <mergeCell ref="A36:B36"/>
    <mergeCell ref="A37:Q37"/>
    <mergeCell ref="E38:K38"/>
    <mergeCell ref="E39:K39"/>
    <mergeCell ref="A40:K40"/>
    <mergeCell ref="O40:Q40"/>
    <mergeCell ref="A41:O41"/>
    <mergeCell ref="O48:Q48"/>
    <mergeCell ref="O49:P49"/>
    <mergeCell ref="O50:P50"/>
  </mergeCells>
  <pageMargins left="0" right="0" top="0" bottom="0" header="0.31496062992125984" footer="0.31496062992125984"/>
  <pageSetup paperSize="9" scale="1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94CFF-F23E-4C46-94B8-7D04086867A7}">
  <sheetPr>
    <pageSetUpPr fitToPage="1"/>
  </sheetPr>
  <dimension ref="A1:BI1048539"/>
  <sheetViews>
    <sheetView topLeftCell="M31" zoomScale="60" zoomScaleNormal="60" workbookViewId="0">
      <selection activeCell="A42" sqref="A42:Q42"/>
    </sheetView>
  </sheetViews>
  <sheetFormatPr defaultColWidth="9.109375" defaultRowHeight="13.8" x14ac:dyDescent="0.3"/>
  <cols>
    <col min="1" max="1" width="52.109375" style="148" customWidth="1"/>
    <col min="2" max="2" width="11.109375" style="148" bestFit="1" customWidth="1"/>
    <col min="3" max="3" width="19" style="148" customWidth="1"/>
    <col min="4" max="4" width="19" style="148" bestFit="1" customWidth="1"/>
    <col min="5" max="5" width="17.109375" style="148" customWidth="1"/>
    <col min="6" max="6" width="19" style="148" bestFit="1" customWidth="1"/>
    <col min="7" max="7" width="16" style="148" customWidth="1"/>
    <col min="8" max="8" width="16.6640625" style="148" bestFit="1" customWidth="1"/>
    <col min="9" max="10" width="14.109375" style="148" bestFit="1" customWidth="1"/>
    <col min="11" max="11" width="15.109375" style="148" bestFit="1" customWidth="1"/>
    <col min="12" max="12" width="18.44140625" style="150" bestFit="1" customWidth="1"/>
    <col min="13" max="13" width="17.5546875" style="150" bestFit="1" customWidth="1"/>
    <col min="14" max="14" width="19" style="150" bestFit="1" customWidth="1"/>
    <col min="15" max="15" width="112.5546875" style="150" bestFit="1" customWidth="1"/>
    <col min="16" max="16" width="12" style="150" customWidth="1"/>
    <col min="17" max="17" width="18.109375" style="148" bestFit="1" customWidth="1"/>
    <col min="18" max="19" width="13.109375" style="70" bestFit="1" customWidth="1"/>
    <col min="20" max="48" width="9.109375" style="70"/>
    <col min="49" max="50" width="9.109375" style="69"/>
    <col min="51" max="16384" width="9.109375" style="148"/>
  </cols>
  <sheetData>
    <row r="1" spans="1:43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</row>
    <row r="2" spans="1:43" s="10" customFormat="1" ht="28.5" customHeight="1" x14ac:dyDescent="0.3">
      <c r="A2" s="571" t="s">
        <v>908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3"/>
    </row>
    <row r="3" spans="1:43" s="10" customFormat="1" ht="30.75" customHeight="1" x14ac:dyDescent="0.3">
      <c r="A3" s="83" t="s">
        <v>3</v>
      </c>
      <c r="B3" s="83" t="s">
        <v>0</v>
      </c>
      <c r="C3" s="83" t="s">
        <v>821</v>
      </c>
      <c r="D3" s="84" t="s">
        <v>1</v>
      </c>
      <c r="E3" s="84" t="s">
        <v>68</v>
      </c>
      <c r="F3" s="84" t="s">
        <v>69</v>
      </c>
      <c r="G3" s="85" t="s">
        <v>2</v>
      </c>
      <c r="H3" s="85" t="s">
        <v>592</v>
      </c>
      <c r="I3" s="84" t="s">
        <v>6</v>
      </c>
      <c r="J3" s="84" t="s">
        <v>764</v>
      </c>
      <c r="K3" s="84" t="s">
        <v>7</v>
      </c>
      <c r="L3" s="84" t="s">
        <v>4</v>
      </c>
      <c r="M3" s="84" t="s">
        <v>5</v>
      </c>
      <c r="N3" s="84" t="s">
        <v>70</v>
      </c>
      <c r="O3" s="83" t="s">
        <v>59</v>
      </c>
      <c r="P3" s="86" t="s">
        <v>8</v>
      </c>
      <c r="Q3" s="86" t="s">
        <v>10</v>
      </c>
    </row>
    <row r="4" spans="1:43" s="199" customFormat="1" ht="15" customHeight="1" x14ac:dyDescent="0.3">
      <c r="A4" s="193" t="s">
        <v>894</v>
      </c>
      <c r="B4" s="193">
        <v>16</v>
      </c>
      <c r="C4" s="193" t="s">
        <v>823</v>
      </c>
      <c r="D4" s="196">
        <f>'GERAL 2024'!G34</f>
        <v>640</v>
      </c>
      <c r="E4" s="196">
        <v>0</v>
      </c>
      <c r="F4" s="196">
        <f>D4-E4</f>
        <v>640</v>
      </c>
      <c r="G4" s="192">
        <v>50</v>
      </c>
      <c r="H4" s="192">
        <f>(1541.7/27)</f>
        <v>57.1</v>
      </c>
      <c r="I4" s="192">
        <f>'GERAL 2024'!I34</f>
        <v>1.3105200945626476</v>
      </c>
      <c r="J4" s="192">
        <f>'GERAL 2024'!K34</f>
        <v>0.79837470449172576</v>
      </c>
      <c r="K4" s="192">
        <v>21.2</v>
      </c>
      <c r="L4" s="191">
        <f>SUM(F4:K4)</f>
        <v>770.40889479905445</v>
      </c>
      <c r="M4" s="192">
        <f>60%*(D4+G4)</f>
        <v>414</v>
      </c>
      <c r="N4" s="192">
        <f>L4-M4</f>
        <v>356.40889479905445</v>
      </c>
      <c r="O4" s="193" t="s">
        <v>911</v>
      </c>
      <c r="P4" s="197"/>
      <c r="Q4" s="194"/>
      <c r="R4" s="198"/>
      <c r="S4" s="198"/>
      <c r="T4" s="198"/>
      <c r="U4" s="198"/>
      <c r="V4" s="198"/>
      <c r="W4" s="198"/>
      <c r="X4" s="198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8"/>
      <c r="AK4" s="198"/>
      <c r="AL4" s="198"/>
      <c r="AM4" s="198"/>
      <c r="AN4" s="198"/>
      <c r="AO4" s="198"/>
      <c r="AP4" s="198"/>
      <c r="AQ4" s="198"/>
    </row>
    <row r="5" spans="1:43" s="199" customFormat="1" ht="15" customHeight="1" x14ac:dyDescent="0.3">
      <c r="A5" s="193" t="s">
        <v>902</v>
      </c>
      <c r="B5" s="193">
        <v>17</v>
      </c>
      <c r="C5" s="193" t="s">
        <v>823</v>
      </c>
      <c r="D5" s="196">
        <f>'GERAL 2024'!G35</f>
        <v>640</v>
      </c>
      <c r="E5" s="196">
        <v>0</v>
      </c>
      <c r="F5" s="196">
        <f>D5-E5</f>
        <v>640</v>
      </c>
      <c r="G5" s="192">
        <v>50</v>
      </c>
      <c r="H5" s="192">
        <f>(1541.7/27)</f>
        <v>57.1</v>
      </c>
      <c r="I5" s="192">
        <f>'GERAL 2024'!I35</f>
        <v>1.3105200945626476</v>
      </c>
      <c r="J5" s="192">
        <f>'GERAL 2024'!K35</f>
        <v>0.79837470449172576</v>
      </c>
      <c r="K5" s="192">
        <v>21.2</v>
      </c>
      <c r="L5" s="191">
        <f>SUM(F5:K5)</f>
        <v>770.40889479905445</v>
      </c>
      <c r="M5" s="192">
        <f>60%*(D5+G5)</f>
        <v>414</v>
      </c>
      <c r="N5" s="192">
        <f>L5-M5</f>
        <v>356.40889479905445</v>
      </c>
      <c r="O5" s="193" t="s">
        <v>911</v>
      </c>
      <c r="P5" s="197"/>
      <c r="Q5" s="194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8"/>
      <c r="AK5" s="198"/>
      <c r="AL5" s="198"/>
      <c r="AM5" s="198"/>
      <c r="AN5" s="198"/>
      <c r="AO5" s="198"/>
      <c r="AP5" s="198"/>
      <c r="AQ5" s="198"/>
    </row>
    <row r="6" spans="1:43" s="10" customFormat="1" x14ac:dyDescent="0.3">
      <c r="A6" s="518" t="s">
        <v>4</v>
      </c>
      <c r="B6" s="518"/>
      <c r="C6" s="95"/>
      <c r="D6" s="109">
        <f>SUM(D4:D5)</f>
        <v>1280</v>
      </c>
      <c r="E6" s="109">
        <f t="shared" ref="E6:N6" si="0">SUM(E4:E5)</f>
        <v>0</v>
      </c>
      <c r="F6" s="109">
        <f>SUM(F4:F5)</f>
        <v>1280</v>
      </c>
      <c r="G6" s="109">
        <f>SUM(G4:G5)</f>
        <v>100</v>
      </c>
      <c r="H6" s="109">
        <f t="shared" si="0"/>
        <v>114.2</v>
      </c>
      <c r="I6" s="109">
        <f t="shared" si="0"/>
        <v>2.6210401891252952</v>
      </c>
      <c r="J6" s="109">
        <f t="shared" si="0"/>
        <v>1.5967494089834515</v>
      </c>
      <c r="K6" s="109">
        <f t="shared" si="0"/>
        <v>42.4</v>
      </c>
      <c r="L6" s="109">
        <f t="shared" si="0"/>
        <v>1540.8177895981089</v>
      </c>
      <c r="M6" s="109">
        <f t="shared" si="0"/>
        <v>828</v>
      </c>
      <c r="N6" s="109">
        <f t="shared" si="0"/>
        <v>712.8177895981089</v>
      </c>
      <c r="O6" s="90"/>
      <c r="P6" s="3"/>
      <c r="Q6" s="3"/>
    </row>
    <row r="7" spans="1:43" s="10" customFormat="1" ht="28.5" customHeight="1" x14ac:dyDescent="0.3">
      <c r="A7" s="571" t="s">
        <v>909</v>
      </c>
      <c r="B7" s="572"/>
      <c r="C7" s="572"/>
      <c r="D7" s="572"/>
      <c r="E7" s="572"/>
      <c r="F7" s="572"/>
      <c r="G7" s="572"/>
      <c r="H7" s="572"/>
      <c r="I7" s="572"/>
      <c r="J7" s="572"/>
      <c r="K7" s="572"/>
      <c r="L7" s="572"/>
      <c r="M7" s="572"/>
      <c r="N7" s="572"/>
      <c r="O7" s="572"/>
      <c r="P7" s="572"/>
      <c r="Q7" s="573"/>
    </row>
    <row r="8" spans="1:43" s="11" customFormat="1" ht="34.5" customHeight="1" x14ac:dyDescent="0.3">
      <c r="A8" s="83" t="s">
        <v>3</v>
      </c>
      <c r="B8" s="83" t="s">
        <v>0</v>
      </c>
      <c r="C8" s="83" t="s">
        <v>821</v>
      </c>
      <c r="D8" s="84" t="s">
        <v>1</v>
      </c>
      <c r="E8" s="84" t="s">
        <v>68</v>
      </c>
      <c r="F8" s="84" t="s">
        <v>69</v>
      </c>
      <c r="G8" s="85" t="s">
        <v>2</v>
      </c>
      <c r="H8" s="85" t="s">
        <v>592</v>
      </c>
      <c r="I8" s="84" t="s">
        <v>6</v>
      </c>
      <c r="J8" s="84" t="s">
        <v>764</v>
      </c>
      <c r="K8" s="84" t="s">
        <v>7</v>
      </c>
      <c r="L8" s="84" t="s">
        <v>4</v>
      </c>
      <c r="M8" s="84" t="s">
        <v>5</v>
      </c>
      <c r="N8" s="84" t="s">
        <v>70</v>
      </c>
      <c r="O8" s="83" t="s">
        <v>59</v>
      </c>
      <c r="P8" s="86" t="s">
        <v>8</v>
      </c>
      <c r="Q8" s="86" t="s">
        <v>10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</row>
    <row r="9" spans="1:43" s="199" customFormat="1" x14ac:dyDescent="0.3">
      <c r="A9" s="195" t="s">
        <v>766</v>
      </c>
      <c r="B9" s="193">
        <v>1</v>
      </c>
      <c r="C9" s="193" t="s">
        <v>822</v>
      </c>
      <c r="D9" s="196">
        <v>0</v>
      </c>
      <c r="E9" s="192">
        <v>0</v>
      </c>
      <c r="F9" s="192">
        <f t="shared" ref="F9:F25" si="1">D9-E9</f>
        <v>0</v>
      </c>
      <c r="G9" s="196">
        <v>0</v>
      </c>
      <c r="H9" s="192">
        <f>(1541.7/27)</f>
        <v>57.1</v>
      </c>
      <c r="I9" s="192">
        <f>'GERAL 2024'!I3</f>
        <v>1.3105200945626476</v>
      </c>
      <c r="J9" s="192">
        <f>'GERAL 2024'!K3</f>
        <v>0.79837470449172576</v>
      </c>
      <c r="K9" s="192">
        <v>0</v>
      </c>
      <c r="L9" s="191">
        <f t="shared" ref="L9:L35" si="2">SUM(F9:K9)</f>
        <v>59.208894799054377</v>
      </c>
      <c r="M9" s="192">
        <f>7%*L9</f>
        <v>4.144622635933807</v>
      </c>
      <c r="N9" s="192">
        <f>L9-M9</f>
        <v>55.06427216312057</v>
      </c>
      <c r="O9" s="196" t="s">
        <v>912</v>
      </c>
      <c r="P9" s="197">
        <v>10</v>
      </c>
      <c r="Q9" s="197">
        <v>11</v>
      </c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  <c r="AQ9" s="198"/>
    </row>
    <row r="10" spans="1:43" s="203" customFormat="1" x14ac:dyDescent="0.3">
      <c r="A10" s="193"/>
      <c r="B10" s="194">
        <v>2</v>
      </c>
      <c r="C10" s="194"/>
      <c r="D10" s="196">
        <v>0</v>
      </c>
      <c r="E10" s="196">
        <v>0</v>
      </c>
      <c r="F10" s="196">
        <f t="shared" si="1"/>
        <v>0</v>
      </c>
      <c r="G10" s="196">
        <v>0</v>
      </c>
      <c r="H10" s="192">
        <v>0</v>
      </c>
      <c r="I10" s="192">
        <v>0</v>
      </c>
      <c r="J10" s="192">
        <v>0</v>
      </c>
      <c r="K10" s="196">
        <v>0</v>
      </c>
      <c r="L10" s="191">
        <f t="shared" si="2"/>
        <v>0</v>
      </c>
      <c r="M10" s="192">
        <f>7%*L10</f>
        <v>0</v>
      </c>
      <c r="N10" s="192">
        <f t="shared" ref="N10:N34" si="3">L10-M10</f>
        <v>0</v>
      </c>
      <c r="O10" s="193" t="s">
        <v>525</v>
      </c>
      <c r="P10" s="197"/>
      <c r="Q10" s="197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0"/>
      <c r="AM10" s="201"/>
      <c r="AN10" s="202"/>
      <c r="AO10" s="202"/>
      <c r="AP10" s="202"/>
      <c r="AQ10" s="202"/>
    </row>
    <row r="11" spans="1:43" s="204" customFormat="1" x14ac:dyDescent="0.3">
      <c r="A11" s="193" t="s">
        <v>753</v>
      </c>
      <c r="B11" s="194">
        <v>3</v>
      </c>
      <c r="C11" s="194" t="s">
        <v>822</v>
      </c>
      <c r="D11" s="196">
        <f>'GERAL 2022'!G5</f>
        <v>550</v>
      </c>
      <c r="E11" s="196">
        <v>0</v>
      </c>
      <c r="F11" s="196">
        <f>D11-E11</f>
        <v>550</v>
      </c>
      <c r="G11" s="196">
        <v>0</v>
      </c>
      <c r="H11" s="192">
        <f t="shared" ref="H11:H35" si="4">(1541.7/27)</f>
        <v>57.1</v>
      </c>
      <c r="I11" s="192">
        <f>'GERAL 2024'!I5</f>
        <v>1.3105200945626476</v>
      </c>
      <c r="J11" s="192">
        <f>'GERAL 2024'!K5</f>
        <v>0.79837470449172576</v>
      </c>
      <c r="K11" s="196">
        <v>0</v>
      </c>
      <c r="L11" s="191">
        <f t="shared" si="2"/>
        <v>609.20889479905441</v>
      </c>
      <c r="M11" s="192">
        <f t="shared" ref="M11:M35" si="5">7%*L11</f>
        <v>42.644622635933814</v>
      </c>
      <c r="N11" s="192">
        <f t="shared" si="3"/>
        <v>566.56427216312056</v>
      </c>
      <c r="O11" s="193" t="s">
        <v>913</v>
      </c>
      <c r="P11" s="197">
        <v>10</v>
      </c>
      <c r="Q11" s="197">
        <v>11</v>
      </c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  <c r="AQ11" s="200"/>
    </row>
    <row r="12" spans="1:43" s="199" customFormat="1" ht="15" customHeight="1" x14ac:dyDescent="0.3">
      <c r="A12" s="193" t="s">
        <v>842</v>
      </c>
      <c r="B12" s="193">
        <v>4</v>
      </c>
      <c r="C12" s="193" t="s">
        <v>832</v>
      </c>
      <c r="D12" s="196">
        <f>'GERAL 2023'!G40</f>
        <v>610</v>
      </c>
      <c r="E12" s="196">
        <v>0</v>
      </c>
      <c r="F12" s="196">
        <f>D12-E12</f>
        <v>610</v>
      </c>
      <c r="G12" s="192">
        <v>50</v>
      </c>
      <c r="H12" s="192">
        <f t="shared" si="4"/>
        <v>57.1</v>
      </c>
      <c r="I12" s="192">
        <f>'GERAL 2024'!I6</f>
        <v>1.3105200945626476</v>
      </c>
      <c r="J12" s="192">
        <f>'GERAL 2024'!K6</f>
        <v>0.79837470449172576</v>
      </c>
      <c r="K12" s="192">
        <f>'GERAL 2023'!K40</f>
        <v>19.754999999999999</v>
      </c>
      <c r="L12" s="191">
        <f t="shared" si="2"/>
        <v>738.9638947990544</v>
      </c>
      <c r="M12" s="192">
        <f>7%*L12</f>
        <v>51.727472635933815</v>
      </c>
      <c r="N12" s="192">
        <f t="shared" si="3"/>
        <v>687.23642216312055</v>
      </c>
      <c r="O12" s="193" t="s">
        <v>914</v>
      </c>
      <c r="P12" s="197">
        <v>10</v>
      </c>
      <c r="Q12" s="194">
        <v>11</v>
      </c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</row>
    <row r="13" spans="1:43" s="199" customFormat="1" x14ac:dyDescent="0.3">
      <c r="A13" s="193" t="s">
        <v>744</v>
      </c>
      <c r="B13" s="193">
        <v>5</v>
      </c>
      <c r="C13" s="193" t="s">
        <v>823</v>
      </c>
      <c r="D13" s="196">
        <f>'GERAL 2023'!G7</f>
        <v>580</v>
      </c>
      <c r="E13" s="192">
        <v>0</v>
      </c>
      <c r="F13" s="192">
        <f>D13-E13</f>
        <v>580</v>
      </c>
      <c r="G13" s="192">
        <f>50</f>
        <v>50</v>
      </c>
      <c r="H13" s="192">
        <f t="shared" si="4"/>
        <v>57.1</v>
      </c>
      <c r="I13" s="192">
        <f>'GERAL 2024'!I7</f>
        <v>1.3105200945626476</v>
      </c>
      <c r="J13" s="192">
        <f>'GERAL 2024'!K7</f>
        <v>0.79837470449172576</v>
      </c>
      <c r="K13" s="192">
        <v>21.07</v>
      </c>
      <c r="L13" s="191">
        <f t="shared" si="2"/>
        <v>710.27889479905446</v>
      </c>
      <c r="M13" s="192">
        <f>7%*L13</f>
        <v>49.719522635933814</v>
      </c>
      <c r="N13" s="192">
        <f t="shared" si="3"/>
        <v>660.55937216312066</v>
      </c>
      <c r="O13" s="193" t="s">
        <v>911</v>
      </c>
      <c r="P13" s="197">
        <v>10</v>
      </c>
      <c r="Q13" s="197">
        <v>11</v>
      </c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</row>
    <row r="14" spans="1:43" s="206" customFormat="1" x14ac:dyDescent="0.3">
      <c r="A14" s="193" t="s">
        <v>745</v>
      </c>
      <c r="B14" s="193">
        <v>6</v>
      </c>
      <c r="C14" s="193" t="s">
        <v>823</v>
      </c>
      <c r="D14" s="196">
        <f>'GERAL 2023'!G8</f>
        <v>680</v>
      </c>
      <c r="E14" s="196">
        <v>0</v>
      </c>
      <c r="F14" s="192">
        <f>D14-E14</f>
        <v>680</v>
      </c>
      <c r="G14" s="192">
        <v>50</v>
      </c>
      <c r="H14" s="192">
        <f t="shared" si="4"/>
        <v>57.1</v>
      </c>
      <c r="I14" s="192">
        <f>'GERAL 2024'!I8</f>
        <v>1.8347281323877069</v>
      </c>
      <c r="J14" s="192">
        <f>'GERAL 2024'!K8</f>
        <v>1.1177245862884162</v>
      </c>
      <c r="K14" s="192">
        <v>21.28</v>
      </c>
      <c r="L14" s="191">
        <f t="shared" si="2"/>
        <v>811.33245271867611</v>
      </c>
      <c r="M14" s="192">
        <f t="shared" si="5"/>
        <v>56.793271690307336</v>
      </c>
      <c r="N14" s="192">
        <f>L14-M14</f>
        <v>754.53918102836883</v>
      </c>
      <c r="O14" s="193" t="s">
        <v>911</v>
      </c>
      <c r="P14" s="197">
        <v>10</v>
      </c>
      <c r="Q14" s="197">
        <v>11</v>
      </c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  <c r="AQ14" s="205"/>
    </row>
    <row r="15" spans="1:43" s="199" customFormat="1" x14ac:dyDescent="0.3">
      <c r="A15" s="193" t="s">
        <v>791</v>
      </c>
      <c r="B15" s="193">
        <v>7</v>
      </c>
      <c r="C15" s="193" t="s">
        <v>822</v>
      </c>
      <c r="D15" s="196">
        <f>'GERAL 2023'!G35</f>
        <v>610</v>
      </c>
      <c r="E15" s="192">
        <v>0</v>
      </c>
      <c r="F15" s="196">
        <f>D15-E15</f>
        <v>610</v>
      </c>
      <c r="G15" s="192">
        <v>50</v>
      </c>
      <c r="H15" s="192">
        <f t="shared" si="4"/>
        <v>57.1</v>
      </c>
      <c r="I15" s="192">
        <f>'GERAL 2024'!I9</f>
        <v>1.3105200945626476</v>
      </c>
      <c r="J15" s="192">
        <f>'GERAL 2024'!K9</f>
        <v>0.79837470449172576</v>
      </c>
      <c r="K15" s="192">
        <v>0</v>
      </c>
      <c r="L15" s="191">
        <f t="shared" si="2"/>
        <v>719.20889479905441</v>
      </c>
      <c r="M15" s="192">
        <f t="shared" si="5"/>
        <v>50.34462263593381</v>
      </c>
      <c r="N15" s="192">
        <f t="shared" si="3"/>
        <v>668.86427216312063</v>
      </c>
      <c r="O15" s="193" t="s">
        <v>913</v>
      </c>
      <c r="P15" s="197">
        <v>10</v>
      </c>
      <c r="Q15" s="197">
        <v>11</v>
      </c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</row>
    <row r="16" spans="1:43" s="199" customFormat="1" x14ac:dyDescent="0.3">
      <c r="A16" s="193" t="s">
        <v>746</v>
      </c>
      <c r="B16" s="193">
        <v>8</v>
      </c>
      <c r="C16" s="193" t="s">
        <v>824</v>
      </c>
      <c r="D16" s="196">
        <f>'GERAL 2022'!G37</f>
        <v>580</v>
      </c>
      <c r="E16" s="192">
        <v>0</v>
      </c>
      <c r="F16" s="196">
        <f t="shared" si="1"/>
        <v>580</v>
      </c>
      <c r="G16" s="192">
        <v>50</v>
      </c>
      <c r="H16" s="192">
        <f t="shared" si="4"/>
        <v>57.1</v>
      </c>
      <c r="I16" s="192">
        <f>'GERAL 2024'!I10</f>
        <v>1.3105200945626476</v>
      </c>
      <c r="J16" s="192">
        <f>'GERAL 2024'!K10</f>
        <v>0.79837470449172576</v>
      </c>
      <c r="K16" s="192">
        <v>0</v>
      </c>
      <c r="L16" s="191">
        <f t="shared" si="2"/>
        <v>689.20889479905441</v>
      </c>
      <c r="M16" s="192">
        <f t="shared" si="5"/>
        <v>48.244622635933816</v>
      </c>
      <c r="N16" s="192">
        <f t="shared" si="3"/>
        <v>640.96427216312054</v>
      </c>
      <c r="O16" s="193" t="s">
        <v>913</v>
      </c>
      <c r="P16" s="207">
        <v>10</v>
      </c>
      <c r="Q16" s="197">
        <v>11</v>
      </c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  <c r="AQ16" s="198"/>
    </row>
    <row r="17" spans="1:48" s="199" customFormat="1" x14ac:dyDescent="0.3">
      <c r="A17" s="193" t="s">
        <v>852</v>
      </c>
      <c r="B17" s="193">
        <v>9</v>
      </c>
      <c r="C17" s="193" t="s">
        <v>828</v>
      </c>
      <c r="D17" s="196">
        <f>'GERAL 2024'!G11</f>
        <v>640</v>
      </c>
      <c r="E17" s="192">
        <v>0</v>
      </c>
      <c r="F17" s="196">
        <f t="shared" si="1"/>
        <v>640</v>
      </c>
      <c r="G17" s="192">
        <v>0</v>
      </c>
      <c r="H17" s="192">
        <f>(1541.7/27)</f>
        <v>57.1</v>
      </c>
      <c r="I17" s="192">
        <f>'GERAL 2024'!I11</f>
        <v>1.3105200945626476</v>
      </c>
      <c r="J17" s="192">
        <f>'GERAL 2024'!K11</f>
        <v>0.79837470449172576</v>
      </c>
      <c r="K17" s="192">
        <v>19.809999999999999</v>
      </c>
      <c r="L17" s="191">
        <f t="shared" si="2"/>
        <v>719.01889479905435</v>
      </c>
      <c r="M17" s="192">
        <f>7%*L17</f>
        <v>50.331322635933809</v>
      </c>
      <c r="N17" s="192">
        <f>L17-M17</f>
        <v>668.68757216312054</v>
      </c>
      <c r="O17" s="193" t="s">
        <v>915</v>
      </c>
      <c r="P17" s="207">
        <v>10</v>
      </c>
      <c r="Q17" s="197">
        <v>11</v>
      </c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  <c r="AQ17" s="198"/>
    </row>
    <row r="18" spans="1:48" s="148" customFormat="1" x14ac:dyDescent="0.3">
      <c r="A18" s="194" t="s">
        <v>739</v>
      </c>
      <c r="B18" s="194">
        <v>10</v>
      </c>
      <c r="C18" s="194" t="s">
        <v>825</v>
      </c>
      <c r="D18" s="196">
        <f>'GERAL 2022'!G38</f>
        <v>550</v>
      </c>
      <c r="E18" s="192">
        <v>0</v>
      </c>
      <c r="F18" s="196">
        <f t="shared" si="1"/>
        <v>550</v>
      </c>
      <c r="G18" s="192">
        <v>50</v>
      </c>
      <c r="H18" s="192">
        <f t="shared" si="4"/>
        <v>57.1</v>
      </c>
      <c r="I18" s="192">
        <f>'GERAL 2024'!I12</f>
        <v>1.3105200945626476</v>
      </c>
      <c r="J18" s="192">
        <f>'GERAL 2024'!K12</f>
        <v>0.79837470449172576</v>
      </c>
      <c r="K18" s="192">
        <v>0</v>
      </c>
      <c r="L18" s="191">
        <f t="shared" si="2"/>
        <v>659.20889479905441</v>
      </c>
      <c r="M18" s="192">
        <f t="shared" si="5"/>
        <v>46.144622635933814</v>
      </c>
      <c r="N18" s="192">
        <f t="shared" si="3"/>
        <v>613.06427216312056</v>
      </c>
      <c r="O18" s="193" t="s">
        <v>913</v>
      </c>
      <c r="P18" s="197">
        <v>10</v>
      </c>
      <c r="Q18" s="194">
        <v>11</v>
      </c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  <c r="AI18" s="208"/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  <c r="AT18" s="208"/>
      <c r="AU18" s="208"/>
      <c r="AV18" s="208"/>
    </row>
    <row r="19" spans="1:48" s="148" customFormat="1" ht="15.75" customHeight="1" x14ac:dyDescent="0.3">
      <c r="A19" s="194"/>
      <c r="B19" s="194">
        <v>11</v>
      </c>
      <c r="C19" s="194"/>
      <c r="D19" s="192">
        <v>0</v>
      </c>
      <c r="E19" s="192">
        <v>0</v>
      </c>
      <c r="F19" s="196">
        <f t="shared" si="1"/>
        <v>0</v>
      </c>
      <c r="G19" s="192">
        <v>0</v>
      </c>
      <c r="H19" s="192">
        <v>0</v>
      </c>
      <c r="I19" s="192">
        <v>0</v>
      </c>
      <c r="J19" s="192">
        <v>0</v>
      </c>
      <c r="K19" s="192">
        <v>0</v>
      </c>
      <c r="L19" s="191">
        <f t="shared" si="2"/>
        <v>0</v>
      </c>
      <c r="M19" s="192">
        <f>7%*L19</f>
        <v>0</v>
      </c>
      <c r="N19" s="192">
        <f t="shared" si="3"/>
        <v>0</v>
      </c>
      <c r="O19" s="196" t="s">
        <v>904</v>
      </c>
      <c r="P19" s="197"/>
      <c r="Q19" s="194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8"/>
      <c r="AR19" s="208"/>
      <c r="AS19" s="208"/>
      <c r="AT19" s="208"/>
      <c r="AU19" s="208"/>
      <c r="AV19" s="208"/>
    </row>
    <row r="20" spans="1:48" s="199" customFormat="1" x14ac:dyDescent="0.3">
      <c r="A20" s="193"/>
      <c r="B20" s="193">
        <v>12</v>
      </c>
      <c r="C20" s="193"/>
      <c r="D20" s="196">
        <v>0</v>
      </c>
      <c r="E20" s="192">
        <v>0</v>
      </c>
      <c r="F20" s="196">
        <f t="shared" si="1"/>
        <v>0</v>
      </c>
      <c r="G20" s="196">
        <v>0</v>
      </c>
      <c r="H20" s="192">
        <v>0</v>
      </c>
      <c r="I20" s="192">
        <v>0</v>
      </c>
      <c r="J20" s="192">
        <v>0</v>
      </c>
      <c r="K20" s="196">
        <v>0</v>
      </c>
      <c r="L20" s="191">
        <f t="shared" si="2"/>
        <v>0</v>
      </c>
      <c r="M20" s="192">
        <f t="shared" si="5"/>
        <v>0</v>
      </c>
      <c r="N20" s="192">
        <f t="shared" si="3"/>
        <v>0</v>
      </c>
      <c r="O20" s="196" t="s">
        <v>904</v>
      </c>
      <c r="P20" s="197"/>
      <c r="Q20" s="197"/>
      <c r="R20" s="198"/>
      <c r="S20" s="198"/>
      <c r="T20" s="198"/>
      <c r="U20" s="198"/>
      <c r="V20" s="198"/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  <c r="AQ20" s="198"/>
    </row>
    <row r="21" spans="1:48" s="206" customFormat="1" ht="16.5" customHeight="1" x14ac:dyDescent="0.3">
      <c r="A21" s="193" t="s">
        <v>756</v>
      </c>
      <c r="B21" s="193">
        <v>13</v>
      </c>
      <c r="C21" s="193" t="s">
        <v>827</v>
      </c>
      <c r="D21" s="196">
        <f>'GERAL 2022'!G15</f>
        <v>550</v>
      </c>
      <c r="E21" s="196">
        <v>0</v>
      </c>
      <c r="F21" s="196">
        <f t="shared" si="1"/>
        <v>550</v>
      </c>
      <c r="G21" s="192">
        <v>0</v>
      </c>
      <c r="H21" s="192">
        <f t="shared" si="4"/>
        <v>57.1</v>
      </c>
      <c r="I21" s="192">
        <f>'GERAL 2024'!I15</f>
        <v>1.3105200945626476</v>
      </c>
      <c r="J21" s="192">
        <f>'GERAL 2024'!K15</f>
        <v>0.79837470449172576</v>
      </c>
      <c r="K21" s="192">
        <v>0</v>
      </c>
      <c r="L21" s="191">
        <f t="shared" si="2"/>
        <v>609.20889479905441</v>
      </c>
      <c r="M21" s="192">
        <f t="shared" si="5"/>
        <v>42.644622635933814</v>
      </c>
      <c r="N21" s="192">
        <f t="shared" si="3"/>
        <v>566.56427216312056</v>
      </c>
      <c r="O21" s="193" t="s">
        <v>913</v>
      </c>
      <c r="P21" s="197">
        <v>10</v>
      </c>
      <c r="Q21" s="197">
        <v>11</v>
      </c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  <c r="AQ21" s="205"/>
    </row>
    <row r="22" spans="1:48" s="148" customFormat="1" x14ac:dyDescent="0.3">
      <c r="A22" s="194" t="s">
        <v>747</v>
      </c>
      <c r="B22" s="194">
        <v>14</v>
      </c>
      <c r="C22" s="193" t="s">
        <v>832</v>
      </c>
      <c r="D22" s="196">
        <f>'GERAL 2022'!G39</f>
        <v>580</v>
      </c>
      <c r="E22" s="192">
        <v>0</v>
      </c>
      <c r="F22" s="196">
        <f t="shared" si="1"/>
        <v>580</v>
      </c>
      <c r="G22" s="192">
        <f>50</f>
        <v>50</v>
      </c>
      <c r="H22" s="192">
        <f t="shared" si="4"/>
        <v>57.1</v>
      </c>
      <c r="I22" s="192">
        <f>'GERAL 2024'!I16</f>
        <v>1.3105200945626476</v>
      </c>
      <c r="J22" s="192">
        <f>'GERAL 2024'!K16</f>
        <v>0.79837470449172576</v>
      </c>
      <c r="K22" s="192">
        <f>'GERAL 2023'!K16</f>
        <v>19.696666666666669</v>
      </c>
      <c r="L22" s="191">
        <f t="shared" si="2"/>
        <v>708.90556146572112</v>
      </c>
      <c r="M22" s="192">
        <f t="shared" si="5"/>
        <v>49.623389302600486</v>
      </c>
      <c r="N22" s="192">
        <f t="shared" si="3"/>
        <v>659.28217216312066</v>
      </c>
      <c r="O22" s="193" t="s">
        <v>914</v>
      </c>
      <c r="P22" s="197">
        <v>10</v>
      </c>
      <c r="Q22" s="194">
        <v>11</v>
      </c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  <c r="AD22" s="208"/>
      <c r="AE22" s="208"/>
      <c r="AF22" s="208"/>
      <c r="AG22" s="208"/>
      <c r="AH22" s="208"/>
      <c r="AI22" s="208"/>
      <c r="AJ22" s="208"/>
      <c r="AK22" s="208"/>
      <c r="AL22" s="208"/>
      <c r="AM22" s="208"/>
      <c r="AN22" s="208"/>
      <c r="AO22" s="208"/>
      <c r="AP22" s="208"/>
      <c r="AQ22" s="208"/>
      <c r="AR22" s="208"/>
      <c r="AS22" s="208"/>
      <c r="AT22" s="208"/>
      <c r="AU22" s="208"/>
      <c r="AV22" s="208"/>
    </row>
    <row r="23" spans="1:48" s="204" customFormat="1" x14ac:dyDescent="0.3">
      <c r="A23" s="193" t="s">
        <v>748</v>
      </c>
      <c r="B23" s="193">
        <v>15</v>
      </c>
      <c r="C23" s="193" t="s">
        <v>827</v>
      </c>
      <c r="D23" s="196">
        <f>'GERAL 2023'!G36</f>
        <v>680</v>
      </c>
      <c r="E23" s="192">
        <v>0</v>
      </c>
      <c r="F23" s="196">
        <f t="shared" si="1"/>
        <v>680</v>
      </c>
      <c r="G23" s="192">
        <v>25</v>
      </c>
      <c r="H23" s="192">
        <f t="shared" si="4"/>
        <v>57.1</v>
      </c>
      <c r="I23" s="192">
        <f>'GERAL 2024'!I17</f>
        <v>1.8347281323877069</v>
      </c>
      <c r="J23" s="192">
        <f>'GERAL 2024'!K17</f>
        <v>1.1177245862884162</v>
      </c>
      <c r="K23" s="192">
        <v>0</v>
      </c>
      <c r="L23" s="191">
        <f t="shared" si="2"/>
        <v>765.05245271867614</v>
      </c>
      <c r="M23" s="192">
        <f t="shared" si="5"/>
        <v>53.553671690307333</v>
      </c>
      <c r="N23" s="192">
        <f t="shared" si="3"/>
        <v>711.49878102836885</v>
      </c>
      <c r="O23" s="193" t="s">
        <v>913</v>
      </c>
      <c r="P23" s="197">
        <v>10</v>
      </c>
      <c r="Q23" s="194">
        <v>11</v>
      </c>
      <c r="R23" s="200"/>
      <c r="S23" s="200"/>
      <c r="T23" s="200"/>
      <c r="U23" s="200"/>
      <c r="V23" s="200"/>
      <c r="W23" s="200"/>
      <c r="X23" s="200"/>
      <c r="Y23" s="200"/>
      <c r="Z23" s="200"/>
    </row>
    <row r="24" spans="1:48" s="206" customFormat="1" x14ac:dyDescent="0.3">
      <c r="A24" s="197" t="s">
        <v>894</v>
      </c>
      <c r="B24" s="197">
        <v>16</v>
      </c>
      <c r="C24" s="193" t="s">
        <v>823</v>
      </c>
      <c r="D24" s="196">
        <v>0</v>
      </c>
      <c r="E24" s="192">
        <v>0</v>
      </c>
      <c r="F24" s="196">
        <f>D24-E24</f>
        <v>0</v>
      </c>
      <c r="G24" s="192">
        <v>0</v>
      </c>
      <c r="H24" s="192">
        <v>0</v>
      </c>
      <c r="I24" s="192">
        <v>0</v>
      </c>
      <c r="J24" s="192">
        <v>0</v>
      </c>
      <c r="K24" s="192">
        <v>0</v>
      </c>
      <c r="L24" s="191">
        <f t="shared" si="2"/>
        <v>0</v>
      </c>
      <c r="M24" s="192">
        <f t="shared" si="5"/>
        <v>0</v>
      </c>
      <c r="N24" s="192">
        <f t="shared" si="3"/>
        <v>0</v>
      </c>
      <c r="O24" s="193" t="s">
        <v>108</v>
      </c>
      <c r="P24" s="197">
        <v>10</v>
      </c>
      <c r="Q24" s="197">
        <v>11</v>
      </c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  <c r="AP24" s="205"/>
      <c r="AQ24" s="205"/>
    </row>
    <row r="25" spans="1:48" s="206" customFormat="1" x14ac:dyDescent="0.3">
      <c r="A25" s="195" t="s">
        <v>902</v>
      </c>
      <c r="B25" s="195">
        <v>17</v>
      </c>
      <c r="C25" s="195" t="s">
        <v>823</v>
      </c>
      <c r="D25" s="196">
        <v>0</v>
      </c>
      <c r="E25" s="192">
        <v>0</v>
      </c>
      <c r="F25" s="196">
        <f t="shared" si="1"/>
        <v>0</v>
      </c>
      <c r="G25" s="192">
        <v>0</v>
      </c>
      <c r="H25" s="192">
        <v>0</v>
      </c>
      <c r="I25" s="192">
        <v>0</v>
      </c>
      <c r="J25" s="192">
        <v>0</v>
      </c>
      <c r="K25" s="192">
        <v>0</v>
      </c>
      <c r="L25" s="191">
        <f t="shared" si="2"/>
        <v>0</v>
      </c>
      <c r="M25" s="192">
        <f>7%*L25</f>
        <v>0</v>
      </c>
      <c r="N25" s="192">
        <f>L25-M25</f>
        <v>0</v>
      </c>
      <c r="O25" s="193" t="s">
        <v>108</v>
      </c>
      <c r="P25" s="197">
        <v>10</v>
      </c>
      <c r="Q25" s="197">
        <v>11</v>
      </c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  <c r="AQ25" s="205"/>
    </row>
    <row r="26" spans="1:48" s="206" customFormat="1" x14ac:dyDescent="0.3">
      <c r="A26" s="195" t="s">
        <v>749</v>
      </c>
      <c r="B26" s="193">
        <v>18</v>
      </c>
      <c r="C26" s="193" t="s">
        <v>830</v>
      </c>
      <c r="D26" s="196">
        <f>'GERAL 2023'!G20</f>
        <v>640</v>
      </c>
      <c r="E26" s="192">
        <v>0</v>
      </c>
      <c r="F26" s="196">
        <f>D26-E26</f>
        <v>640</v>
      </c>
      <c r="G26" s="192">
        <v>50</v>
      </c>
      <c r="H26" s="192">
        <f t="shared" si="4"/>
        <v>57.1</v>
      </c>
      <c r="I26" s="192">
        <f>'GERAL 2024'!I20</f>
        <v>1.3105200945626476</v>
      </c>
      <c r="J26" s="192">
        <f>'GERAL 2024'!K20</f>
        <v>0.79837470449172576</v>
      </c>
      <c r="K26" s="192">
        <v>19.809999999999999</v>
      </c>
      <c r="L26" s="191">
        <f t="shared" si="2"/>
        <v>769.01889479905435</v>
      </c>
      <c r="M26" s="192">
        <f t="shared" si="5"/>
        <v>53.831322635933809</v>
      </c>
      <c r="N26" s="192">
        <f t="shared" si="3"/>
        <v>715.18757216312054</v>
      </c>
      <c r="O26" s="193" t="s">
        <v>916</v>
      </c>
      <c r="P26" s="197">
        <v>10</v>
      </c>
      <c r="Q26" s="197">
        <v>11</v>
      </c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  <c r="AQ26" s="205"/>
    </row>
    <row r="27" spans="1:48" s="206" customFormat="1" x14ac:dyDescent="0.3">
      <c r="A27" s="193" t="s">
        <v>738</v>
      </c>
      <c r="B27" s="193">
        <v>19</v>
      </c>
      <c r="C27" s="193" t="s">
        <v>825</v>
      </c>
      <c r="D27" s="196">
        <f>'GERAL 2023'!G38</f>
        <v>610</v>
      </c>
      <c r="E27" s="192">
        <v>0</v>
      </c>
      <c r="F27" s="196">
        <f>(D27-E27)</f>
        <v>610</v>
      </c>
      <c r="G27" s="192">
        <v>25</v>
      </c>
      <c r="H27" s="192">
        <f t="shared" si="4"/>
        <v>57.1</v>
      </c>
      <c r="I27" s="192">
        <f>'GERAL 2024'!I21</f>
        <v>1.3105200945626476</v>
      </c>
      <c r="J27" s="192">
        <f>'GERAL 2024'!K21</f>
        <v>0.79837470449172576</v>
      </c>
      <c r="K27" s="192">
        <v>0</v>
      </c>
      <c r="L27" s="191">
        <f t="shared" si="2"/>
        <v>694.20889479905441</v>
      </c>
      <c r="M27" s="192">
        <f t="shared" si="5"/>
        <v>48.59462263593381</v>
      </c>
      <c r="N27" s="192">
        <f t="shared" si="3"/>
        <v>645.61427216312063</v>
      </c>
      <c r="O27" s="193" t="s">
        <v>913</v>
      </c>
      <c r="P27" s="197">
        <v>10</v>
      </c>
      <c r="Q27" s="197">
        <v>11</v>
      </c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  <c r="AQ27" s="205"/>
    </row>
    <row r="28" spans="1:48" s="206" customFormat="1" x14ac:dyDescent="0.3">
      <c r="A28" s="227" t="s">
        <v>919</v>
      </c>
      <c r="B28" s="193">
        <v>20</v>
      </c>
      <c r="C28" s="209" t="s">
        <v>917</v>
      </c>
      <c r="D28" s="196">
        <f>'GERAL 2024'!G36/29*28</f>
        <v>753.10344827586209</v>
      </c>
      <c r="E28" s="192">
        <v>0</v>
      </c>
      <c r="F28" s="196">
        <f t="shared" ref="F28:F35" si="6">D28-E28</f>
        <v>753.10344827586209</v>
      </c>
      <c r="G28" s="192">
        <f>25/29*28</f>
        <v>24.137931034482758</v>
      </c>
      <c r="H28" s="192">
        <f>(1541.7/27)/29*28</f>
        <v>55.131034482758622</v>
      </c>
      <c r="I28" s="192">
        <f>'GERAL 2024'!I36/29*28</f>
        <v>1.2653297464742805</v>
      </c>
      <c r="J28" s="192">
        <f>'GERAL 2024'!K36/29*28</f>
        <v>0.77084454226787313</v>
      </c>
      <c r="K28" s="192">
        <v>21.5</v>
      </c>
      <c r="L28" s="191">
        <f t="shared" si="2"/>
        <v>855.90858808184578</v>
      </c>
      <c r="M28" s="192">
        <f t="shared" si="5"/>
        <v>59.913601165729212</v>
      </c>
      <c r="N28" s="192">
        <f t="shared" si="3"/>
        <v>795.99498691611655</v>
      </c>
      <c r="O28" s="193" t="s">
        <v>918</v>
      </c>
      <c r="P28" s="207">
        <v>10</v>
      </c>
      <c r="Q28" s="197">
        <v>11</v>
      </c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  <c r="AQ28" s="205"/>
    </row>
    <row r="29" spans="1:48" s="206" customFormat="1" x14ac:dyDescent="0.3">
      <c r="A29" s="195" t="s">
        <v>788</v>
      </c>
      <c r="B29" s="193">
        <v>21</v>
      </c>
      <c r="C29" s="193" t="s">
        <v>822</v>
      </c>
      <c r="D29" s="196">
        <f>'GERAL 2023'!G39</f>
        <v>580</v>
      </c>
      <c r="E29" s="192">
        <v>0</v>
      </c>
      <c r="F29" s="196">
        <f t="shared" si="6"/>
        <v>580</v>
      </c>
      <c r="G29" s="192">
        <v>25</v>
      </c>
      <c r="H29" s="192">
        <f t="shared" si="4"/>
        <v>57.1</v>
      </c>
      <c r="I29" s="192">
        <f>'GERAL 2024'!I23</f>
        <v>1.3105200945626476</v>
      </c>
      <c r="J29" s="192">
        <f>'GERAL 2024'!K23</f>
        <v>0.79837470449172576</v>
      </c>
      <c r="K29" s="192">
        <v>0</v>
      </c>
      <c r="L29" s="191">
        <f t="shared" si="2"/>
        <v>664.20889479905441</v>
      </c>
      <c r="M29" s="192">
        <f t="shared" si="5"/>
        <v>46.494622635933816</v>
      </c>
      <c r="N29" s="192">
        <f t="shared" si="3"/>
        <v>617.71427216312054</v>
      </c>
      <c r="O29" s="193" t="s">
        <v>913</v>
      </c>
      <c r="P29" s="207">
        <v>10</v>
      </c>
      <c r="Q29" s="197">
        <v>11</v>
      </c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  <c r="AQ29" s="205"/>
    </row>
    <row r="30" spans="1:48" s="206" customFormat="1" x14ac:dyDescent="0.3">
      <c r="A30" s="195"/>
      <c r="B30" s="193">
        <v>22</v>
      </c>
      <c r="C30" s="193"/>
      <c r="D30" s="196">
        <v>0</v>
      </c>
      <c r="E30" s="192">
        <v>0</v>
      </c>
      <c r="F30" s="196">
        <f t="shared" si="6"/>
        <v>0</v>
      </c>
      <c r="G30" s="192">
        <v>0</v>
      </c>
      <c r="H30" s="192">
        <v>0</v>
      </c>
      <c r="I30" s="192">
        <v>0</v>
      </c>
      <c r="J30" s="192">
        <v>0</v>
      </c>
      <c r="K30" s="192">
        <v>0</v>
      </c>
      <c r="L30" s="191">
        <f t="shared" si="2"/>
        <v>0</v>
      </c>
      <c r="M30" s="192">
        <f t="shared" si="5"/>
        <v>0</v>
      </c>
      <c r="N30" s="192">
        <f t="shared" si="3"/>
        <v>0</v>
      </c>
      <c r="O30" s="193" t="s">
        <v>525</v>
      </c>
      <c r="P30" s="207"/>
      <c r="Q30" s="197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  <c r="AQ30" s="205"/>
    </row>
    <row r="31" spans="1:48" s="206" customFormat="1" x14ac:dyDescent="0.3">
      <c r="A31" s="195" t="s">
        <v>750</v>
      </c>
      <c r="B31" s="193">
        <v>23</v>
      </c>
      <c r="C31" s="193" t="s">
        <v>827</v>
      </c>
      <c r="D31" s="196">
        <f>'GERAL 2022'!G25</f>
        <v>550</v>
      </c>
      <c r="E31" s="192">
        <v>0</v>
      </c>
      <c r="F31" s="196">
        <f t="shared" si="6"/>
        <v>550</v>
      </c>
      <c r="G31" s="192">
        <v>0</v>
      </c>
      <c r="H31" s="192">
        <f t="shared" si="4"/>
        <v>57.1</v>
      </c>
      <c r="I31" s="192">
        <f>'GERAL 2024'!I25</f>
        <v>1.3105200945626476</v>
      </c>
      <c r="J31" s="192">
        <f>'GERAL 2024'!K25</f>
        <v>0.79837470449172576</v>
      </c>
      <c r="K31" s="192">
        <v>0</v>
      </c>
      <c r="L31" s="191">
        <f t="shared" si="2"/>
        <v>609.20889479905441</v>
      </c>
      <c r="M31" s="192">
        <f t="shared" si="5"/>
        <v>42.644622635933814</v>
      </c>
      <c r="N31" s="192">
        <f t="shared" si="3"/>
        <v>566.56427216312056</v>
      </c>
      <c r="O31" s="193" t="s">
        <v>913</v>
      </c>
      <c r="P31" s="197">
        <v>10</v>
      </c>
      <c r="Q31" s="197">
        <v>11</v>
      </c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  <c r="AC31" s="205"/>
      <c r="AD31" s="205"/>
      <c r="AE31" s="205"/>
      <c r="AF31" s="205"/>
      <c r="AG31" s="205"/>
      <c r="AH31" s="205"/>
      <c r="AI31" s="205"/>
      <c r="AJ31" s="205"/>
      <c r="AK31" s="205"/>
      <c r="AL31" s="205"/>
      <c r="AM31" s="205"/>
      <c r="AN31" s="205"/>
      <c r="AO31" s="205"/>
      <c r="AP31" s="205"/>
      <c r="AQ31" s="205"/>
    </row>
    <row r="32" spans="1:48" s="204" customFormat="1" ht="15.75" customHeight="1" x14ac:dyDescent="0.3">
      <c r="A32" s="193" t="s">
        <v>844</v>
      </c>
      <c r="B32" s="193">
        <v>24</v>
      </c>
      <c r="C32" s="193" t="s">
        <v>832</v>
      </c>
      <c r="D32" s="196">
        <f>'GERAL 2023'!G41/29*1</f>
        <v>23.448275862068964</v>
      </c>
      <c r="E32" s="192">
        <v>0</v>
      </c>
      <c r="F32" s="196">
        <f>D32-E32</f>
        <v>23.448275862068964</v>
      </c>
      <c r="G32" s="192">
        <f>25/29*1</f>
        <v>0.86206896551724133</v>
      </c>
      <c r="H32" s="192">
        <f>(1541.7/27)/29*1</f>
        <v>1.9689655172413794</v>
      </c>
      <c r="I32" s="192">
        <f>'GERAL 2024'!I26/29*1</f>
        <v>6.3266487323714038E-2</v>
      </c>
      <c r="J32" s="192">
        <f>'GERAL 2024'!K26/29*1</f>
        <v>3.8542227113393661E-2</v>
      </c>
      <c r="K32" s="192">
        <v>19.89</v>
      </c>
      <c r="L32" s="191">
        <f t="shared" si="2"/>
        <v>46.271119059264691</v>
      </c>
      <c r="M32" s="192">
        <f t="shared" si="5"/>
        <v>3.2389783341485288</v>
      </c>
      <c r="N32" s="192">
        <f t="shared" si="3"/>
        <v>43.032140725116165</v>
      </c>
      <c r="O32" s="193" t="s">
        <v>920</v>
      </c>
      <c r="P32" s="207">
        <v>10</v>
      </c>
      <c r="Q32" s="197">
        <v>11</v>
      </c>
      <c r="R32" s="200"/>
      <c r="S32" s="200"/>
      <c r="T32" s="200"/>
      <c r="U32" s="200"/>
      <c r="V32" s="200"/>
      <c r="W32" s="200"/>
      <c r="X32" s="200"/>
      <c r="Y32" s="200"/>
      <c r="Z32" s="200"/>
    </row>
    <row r="33" spans="1:61" s="204" customFormat="1" ht="15" customHeight="1" x14ac:dyDescent="0.3">
      <c r="A33" s="206" t="s">
        <v>809</v>
      </c>
      <c r="B33" s="193">
        <v>25</v>
      </c>
      <c r="C33" s="193" t="s">
        <v>832</v>
      </c>
      <c r="D33" s="196">
        <f>'GERAL 2022'!G44</f>
        <v>610</v>
      </c>
      <c r="E33" s="192">
        <v>0</v>
      </c>
      <c r="F33" s="196">
        <f t="shared" si="6"/>
        <v>610</v>
      </c>
      <c r="G33" s="192">
        <v>0</v>
      </c>
      <c r="H33" s="192">
        <f t="shared" si="4"/>
        <v>57.1</v>
      </c>
      <c r="I33" s="192">
        <f>'GERAL 2024'!I27</f>
        <v>1.3105200945626476</v>
      </c>
      <c r="J33" s="192">
        <f>'GERAL 2024'!K27</f>
        <v>0.79837470449172576</v>
      </c>
      <c r="K33" s="192">
        <f>'GERAL 2023'!K27</f>
        <v>19.754999999999999</v>
      </c>
      <c r="L33" s="191">
        <f t="shared" si="2"/>
        <v>688.9638947990544</v>
      </c>
      <c r="M33" s="192">
        <f t="shared" si="5"/>
        <v>48.227472635933815</v>
      </c>
      <c r="N33" s="192">
        <f t="shared" si="3"/>
        <v>640.73642216312055</v>
      </c>
      <c r="O33" s="193" t="s">
        <v>914</v>
      </c>
      <c r="P33" s="207">
        <v>10</v>
      </c>
      <c r="Q33" s="197">
        <v>11</v>
      </c>
      <c r="R33" s="200"/>
      <c r="S33" s="200"/>
      <c r="T33" s="200"/>
      <c r="U33" s="200"/>
      <c r="V33" s="200"/>
      <c r="W33" s="200"/>
      <c r="X33" s="200"/>
      <c r="Y33" s="200"/>
      <c r="Z33" s="200"/>
    </row>
    <row r="34" spans="1:61" s="206" customFormat="1" x14ac:dyDescent="0.3">
      <c r="A34" s="195" t="s">
        <v>751</v>
      </c>
      <c r="B34" s="193">
        <v>26</v>
      </c>
      <c r="C34" s="193" t="s">
        <v>827</v>
      </c>
      <c r="D34" s="196">
        <f>'GERAL 2022'!G28</f>
        <v>560</v>
      </c>
      <c r="E34" s="192">
        <v>0</v>
      </c>
      <c r="F34" s="196">
        <f t="shared" si="6"/>
        <v>560</v>
      </c>
      <c r="G34" s="192">
        <v>25</v>
      </c>
      <c r="H34" s="192">
        <f t="shared" si="4"/>
        <v>57.1</v>
      </c>
      <c r="I34" s="192">
        <f>'GERAL 2024'!I28</f>
        <v>1.3105200945626476</v>
      </c>
      <c r="J34" s="192">
        <f>'GERAL 2024'!K29</f>
        <v>0.79837470449172576</v>
      </c>
      <c r="K34" s="192">
        <v>0</v>
      </c>
      <c r="L34" s="191">
        <f t="shared" si="2"/>
        <v>644.20889479905441</v>
      </c>
      <c r="M34" s="192">
        <f t="shared" si="5"/>
        <v>45.09462263593381</v>
      </c>
      <c r="N34" s="192">
        <f t="shared" si="3"/>
        <v>599.11427216312063</v>
      </c>
      <c r="O34" s="193" t="s">
        <v>913</v>
      </c>
      <c r="P34" s="197">
        <v>10</v>
      </c>
      <c r="Q34" s="197">
        <v>11</v>
      </c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205"/>
    </row>
    <row r="35" spans="1:61" s="206" customFormat="1" x14ac:dyDescent="0.3">
      <c r="A35" s="195" t="s">
        <v>752</v>
      </c>
      <c r="B35" s="193">
        <v>27</v>
      </c>
      <c r="C35" s="216" t="s">
        <v>827</v>
      </c>
      <c r="D35" s="217">
        <f>'GERAL 2022'!G45</f>
        <v>580</v>
      </c>
      <c r="E35" s="210">
        <v>0</v>
      </c>
      <c r="F35" s="196">
        <f t="shared" si="6"/>
        <v>580</v>
      </c>
      <c r="G35" s="210">
        <v>0</v>
      </c>
      <c r="H35" s="192">
        <f t="shared" si="4"/>
        <v>57.1</v>
      </c>
      <c r="I35" s="210">
        <f>'GERAL 2024'!I29</f>
        <v>1.3105200945626476</v>
      </c>
      <c r="J35" s="192">
        <f>'GERAL 2024'!K29</f>
        <v>0.79837470449172576</v>
      </c>
      <c r="K35" s="210">
        <v>0</v>
      </c>
      <c r="L35" s="191">
        <f t="shared" si="2"/>
        <v>639.20889479905441</v>
      </c>
      <c r="M35" s="192">
        <f t="shared" si="5"/>
        <v>44.744622635933816</v>
      </c>
      <c r="N35" s="192">
        <f>L35-M35</f>
        <v>594.46427216312054</v>
      </c>
      <c r="O35" s="193" t="s">
        <v>913</v>
      </c>
      <c r="P35" s="197">
        <v>10</v>
      </c>
      <c r="Q35" s="197">
        <v>11</v>
      </c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  <c r="AQ35" s="205"/>
    </row>
    <row r="36" spans="1:61" s="206" customFormat="1" x14ac:dyDescent="0.3">
      <c r="A36" s="584" t="s">
        <v>4</v>
      </c>
      <c r="B36" s="584"/>
      <c r="C36" s="209"/>
      <c r="D36" s="191">
        <f>SUM(D9:D35)</f>
        <v>11516.551724137931</v>
      </c>
      <c r="E36" s="191">
        <f t="shared" ref="E36:N36" si="7">SUM(E9:E35)</f>
        <v>0</v>
      </c>
      <c r="F36" s="191">
        <f t="shared" si="7"/>
        <v>11516.551724137931</v>
      </c>
      <c r="G36" s="191">
        <f t="shared" si="7"/>
        <v>525</v>
      </c>
      <c r="H36" s="191">
        <f t="shared" si="7"/>
        <v>1142</v>
      </c>
      <c r="I36" s="191">
        <f t="shared" si="7"/>
        <v>27.276894106138418</v>
      </c>
      <c r="J36" s="191">
        <f t="shared" si="7"/>
        <v>16.617205918317442</v>
      </c>
      <c r="K36" s="191">
        <f t="shared" si="7"/>
        <v>182.56666666666666</v>
      </c>
      <c r="L36" s="191">
        <f t="shared" si="7"/>
        <v>13410.012490829053</v>
      </c>
      <c r="M36" s="191">
        <f t="shared" si="7"/>
        <v>938.70087435803396</v>
      </c>
      <c r="N36" s="191">
        <f t="shared" si="7"/>
        <v>12471.311616471021</v>
      </c>
      <c r="O36" s="193"/>
      <c r="P36" s="197"/>
      <c r="Q36" s="197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  <c r="AQ36" s="205"/>
    </row>
    <row r="37" spans="1:61" s="11" customFormat="1" ht="28.5" customHeight="1" x14ac:dyDescent="0.3">
      <c r="A37" s="521" t="s">
        <v>910</v>
      </c>
      <c r="B37" s="521"/>
      <c r="C37" s="521"/>
      <c r="D37" s="521"/>
      <c r="E37" s="521"/>
      <c r="F37" s="521"/>
      <c r="G37" s="521"/>
      <c r="H37" s="521"/>
      <c r="I37" s="521"/>
      <c r="J37" s="521"/>
      <c r="K37" s="521"/>
      <c r="L37" s="521"/>
      <c r="M37" s="521"/>
      <c r="N37" s="521"/>
      <c r="O37" s="521"/>
      <c r="P37" s="521"/>
      <c r="Q37" s="521"/>
      <c r="R37" s="10"/>
      <c r="S37" s="10"/>
      <c r="T37" s="10"/>
      <c r="U37" s="10"/>
      <c r="V37" s="10"/>
      <c r="W37" s="10"/>
      <c r="X37" s="10"/>
      <c r="Y37" s="10"/>
      <c r="Z37" s="10"/>
    </row>
    <row r="38" spans="1:61" s="11" customFormat="1" ht="27.75" customHeight="1" x14ac:dyDescent="0.3">
      <c r="A38" s="127" t="s">
        <v>3</v>
      </c>
      <c r="B38" s="127" t="s">
        <v>0</v>
      </c>
      <c r="C38" s="127" t="s">
        <v>821</v>
      </c>
      <c r="D38" s="128" t="s">
        <v>174</v>
      </c>
      <c r="E38" s="555" t="s">
        <v>175</v>
      </c>
      <c r="F38" s="556"/>
      <c r="G38" s="556"/>
      <c r="H38" s="556"/>
      <c r="I38" s="556"/>
      <c r="J38" s="556"/>
      <c r="K38" s="557"/>
      <c r="L38" s="128" t="s">
        <v>4</v>
      </c>
      <c r="M38" s="128" t="s">
        <v>5</v>
      </c>
      <c r="N38" s="128" t="s">
        <v>70</v>
      </c>
      <c r="O38" s="127" t="s">
        <v>59</v>
      </c>
      <c r="P38" s="130" t="s">
        <v>8</v>
      </c>
      <c r="Q38" s="130" t="s">
        <v>10</v>
      </c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spans="1:61" s="204" customFormat="1" ht="15.75" customHeight="1" x14ac:dyDescent="0.3">
      <c r="A39" s="193" t="s">
        <v>844</v>
      </c>
      <c r="B39" s="193">
        <v>24</v>
      </c>
      <c r="C39" s="193" t="s">
        <v>832</v>
      </c>
      <c r="D39" s="196">
        <v>1768</v>
      </c>
      <c r="E39" s="551" t="s">
        <v>922</v>
      </c>
      <c r="F39" s="580"/>
      <c r="G39" s="580"/>
      <c r="H39" s="580"/>
      <c r="I39" s="580"/>
      <c r="J39" s="580"/>
      <c r="K39" s="552"/>
      <c r="L39" s="191">
        <v>1768</v>
      </c>
      <c r="M39" s="192">
        <f t="shared" ref="M39" si="8">7%*L39</f>
        <v>123.76</v>
      </c>
      <c r="N39" s="192">
        <f t="shared" ref="N39" si="9">L39-M39</f>
        <v>1644.24</v>
      </c>
      <c r="O39" s="193" t="s">
        <v>921</v>
      </c>
      <c r="P39" s="207">
        <v>10</v>
      </c>
      <c r="Q39" s="197">
        <v>11</v>
      </c>
      <c r="R39" s="200"/>
      <c r="S39" s="200"/>
      <c r="T39" s="200"/>
      <c r="U39" s="200"/>
      <c r="V39" s="200"/>
      <c r="W39" s="200"/>
      <c r="X39" s="200"/>
      <c r="Y39" s="200"/>
      <c r="Z39" s="200"/>
    </row>
    <row r="40" spans="1:61" s="11" customFormat="1" x14ac:dyDescent="0.3">
      <c r="A40" s="518" t="s">
        <v>4</v>
      </c>
      <c r="B40" s="518"/>
      <c r="C40" s="518"/>
      <c r="D40" s="518"/>
      <c r="E40" s="518"/>
      <c r="F40" s="518"/>
      <c r="G40" s="518"/>
      <c r="H40" s="518"/>
      <c r="I40" s="518"/>
      <c r="J40" s="518"/>
      <c r="K40" s="518"/>
      <c r="L40" s="109">
        <f>SUM(L39:L39)</f>
        <v>1768</v>
      </c>
      <c r="M40" s="109">
        <f>SUM(M39:M39)</f>
        <v>123.76</v>
      </c>
      <c r="N40" s="109">
        <f>SUM(N39:N39)</f>
        <v>1644.24</v>
      </c>
      <c r="O40" s="527"/>
      <c r="P40" s="527"/>
      <c r="Q40" s="527"/>
      <c r="R40" s="10"/>
      <c r="S40" s="10"/>
      <c r="T40" s="10"/>
      <c r="U40" s="10"/>
      <c r="V40" s="10"/>
      <c r="W40" s="10"/>
      <c r="X40" s="10"/>
      <c r="Y40" s="10"/>
      <c r="Z40" s="10"/>
    </row>
    <row r="41" spans="1:61" s="11" customFormat="1" x14ac:dyDescent="0.3">
      <c r="A41" s="518"/>
      <c r="B41" s="518"/>
      <c r="C41" s="518"/>
      <c r="D41" s="518"/>
      <c r="E41" s="518"/>
      <c r="F41" s="518"/>
      <c r="G41" s="518"/>
      <c r="H41" s="518"/>
      <c r="I41" s="518"/>
      <c r="J41" s="518"/>
      <c r="K41" s="518"/>
      <c r="L41" s="518"/>
      <c r="M41" s="518"/>
      <c r="N41" s="518"/>
      <c r="O41" s="518"/>
      <c r="P41" s="109"/>
      <c r="Q41" s="109"/>
      <c r="R41" s="10"/>
      <c r="S41" s="10"/>
      <c r="T41" s="10"/>
      <c r="U41" s="10"/>
      <c r="V41" s="10"/>
      <c r="W41" s="10"/>
      <c r="X41" s="10"/>
      <c r="Y41" s="10"/>
      <c r="Z41" s="10"/>
    </row>
    <row r="42" spans="1:61" s="11" customFormat="1" ht="28.5" customHeight="1" x14ac:dyDescent="0.3">
      <c r="A42" s="521" t="s">
        <v>177</v>
      </c>
      <c r="B42" s="521"/>
      <c r="C42" s="521"/>
      <c r="D42" s="521"/>
      <c r="E42" s="521"/>
      <c r="F42" s="521"/>
      <c r="G42" s="521"/>
      <c r="H42" s="521"/>
      <c r="I42" s="521"/>
      <c r="J42" s="521"/>
      <c r="K42" s="521"/>
      <c r="L42" s="521"/>
      <c r="M42" s="521"/>
      <c r="N42" s="521"/>
      <c r="O42" s="521"/>
      <c r="P42" s="521"/>
      <c r="Q42" s="52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61" s="11" customFormat="1" ht="25.5" customHeight="1" x14ac:dyDescent="0.3">
      <c r="A43" s="126" t="s">
        <v>173</v>
      </c>
      <c r="B43" s="126" t="s">
        <v>0</v>
      </c>
      <c r="C43" s="126"/>
      <c r="D43" s="126" t="s">
        <v>174</v>
      </c>
      <c r="E43" s="521" t="s">
        <v>175</v>
      </c>
      <c r="F43" s="521"/>
      <c r="G43" s="521"/>
      <c r="H43" s="521"/>
      <c r="I43" s="521"/>
      <c r="J43" s="521"/>
      <c r="K43" s="521"/>
      <c r="L43" s="129" t="s">
        <v>4</v>
      </c>
      <c r="M43" s="128"/>
      <c r="N43" s="128"/>
      <c r="O43" s="127" t="s">
        <v>59</v>
      </c>
      <c r="P43" s="130" t="s">
        <v>8</v>
      </c>
      <c r="Q43" s="130" t="s">
        <v>10</v>
      </c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61" s="69" customFormat="1" ht="15" customHeight="1" x14ac:dyDescent="0.3">
      <c r="A44" s="4" t="s">
        <v>132</v>
      </c>
      <c r="B44" s="4">
        <v>1</v>
      </c>
      <c r="C44" s="4"/>
      <c r="D44" s="5">
        <f>4977.59-1520</f>
        <v>3457.59</v>
      </c>
      <c r="E44" s="546" t="s">
        <v>284</v>
      </c>
      <c r="F44" s="547"/>
      <c r="G44" s="547"/>
      <c r="H44" s="547"/>
      <c r="I44" s="547"/>
      <c r="J44" s="547"/>
      <c r="K44" s="548"/>
      <c r="L44" s="5">
        <f>4977.59-1520</f>
        <v>3457.59</v>
      </c>
      <c r="M44" s="5"/>
      <c r="N44" s="5"/>
      <c r="O44" s="5" t="s">
        <v>510</v>
      </c>
      <c r="P44" s="140">
        <v>10</v>
      </c>
      <c r="Q44" s="4">
        <v>11</v>
      </c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</row>
    <row r="45" spans="1:61" s="11" customFormat="1" x14ac:dyDescent="0.3">
      <c r="A45" s="90" t="s">
        <v>87</v>
      </c>
      <c r="B45" s="90">
        <v>25</v>
      </c>
      <c r="C45" s="90"/>
      <c r="D45" s="5">
        <v>3013.33</v>
      </c>
      <c r="E45" s="546" t="s">
        <v>543</v>
      </c>
      <c r="F45" s="547"/>
      <c r="G45" s="547"/>
      <c r="H45" s="547"/>
      <c r="I45" s="547"/>
      <c r="J45" s="547"/>
      <c r="K45" s="548"/>
      <c r="L45" s="5">
        <v>3040.58</v>
      </c>
      <c r="M45" s="2"/>
      <c r="N45" s="2"/>
      <c r="O45" s="5" t="s">
        <v>545</v>
      </c>
      <c r="P45" s="98">
        <v>10</v>
      </c>
      <c r="Q45" s="3">
        <v>11</v>
      </c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</row>
    <row r="46" spans="1:61" s="40" customFormat="1" ht="15" customHeight="1" thickBot="1" x14ac:dyDescent="0.35">
      <c r="A46" s="534" t="s">
        <v>4</v>
      </c>
      <c r="B46" s="549"/>
      <c r="C46" s="549"/>
      <c r="D46" s="549"/>
      <c r="E46" s="549"/>
      <c r="F46" s="549"/>
      <c r="G46" s="549"/>
      <c r="H46" s="549"/>
      <c r="I46" s="549"/>
      <c r="J46" s="549"/>
      <c r="K46" s="535"/>
      <c r="L46" s="114">
        <f>SUM(L44:L45)</f>
        <v>6498.17</v>
      </c>
      <c r="M46" s="90"/>
      <c r="N46" s="90"/>
      <c r="O46" s="90"/>
      <c r="P46" s="90"/>
      <c r="Q46" s="9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1"/>
      <c r="AV46" s="11"/>
      <c r="AW46" s="11"/>
      <c r="AX46" s="11"/>
    </row>
    <row r="47" spans="1:61" s="19" customFormat="1" x14ac:dyDescent="0.3">
      <c r="A47" s="179"/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1"/>
      <c r="Q47" s="182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</row>
    <row r="48" spans="1:61" s="40" customFormat="1" x14ac:dyDescent="0.3">
      <c r="A48" s="585"/>
      <c r="B48" s="585"/>
      <c r="C48" s="585"/>
      <c r="D48" s="585"/>
      <c r="E48" s="585"/>
      <c r="F48" s="46"/>
      <c r="G48" s="46"/>
      <c r="H48" s="46"/>
      <c r="I48" s="46"/>
      <c r="J48" s="46"/>
      <c r="K48" s="46"/>
      <c r="L48" s="46"/>
      <c r="M48" s="46"/>
      <c r="N48" s="46"/>
      <c r="O48" s="544" t="s">
        <v>315</v>
      </c>
      <c r="P48" s="544"/>
      <c r="Q48" s="545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1"/>
      <c r="AV48" s="11"/>
      <c r="AW48" s="11"/>
      <c r="AX48" s="11"/>
    </row>
    <row r="49" spans="1:50" s="40" customFormat="1" x14ac:dyDescent="0.3">
      <c r="A49" s="206"/>
      <c r="B49" s="223"/>
      <c r="C49" s="223"/>
      <c r="D49" s="224"/>
      <c r="E49" s="223"/>
      <c r="F49" s="46"/>
      <c r="G49" s="46"/>
      <c r="H49" s="46"/>
      <c r="I49" s="11"/>
      <c r="J49" s="11"/>
      <c r="K49" s="11"/>
      <c r="L49" s="87"/>
      <c r="M49" s="87"/>
      <c r="N49" s="87"/>
      <c r="O49" s="527" t="s">
        <v>94</v>
      </c>
      <c r="P49" s="527"/>
      <c r="Q49" s="114">
        <f>M36+M40</f>
        <v>1062.4608743580341</v>
      </c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1"/>
      <c r="AV49" s="11"/>
      <c r="AW49" s="11"/>
      <c r="AX49" s="11"/>
    </row>
    <row r="50" spans="1:50" s="40" customFormat="1" x14ac:dyDescent="0.3">
      <c r="A50" s="206"/>
      <c r="B50" s="223"/>
      <c r="C50" s="223"/>
      <c r="D50" s="224"/>
      <c r="E50" s="223"/>
      <c r="F50" s="46"/>
      <c r="G50" s="46"/>
      <c r="H50" s="46"/>
      <c r="I50" s="11"/>
      <c r="J50" s="11"/>
      <c r="K50" s="11"/>
      <c r="L50" s="14"/>
      <c r="M50" s="14"/>
      <c r="N50" s="14"/>
      <c r="O50" s="518" t="s">
        <v>260</v>
      </c>
      <c r="P50" s="518"/>
      <c r="Q50" s="114">
        <f>M6</f>
        <v>828</v>
      </c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1"/>
      <c r="AV50" s="11"/>
      <c r="AW50" s="11"/>
      <c r="AX50" s="11"/>
    </row>
    <row r="51" spans="1:50" s="40" customFormat="1" x14ac:dyDescent="0.3">
      <c r="A51" s="206"/>
      <c r="B51" s="223"/>
      <c r="C51" s="223"/>
      <c r="D51" s="224"/>
      <c r="E51" s="223"/>
      <c r="F51" s="46"/>
      <c r="G51" s="46"/>
      <c r="H51" s="46"/>
      <c r="I51" s="11"/>
      <c r="J51" s="11"/>
      <c r="K51" s="11"/>
      <c r="L51" s="14"/>
      <c r="M51" s="14"/>
      <c r="N51" s="14"/>
      <c r="O51" s="520"/>
      <c r="P51" s="520"/>
      <c r="Q51" s="52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1"/>
      <c r="AV51" s="11"/>
      <c r="AW51" s="11"/>
      <c r="AX51" s="11"/>
    </row>
    <row r="52" spans="1:50" s="40" customFormat="1" x14ac:dyDescent="0.3">
      <c r="A52" s="206"/>
      <c r="B52" s="223"/>
      <c r="C52" s="223"/>
      <c r="D52" s="224"/>
      <c r="E52" s="223"/>
      <c r="F52" s="46"/>
      <c r="G52" s="46"/>
      <c r="H52" s="46"/>
      <c r="I52" s="11"/>
      <c r="J52" s="11"/>
      <c r="K52" s="11"/>
      <c r="L52" s="62"/>
      <c r="M52" s="62"/>
      <c r="N52" s="62"/>
      <c r="O52" s="520"/>
      <c r="P52" s="520"/>
      <c r="Q52" s="52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1"/>
      <c r="AV52" s="11"/>
      <c r="AW52" s="11"/>
      <c r="AX52" s="11"/>
    </row>
    <row r="53" spans="1:50" s="40" customFormat="1" ht="14.4" x14ac:dyDescent="0.3">
      <c r="A53" s="206"/>
      <c r="B53" s="223"/>
      <c r="C53" s="223"/>
      <c r="D53" s="224"/>
      <c r="E53" s="223"/>
      <c r="F53" s="46"/>
      <c r="G53" s="46"/>
      <c r="H53" s="46"/>
      <c r="I53" s="11"/>
      <c r="J53" s="11"/>
      <c r="K53" s="11"/>
      <c r="L53" s="14"/>
      <c r="M53" s="14"/>
      <c r="N53" s="14"/>
      <c r="O53" s="529" t="s">
        <v>12</v>
      </c>
      <c r="P53" s="529"/>
      <c r="Q53" s="529"/>
      <c r="R53" s="175"/>
      <c r="S53" s="178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1"/>
      <c r="AV53" s="11"/>
      <c r="AW53" s="11"/>
      <c r="AX53" s="11"/>
    </row>
    <row r="54" spans="1:50" s="11" customFormat="1" ht="15" customHeight="1" x14ac:dyDescent="0.3">
      <c r="A54" s="206"/>
      <c r="B54" s="223"/>
      <c r="C54" s="223"/>
      <c r="D54" s="224"/>
      <c r="E54" s="223"/>
      <c r="F54" s="46"/>
      <c r="G54" s="46"/>
      <c r="H54" s="46"/>
      <c r="L54" s="63"/>
      <c r="M54" s="63"/>
      <c r="N54" s="63"/>
      <c r="O54" s="514" t="s">
        <v>408</v>
      </c>
      <c r="P54" s="514"/>
      <c r="Q54" s="192">
        <v>19.760000000000002</v>
      </c>
      <c r="R54" s="190"/>
      <c r="S54" s="178"/>
    </row>
    <row r="55" spans="1:50" s="11" customFormat="1" ht="14.4" x14ac:dyDescent="0.3">
      <c r="A55" s="206"/>
      <c r="B55" s="223"/>
      <c r="C55" s="223"/>
      <c r="D55" s="224"/>
      <c r="E55" s="223"/>
      <c r="F55" s="46"/>
      <c r="G55" s="46"/>
      <c r="H55" s="46"/>
      <c r="L55" s="14"/>
      <c r="M55" s="14"/>
      <c r="N55" s="14"/>
      <c r="O55" s="514" t="s">
        <v>477</v>
      </c>
      <c r="P55" s="514"/>
      <c r="Q55" s="192">
        <v>21.07</v>
      </c>
      <c r="R55" s="175"/>
      <c r="S55" s="178"/>
    </row>
    <row r="56" spans="1:50" s="11" customFormat="1" ht="15" customHeight="1" x14ac:dyDescent="0.3">
      <c r="A56" s="206"/>
      <c r="B56" s="223"/>
      <c r="C56" s="223"/>
      <c r="D56" s="224"/>
      <c r="E56" s="223"/>
      <c r="F56" s="46"/>
      <c r="G56" s="46"/>
      <c r="H56" s="46"/>
      <c r="L56" s="63"/>
      <c r="M56" s="63"/>
      <c r="N56" s="63"/>
      <c r="O56" s="514" t="s">
        <v>325</v>
      </c>
      <c r="P56" s="514"/>
      <c r="Q56" s="192">
        <v>21.28</v>
      </c>
      <c r="R56" s="190"/>
      <c r="S56" s="178"/>
    </row>
    <row r="57" spans="1:50" s="11" customFormat="1" ht="14.4" x14ac:dyDescent="0.3">
      <c r="A57" s="206"/>
      <c r="B57" s="223"/>
      <c r="C57" s="223"/>
      <c r="D57" s="224"/>
      <c r="E57" s="223"/>
      <c r="F57" s="46"/>
      <c r="G57" s="46"/>
      <c r="H57" s="46"/>
      <c r="L57" s="14"/>
      <c r="M57" s="14"/>
      <c r="N57" s="14"/>
      <c r="O57" s="514" t="s">
        <v>327</v>
      </c>
      <c r="P57" s="514"/>
      <c r="Q57" s="192">
        <v>19.809999999999999</v>
      </c>
      <c r="R57" s="222"/>
      <c r="S57" s="178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</row>
    <row r="58" spans="1:50" s="11" customFormat="1" ht="14.4" x14ac:dyDescent="0.3">
      <c r="A58" s="206"/>
      <c r="B58" s="223"/>
      <c r="C58" s="223"/>
      <c r="D58" s="224"/>
      <c r="E58" s="223"/>
      <c r="F58" s="46"/>
      <c r="G58" s="46"/>
      <c r="H58" s="46"/>
      <c r="L58" s="63"/>
      <c r="M58" s="63"/>
      <c r="N58" s="63"/>
      <c r="O58" s="514" t="s">
        <v>456</v>
      </c>
      <c r="P58" s="514"/>
      <c r="Q58" s="192">
        <v>19.7</v>
      </c>
      <c r="R58" s="175"/>
      <c r="S58" s="178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</row>
    <row r="59" spans="1:50" s="11" customFormat="1" ht="14.4" x14ac:dyDescent="0.3">
      <c r="A59" s="206"/>
      <c r="B59" s="223"/>
      <c r="C59" s="223"/>
      <c r="D59" s="224"/>
      <c r="E59" s="223"/>
      <c r="F59" s="46"/>
      <c r="G59" s="46"/>
      <c r="H59" s="46"/>
      <c r="L59" s="14"/>
      <c r="M59" s="14"/>
      <c r="N59" s="14"/>
      <c r="O59" s="514" t="s">
        <v>122</v>
      </c>
      <c r="P59" s="514"/>
      <c r="Q59" s="192">
        <v>21.2</v>
      </c>
      <c r="R59" s="175"/>
      <c r="S59" s="185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</row>
    <row r="60" spans="1:50" s="11" customFormat="1" ht="14.4" x14ac:dyDescent="0.3">
      <c r="A60" s="206"/>
      <c r="B60" s="223"/>
      <c r="C60" s="223"/>
      <c r="D60" s="224"/>
      <c r="E60" s="223"/>
      <c r="F60" s="46"/>
      <c r="G60" s="46"/>
      <c r="H60" s="46"/>
      <c r="L60" s="14"/>
      <c r="M60" s="14"/>
      <c r="N60" s="14"/>
      <c r="O60" s="514" t="s">
        <v>149</v>
      </c>
      <c r="P60" s="514"/>
      <c r="Q60" s="192">
        <v>21.2</v>
      </c>
      <c r="R60" s="175"/>
      <c r="S60" s="185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</row>
    <row r="61" spans="1:50" s="11" customFormat="1" ht="14.4" x14ac:dyDescent="0.3">
      <c r="A61" s="206"/>
      <c r="B61" s="223"/>
      <c r="C61" s="223"/>
      <c r="D61" s="224"/>
      <c r="E61" s="223"/>
      <c r="F61" s="46"/>
      <c r="G61" s="46"/>
      <c r="H61" s="46"/>
      <c r="L61" s="63"/>
      <c r="M61" s="63"/>
      <c r="N61" s="63"/>
      <c r="O61" s="514" t="s">
        <v>150</v>
      </c>
      <c r="P61" s="514"/>
      <c r="Q61" s="192">
        <v>19.809999999999999</v>
      </c>
      <c r="R61" s="175"/>
      <c r="S61" s="178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</row>
    <row r="62" spans="1:50" s="11" customFormat="1" ht="14.4" x14ac:dyDescent="0.3">
      <c r="A62" s="206"/>
      <c r="B62" s="223"/>
      <c r="C62" s="223"/>
      <c r="D62" s="224"/>
      <c r="E62" s="223"/>
      <c r="F62" s="46"/>
      <c r="G62" s="46"/>
      <c r="H62" s="46"/>
      <c r="L62" s="14"/>
      <c r="M62" s="14"/>
      <c r="N62" s="14"/>
      <c r="O62" s="514" t="s">
        <v>369</v>
      </c>
      <c r="P62" s="514"/>
      <c r="Q62" s="192">
        <v>21.5</v>
      </c>
      <c r="R62" s="175"/>
      <c r="S62" s="178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</row>
    <row r="63" spans="1:50" s="11" customFormat="1" ht="15" customHeight="1" x14ac:dyDescent="0.3">
      <c r="A63" s="206"/>
      <c r="B63" s="223"/>
      <c r="C63" s="223"/>
      <c r="D63" s="224"/>
      <c r="E63" s="223"/>
      <c r="F63" s="46"/>
      <c r="G63" s="46"/>
      <c r="H63" s="46"/>
      <c r="L63" s="63"/>
      <c r="M63" s="63"/>
      <c r="N63" s="63"/>
      <c r="O63" s="514" t="s">
        <v>420</v>
      </c>
      <c r="P63" s="514"/>
      <c r="Q63" s="192">
        <v>19.89</v>
      </c>
      <c r="S63" s="14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</row>
    <row r="64" spans="1:50" s="11" customFormat="1" ht="14.4" x14ac:dyDescent="0.3">
      <c r="A64" s="206"/>
      <c r="B64" s="223"/>
      <c r="C64" s="223"/>
      <c r="D64" s="224"/>
      <c r="E64" s="223"/>
      <c r="F64" s="46"/>
      <c r="G64" s="46"/>
      <c r="H64" s="46"/>
      <c r="L64" s="14"/>
      <c r="M64" s="14"/>
      <c r="N64" s="14"/>
      <c r="O64" s="514" t="s">
        <v>188</v>
      </c>
      <c r="P64" s="514"/>
      <c r="Q64" s="192">
        <v>19.760000000000002</v>
      </c>
      <c r="R64" s="190"/>
      <c r="S64" s="178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</row>
    <row r="65" spans="1:49" s="11" customFormat="1" ht="14.4" x14ac:dyDescent="0.3">
      <c r="A65" s="206"/>
      <c r="B65" s="223"/>
      <c r="C65" s="223"/>
      <c r="D65" s="224"/>
      <c r="E65" s="223"/>
      <c r="F65" s="46"/>
      <c r="G65" s="46"/>
      <c r="H65" s="46"/>
      <c r="L65" s="63"/>
      <c r="M65" s="63"/>
      <c r="N65" s="63"/>
      <c r="O65" s="514" t="s">
        <v>126</v>
      </c>
      <c r="P65" s="514"/>
      <c r="Q65" s="192">
        <v>100.47</v>
      </c>
      <c r="R65" s="175"/>
      <c r="S65" s="178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</row>
    <row r="66" spans="1:49" s="11" customFormat="1" ht="14.4" x14ac:dyDescent="0.3">
      <c r="A66" s="206"/>
      <c r="B66" s="223"/>
      <c r="C66" s="223"/>
      <c r="D66" s="224"/>
      <c r="E66" s="223"/>
      <c r="F66" s="46"/>
      <c r="G66" s="46"/>
      <c r="H66" s="46"/>
      <c r="O66" s="583" t="s">
        <v>127</v>
      </c>
      <c r="P66" s="583"/>
      <c r="Q66" s="192">
        <v>1541.7</v>
      </c>
      <c r="R66" s="175"/>
      <c r="S66" s="178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</row>
    <row r="67" spans="1:49" s="11" customFormat="1" ht="14.4" x14ac:dyDescent="0.3">
      <c r="A67" s="206"/>
      <c r="B67" s="223"/>
      <c r="C67" s="223"/>
      <c r="D67" s="224"/>
      <c r="E67" s="223"/>
      <c r="F67" s="46"/>
      <c r="G67" s="46"/>
      <c r="H67" s="46"/>
      <c r="L67" s="63"/>
      <c r="M67" s="63"/>
      <c r="N67" s="63"/>
      <c r="O67" s="514" t="s">
        <v>923</v>
      </c>
      <c r="P67" s="514"/>
      <c r="Q67" s="196">
        <v>150.28</v>
      </c>
      <c r="R67" s="175"/>
      <c r="S67" s="178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</row>
    <row r="68" spans="1:49" s="11" customFormat="1" ht="14.4" x14ac:dyDescent="0.3">
      <c r="A68" s="206"/>
      <c r="B68" s="223"/>
      <c r="C68" s="223"/>
      <c r="D68" s="224"/>
      <c r="E68" s="223"/>
      <c r="F68" s="46"/>
      <c r="G68" s="46"/>
      <c r="H68" s="46"/>
      <c r="L68" s="14"/>
      <c r="M68" s="14"/>
      <c r="N68" s="14"/>
      <c r="O68" s="581"/>
      <c r="P68" s="582"/>
      <c r="Q68" s="212"/>
      <c r="R68" s="175"/>
      <c r="S68" s="185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</row>
    <row r="69" spans="1:49" s="11" customFormat="1" ht="14.4" x14ac:dyDescent="0.3">
      <c r="A69" s="206"/>
      <c r="B69" s="223"/>
      <c r="C69" s="223"/>
      <c r="D69" s="224"/>
      <c r="E69" s="223"/>
      <c r="F69" s="46"/>
      <c r="G69" s="46"/>
      <c r="H69" s="46"/>
      <c r="O69" s="518" t="s">
        <v>26</v>
      </c>
      <c r="P69" s="518"/>
      <c r="Q69" s="109">
        <f>SUM(Q49:Q68)</f>
        <v>3907.8908743580346</v>
      </c>
      <c r="R69" s="175"/>
      <c r="S69" s="176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</row>
    <row r="70" spans="1:49" s="11" customFormat="1" ht="14.4" x14ac:dyDescent="0.3">
      <c r="A70" s="206"/>
      <c r="B70" s="223"/>
      <c r="C70" s="223"/>
      <c r="D70" s="224"/>
      <c r="E70" s="223"/>
      <c r="F70" s="46"/>
      <c r="G70" s="46"/>
      <c r="H70" s="46"/>
      <c r="O70" s="543"/>
      <c r="P70" s="543"/>
      <c r="Q70" s="135"/>
      <c r="R70" s="175"/>
      <c r="S70" s="176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</row>
    <row r="71" spans="1:49" s="11" customFormat="1" ht="14.4" x14ac:dyDescent="0.3">
      <c r="A71" s="206"/>
      <c r="B71" s="223"/>
      <c r="C71" s="223"/>
      <c r="D71" s="224"/>
      <c r="E71" s="223"/>
      <c r="F71" s="46"/>
      <c r="G71" s="46"/>
      <c r="H71" s="46"/>
      <c r="O71" s="564" t="s">
        <v>11</v>
      </c>
      <c r="P71" s="565"/>
      <c r="Q71" s="153">
        <f>L6+L36+L40</f>
        <v>16718.830280427163</v>
      </c>
      <c r="R71" s="175"/>
      <c r="S71" s="178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</row>
    <row r="72" spans="1:49" s="11" customFormat="1" ht="14.4" x14ac:dyDescent="0.3">
      <c r="A72" s="206"/>
      <c r="B72" s="223"/>
      <c r="C72" s="223"/>
      <c r="D72" s="224"/>
      <c r="E72" s="223"/>
      <c r="F72" s="46"/>
      <c r="G72" s="46"/>
      <c r="H72" s="46"/>
      <c r="L72" s="14"/>
      <c r="M72" s="14"/>
      <c r="N72" s="14"/>
      <c r="O72" s="518"/>
      <c r="P72" s="518"/>
      <c r="Q72" s="519"/>
      <c r="R72" s="175"/>
      <c r="S72" s="178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</row>
    <row r="73" spans="1:49" s="11" customFormat="1" ht="14.4" x14ac:dyDescent="0.3">
      <c r="A73" s="206"/>
      <c r="B73" s="223"/>
      <c r="C73" s="223"/>
      <c r="D73" s="224"/>
      <c r="E73" s="223"/>
      <c r="F73" s="46"/>
      <c r="G73" s="46"/>
      <c r="H73" s="46"/>
      <c r="L73" s="15"/>
      <c r="M73" s="15"/>
      <c r="N73" s="15"/>
      <c r="O73" s="513" t="s">
        <v>13</v>
      </c>
      <c r="P73" s="513"/>
      <c r="Q73" s="151">
        <f>Q71-Q69</f>
        <v>12810.939406069128</v>
      </c>
      <c r="R73" s="175"/>
      <c r="S73" s="178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</row>
    <row r="74" spans="1:49" s="11" customFormat="1" ht="14.4" x14ac:dyDescent="0.3">
      <c r="A74" s="206"/>
      <c r="B74" s="223"/>
      <c r="C74" s="223"/>
      <c r="D74" s="224"/>
      <c r="E74" s="223"/>
      <c r="F74" s="46"/>
      <c r="G74" s="46"/>
      <c r="H74" s="46"/>
      <c r="L74" s="14"/>
      <c r="M74" s="14"/>
      <c r="N74" s="14"/>
      <c r="O74" s="124"/>
      <c r="P74" s="124"/>
      <c r="Q74" s="57"/>
      <c r="R74" s="175"/>
      <c r="S74" s="178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</row>
    <row r="75" spans="1:49" s="11" customFormat="1" ht="14.4" x14ac:dyDescent="0.3">
      <c r="A75" s="206"/>
      <c r="B75" s="223"/>
      <c r="C75" s="223"/>
      <c r="D75" s="224"/>
      <c r="E75" s="223"/>
      <c r="F75" s="46"/>
      <c r="G75" s="46"/>
      <c r="H75" s="46"/>
      <c r="L75" s="14"/>
      <c r="M75" s="14"/>
      <c r="N75" s="14"/>
      <c r="O75" s="124"/>
      <c r="P75" s="124"/>
      <c r="Q75" s="57"/>
      <c r="R75" s="175"/>
      <c r="S75" s="178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</row>
    <row r="76" spans="1:49" s="11" customFormat="1" ht="14.4" x14ac:dyDescent="0.3">
      <c r="A76" s="206"/>
      <c r="B76" s="223"/>
      <c r="C76" s="223"/>
      <c r="D76" s="224"/>
      <c r="E76" s="223"/>
      <c r="F76" s="46"/>
      <c r="G76" s="46"/>
      <c r="H76" s="46"/>
      <c r="L76" s="14"/>
      <c r="M76" s="14"/>
      <c r="N76" s="14"/>
      <c r="O76" s="124"/>
      <c r="P76" s="124"/>
      <c r="Q76" s="57"/>
      <c r="R76" s="175"/>
      <c r="S76" s="178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</row>
    <row r="77" spans="1:49" s="11" customFormat="1" x14ac:dyDescent="0.3">
      <c r="A77" s="206"/>
      <c r="B77" s="223"/>
      <c r="C77" s="223"/>
      <c r="D77" s="224"/>
      <c r="E77" s="223"/>
      <c r="F77" s="46"/>
      <c r="G77" s="46"/>
      <c r="H77" s="46"/>
      <c r="L77" s="14"/>
      <c r="M77" s="14"/>
      <c r="N77" s="14"/>
      <c r="O77" s="124"/>
      <c r="P77" s="124"/>
      <c r="Q77" s="57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</row>
    <row r="78" spans="1:49" s="69" customFormat="1" x14ac:dyDescent="0.3">
      <c r="A78" s="206"/>
      <c r="B78" s="223"/>
      <c r="C78" s="223"/>
      <c r="D78" s="224"/>
      <c r="E78" s="223"/>
      <c r="F78" s="46"/>
      <c r="G78" s="46"/>
      <c r="H78" s="46"/>
      <c r="I78" s="11"/>
      <c r="J78" s="11"/>
      <c r="K78" s="11"/>
      <c r="L78" s="14"/>
      <c r="M78" s="14"/>
      <c r="N78" s="14"/>
      <c r="O78" s="15"/>
      <c r="P78" s="14"/>
      <c r="Q78" s="57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s="69" customFormat="1" x14ac:dyDescent="0.3">
      <c r="A79" s="206"/>
      <c r="B79" s="223"/>
      <c r="C79" s="223"/>
      <c r="D79" s="224"/>
      <c r="E79" s="223"/>
      <c r="F79" s="46"/>
      <c r="G79" s="46"/>
      <c r="H79" s="46"/>
      <c r="I79" s="11"/>
      <c r="J79" s="11"/>
      <c r="K79" s="11"/>
      <c r="L79" s="14"/>
      <c r="M79" s="14"/>
      <c r="N79" s="14"/>
      <c r="O79" s="11"/>
      <c r="P79" s="15"/>
      <c r="Q79" s="57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s="69" customFormat="1" x14ac:dyDescent="0.3">
      <c r="A80" s="206"/>
      <c r="B80" s="223"/>
      <c r="C80" s="223"/>
      <c r="D80" s="224"/>
      <c r="E80" s="223"/>
      <c r="F80" s="46"/>
      <c r="G80" s="46"/>
      <c r="H80" s="46"/>
      <c r="I80" s="11"/>
      <c r="J80" s="11"/>
      <c r="K80" s="11"/>
      <c r="L80" s="14"/>
      <c r="M80" s="14"/>
      <c r="N80" s="14"/>
      <c r="O80" s="11"/>
      <c r="P80" s="11"/>
      <c r="Q80" s="57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s="69" customFormat="1" x14ac:dyDescent="0.3">
      <c r="A81" s="206"/>
      <c r="B81" s="223"/>
      <c r="C81" s="223"/>
      <c r="D81" s="224"/>
      <c r="E81" s="223"/>
      <c r="F81" s="46"/>
      <c r="G81" s="46"/>
      <c r="H81" s="46"/>
      <c r="I81" s="11"/>
      <c r="J81" s="11"/>
      <c r="K81" s="11"/>
      <c r="L81" s="14"/>
      <c r="M81" s="14"/>
      <c r="N81" s="14"/>
      <c r="O81" s="14"/>
      <c r="P81" s="14"/>
      <c r="Q81" s="57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s="69" customFormat="1" x14ac:dyDescent="0.3">
      <c r="A82" s="206"/>
      <c r="B82" s="223"/>
      <c r="C82" s="223"/>
      <c r="D82" s="224"/>
      <c r="E82" s="223"/>
      <c r="F82" s="46"/>
      <c r="G82" s="46"/>
      <c r="H82" s="46"/>
      <c r="I82" s="11"/>
      <c r="J82" s="11"/>
      <c r="K82" s="11"/>
      <c r="L82" s="14"/>
      <c r="M82" s="14"/>
      <c r="N82" s="14"/>
      <c r="O82" s="14"/>
      <c r="P82" s="15"/>
      <c r="Q82" s="57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s="69" customFormat="1" x14ac:dyDescent="0.3">
      <c r="A83" s="206"/>
      <c r="B83" s="223"/>
      <c r="C83" s="223"/>
      <c r="D83" s="224"/>
      <c r="E83" s="223"/>
      <c r="F83" s="46"/>
      <c r="G83" s="46"/>
      <c r="H83" s="46"/>
      <c r="I83" s="11"/>
      <c r="J83" s="11"/>
      <c r="K83" s="11"/>
      <c r="L83" s="14"/>
      <c r="M83" s="14"/>
      <c r="N83" s="14"/>
      <c r="O83" s="14"/>
      <c r="P83" s="11"/>
      <c r="Q83" s="57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s="69" customFormat="1" x14ac:dyDescent="0.3">
      <c r="A84" s="206"/>
      <c r="B84" s="223"/>
      <c r="C84" s="223"/>
      <c r="D84" s="224"/>
      <c r="E84" s="223"/>
      <c r="F84" s="46"/>
      <c r="G84" s="46"/>
      <c r="H84" s="46"/>
      <c r="I84" s="11"/>
      <c r="J84" s="11"/>
      <c r="K84" s="11"/>
      <c r="L84" s="14"/>
      <c r="M84" s="14"/>
      <c r="N84" s="14"/>
      <c r="O84" s="14"/>
      <c r="P84" s="11"/>
      <c r="Q84" s="57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s="69" customFormat="1" x14ac:dyDescent="0.3">
      <c r="A85" s="206"/>
      <c r="B85" s="223"/>
      <c r="C85" s="223"/>
      <c r="D85" s="224"/>
      <c r="E85" s="223"/>
      <c r="F85" s="46"/>
      <c r="G85" s="46"/>
      <c r="H85" s="46"/>
      <c r="I85" s="11"/>
      <c r="J85" s="11"/>
      <c r="K85" s="11"/>
      <c r="L85" s="14"/>
      <c r="M85" s="14"/>
      <c r="N85" s="14"/>
      <c r="O85" s="11"/>
      <c r="P85" s="11"/>
      <c r="Q85" s="57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s="69" customFormat="1" x14ac:dyDescent="0.3">
      <c r="A86" s="206"/>
      <c r="B86" s="223"/>
      <c r="C86" s="223"/>
      <c r="D86" s="224"/>
      <c r="E86" s="223"/>
      <c r="F86" s="46"/>
      <c r="G86" s="46"/>
      <c r="H86" s="46"/>
      <c r="I86" s="11"/>
      <c r="J86" s="11"/>
      <c r="K86" s="11"/>
      <c r="L86" s="14"/>
      <c r="M86" s="14"/>
      <c r="N86" s="14"/>
      <c r="O86" s="11"/>
      <c r="P86" s="14"/>
      <c r="Q86" s="57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s="69" customFormat="1" x14ac:dyDescent="0.3">
      <c r="A87" s="206"/>
      <c r="B87" s="223"/>
      <c r="C87" s="223"/>
      <c r="D87" s="224"/>
      <c r="E87" s="223"/>
      <c r="F87" s="46"/>
      <c r="G87" s="46"/>
      <c r="H87" s="46"/>
      <c r="I87" s="11"/>
      <c r="J87" s="11"/>
      <c r="K87" s="11"/>
      <c r="L87" s="14"/>
      <c r="M87" s="14"/>
      <c r="N87" s="14"/>
      <c r="O87" s="11"/>
      <c r="P87" s="14"/>
      <c r="Q87" s="57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s="69" customFormat="1" x14ac:dyDescent="0.3">
      <c r="A88" s="206"/>
      <c r="B88" s="223"/>
      <c r="C88" s="223"/>
      <c r="D88" s="224"/>
      <c r="E88" s="223"/>
      <c r="F88" s="46"/>
      <c r="G88" s="46"/>
      <c r="H88" s="46"/>
      <c r="I88" s="11"/>
      <c r="J88" s="11"/>
      <c r="K88" s="11"/>
      <c r="L88" s="14"/>
      <c r="M88" s="14"/>
      <c r="N88" s="14"/>
      <c r="O88" s="11"/>
      <c r="P88" s="14"/>
      <c r="Q88" s="57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69" customFormat="1" x14ac:dyDescent="0.3">
      <c r="A89" s="206"/>
      <c r="B89" s="223"/>
      <c r="C89" s="223"/>
      <c r="D89" s="224"/>
      <c r="E89" s="223"/>
      <c r="F89" s="46"/>
      <c r="G89" s="46"/>
      <c r="H89" s="46"/>
      <c r="L89" s="142"/>
      <c r="M89" s="142"/>
      <c r="N89" s="142"/>
      <c r="O89" s="11"/>
      <c r="P89" s="14"/>
      <c r="Q89" s="57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s="70" customFormat="1" x14ac:dyDescent="0.3">
      <c r="A90" s="206"/>
      <c r="B90" s="223"/>
      <c r="C90" s="223"/>
      <c r="D90" s="224"/>
      <c r="E90" s="223"/>
      <c r="F90" s="46"/>
      <c r="G90" s="46"/>
      <c r="H90" s="46"/>
      <c r="I90" s="63"/>
      <c r="J90" s="63"/>
      <c r="K90" s="63"/>
      <c r="L90" s="69"/>
      <c r="M90" s="69"/>
      <c r="N90" s="69"/>
      <c r="O90" s="11"/>
      <c r="P90" s="11"/>
      <c r="Q90" s="57"/>
    </row>
    <row r="91" spans="1:49" s="70" customFormat="1" ht="15" customHeight="1" x14ac:dyDescent="0.3">
      <c r="A91" s="206"/>
      <c r="B91" s="223"/>
      <c r="C91" s="223"/>
      <c r="D91" s="224"/>
      <c r="E91" s="223"/>
      <c r="F91" s="46"/>
      <c r="G91" s="46"/>
      <c r="H91" s="46"/>
      <c r="I91" s="11"/>
      <c r="J91" s="11"/>
      <c r="K91" s="63"/>
      <c r="L91" s="142"/>
      <c r="M91" s="142"/>
      <c r="N91" s="142"/>
      <c r="O91" s="11"/>
      <c r="P91" s="11"/>
      <c r="Q91" s="57"/>
      <c r="AW91" s="69"/>
    </row>
    <row r="92" spans="1:49" s="70" customFormat="1" x14ac:dyDescent="0.3">
      <c r="A92" s="206"/>
      <c r="B92" s="223"/>
      <c r="C92" s="223"/>
      <c r="D92" s="224"/>
      <c r="E92" s="223"/>
      <c r="F92" s="46"/>
      <c r="G92" s="46"/>
      <c r="H92" s="46"/>
      <c r="I92" s="142"/>
      <c r="J92" s="142"/>
      <c r="K92" s="142"/>
      <c r="L92" s="142"/>
      <c r="M92" s="142"/>
      <c r="N92" s="142"/>
      <c r="O92" s="69"/>
      <c r="P92" s="69"/>
      <c r="Q92" s="69"/>
      <c r="AW92" s="69"/>
    </row>
    <row r="93" spans="1:49" s="70" customFormat="1" x14ac:dyDescent="0.3">
      <c r="A93" s="206"/>
      <c r="B93" s="223"/>
      <c r="C93" s="223"/>
      <c r="D93" s="224"/>
      <c r="E93" s="223"/>
      <c r="F93" s="46"/>
      <c r="G93" s="46"/>
      <c r="H93" s="46"/>
      <c r="I93" s="11"/>
      <c r="J93" s="11"/>
      <c r="K93" s="63"/>
      <c r="L93" s="142"/>
      <c r="M93" s="142"/>
      <c r="N93" s="142"/>
      <c r="O93" s="69"/>
      <c r="P93" s="69"/>
      <c r="Q93" s="69"/>
      <c r="AW93" s="69"/>
    </row>
    <row r="94" spans="1:49" s="70" customFormat="1" x14ac:dyDescent="0.3">
      <c r="A94" s="206"/>
      <c r="B94" s="223"/>
      <c r="C94" s="223"/>
      <c r="D94" s="224"/>
      <c r="E94" s="223"/>
      <c r="F94" s="46"/>
      <c r="G94" s="46"/>
      <c r="H94" s="46"/>
      <c r="I94" s="142"/>
      <c r="J94" s="142"/>
      <c r="K94" s="142"/>
      <c r="L94" s="142"/>
      <c r="M94" s="142"/>
      <c r="N94" s="142"/>
      <c r="O94" s="69"/>
      <c r="P94" s="69"/>
      <c r="Q94" s="69"/>
      <c r="AW94" s="69"/>
    </row>
    <row r="95" spans="1:49" s="70" customFormat="1" x14ac:dyDescent="0.3">
      <c r="A95" s="206"/>
      <c r="B95" s="223"/>
      <c r="C95" s="223"/>
      <c r="D95" s="224"/>
      <c r="E95" s="223"/>
      <c r="F95" s="46"/>
      <c r="G95" s="46"/>
      <c r="H95" s="46"/>
      <c r="I95" s="11"/>
      <c r="J95" s="11"/>
      <c r="K95" s="63"/>
      <c r="L95" s="142"/>
      <c r="M95" s="142"/>
      <c r="N95" s="142"/>
      <c r="O95" s="69"/>
      <c r="P95" s="69"/>
      <c r="Q95" s="69"/>
      <c r="AW95" s="69"/>
    </row>
    <row r="96" spans="1:49" s="70" customFormat="1" x14ac:dyDescent="0.3">
      <c r="A96" s="206"/>
      <c r="B96" s="223"/>
      <c r="C96" s="223"/>
      <c r="D96" s="224"/>
      <c r="E96" s="223"/>
      <c r="F96" s="46"/>
      <c r="G96" s="46"/>
      <c r="H96" s="46"/>
      <c r="I96" s="142"/>
      <c r="J96" s="142"/>
      <c r="K96" s="142"/>
      <c r="L96" s="142"/>
      <c r="M96" s="142"/>
      <c r="N96" s="142"/>
      <c r="O96" s="69"/>
      <c r="P96" s="69"/>
      <c r="Q96" s="69"/>
      <c r="AW96" s="69"/>
    </row>
    <row r="97" spans="1:49" s="70" customFormat="1" x14ac:dyDescent="0.3">
      <c r="A97" s="206"/>
      <c r="B97" s="223"/>
      <c r="C97" s="223"/>
      <c r="D97" s="224"/>
      <c r="E97" s="223"/>
      <c r="F97" s="46"/>
      <c r="G97" s="46"/>
      <c r="H97" s="46"/>
      <c r="I97" s="11"/>
      <c r="J97" s="11"/>
      <c r="K97" s="63"/>
      <c r="L97" s="142"/>
      <c r="M97" s="142"/>
      <c r="N97" s="142"/>
      <c r="O97" s="69"/>
      <c r="P97" s="69"/>
      <c r="Q97" s="69"/>
      <c r="AW97" s="69"/>
    </row>
    <row r="98" spans="1:49" s="70" customFormat="1" x14ac:dyDescent="0.3">
      <c r="A98" s="206"/>
      <c r="B98" s="223"/>
      <c r="C98" s="223"/>
      <c r="D98" s="224"/>
      <c r="E98" s="223"/>
      <c r="F98" s="46"/>
      <c r="G98" s="46"/>
      <c r="H98" s="46"/>
      <c r="I98" s="142"/>
      <c r="J98" s="142"/>
      <c r="K98" s="142"/>
      <c r="L98" s="142"/>
      <c r="M98" s="142"/>
      <c r="N98" s="142"/>
      <c r="O98" s="69"/>
      <c r="P98" s="69"/>
      <c r="Q98" s="69"/>
      <c r="AW98" s="69"/>
    </row>
    <row r="99" spans="1:49" s="70" customFormat="1" x14ac:dyDescent="0.3">
      <c r="A99" s="206"/>
      <c r="B99" s="223"/>
      <c r="C99" s="223"/>
      <c r="D99" s="224"/>
      <c r="E99" s="223"/>
      <c r="F99" s="46"/>
      <c r="G99" s="46"/>
      <c r="H99" s="46"/>
      <c r="I99" s="11"/>
      <c r="J99" s="11"/>
      <c r="K99" s="63"/>
      <c r="L99" s="142"/>
      <c r="M99" s="142"/>
      <c r="N99" s="142"/>
      <c r="O99" s="144"/>
      <c r="P99" s="69"/>
      <c r="Q99" s="69"/>
      <c r="AW99" s="69"/>
    </row>
    <row r="100" spans="1:49" s="70" customFormat="1" x14ac:dyDescent="0.3">
      <c r="A100" s="148"/>
      <c r="B100" s="225"/>
      <c r="C100" s="225"/>
      <c r="D100" s="225"/>
      <c r="E100" s="225"/>
      <c r="F100" s="46"/>
      <c r="G100" s="46"/>
      <c r="H100" s="46"/>
      <c r="I100" s="142"/>
      <c r="J100" s="142"/>
      <c r="K100" s="142"/>
      <c r="L100" s="142"/>
      <c r="M100" s="142"/>
      <c r="N100" s="142"/>
      <c r="O100" s="144"/>
      <c r="P100" s="69"/>
      <c r="Q100" s="69"/>
      <c r="AW100" s="69"/>
    </row>
    <row r="101" spans="1:49" s="70" customFormat="1" x14ac:dyDescent="0.3">
      <c r="A101" s="69"/>
      <c r="B101" s="69"/>
      <c r="C101" s="69"/>
      <c r="D101" s="69"/>
      <c r="E101" s="69"/>
      <c r="F101" s="69"/>
      <c r="G101" s="69"/>
      <c r="H101" s="69"/>
      <c r="I101" s="142"/>
      <c r="J101" s="142"/>
      <c r="K101" s="142"/>
      <c r="L101" s="142"/>
      <c r="M101" s="142"/>
      <c r="N101" s="142"/>
      <c r="O101" s="144"/>
      <c r="P101" s="69"/>
      <c r="AW101" s="69"/>
    </row>
    <row r="102" spans="1:49" s="70" customFormat="1" x14ac:dyDescent="0.3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142"/>
      <c r="M102" s="142"/>
      <c r="N102" s="142"/>
      <c r="O102" s="144"/>
      <c r="P102" s="69"/>
      <c r="AW102" s="69"/>
    </row>
    <row r="103" spans="1:49" s="70" customFormat="1" x14ac:dyDescent="0.3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142"/>
      <c r="M103" s="142"/>
      <c r="N103" s="142"/>
      <c r="O103" s="144"/>
      <c r="P103" s="69"/>
      <c r="AW103" s="69"/>
    </row>
    <row r="104" spans="1:49" s="70" customFormat="1" x14ac:dyDescent="0.3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142"/>
      <c r="M104" s="142"/>
      <c r="N104" s="142"/>
      <c r="O104" s="144"/>
      <c r="P104" s="144"/>
      <c r="AW104" s="69"/>
    </row>
    <row r="105" spans="1:49" s="70" customFormat="1" x14ac:dyDescent="0.3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142"/>
      <c r="M105" s="142"/>
      <c r="N105" s="142"/>
      <c r="O105" s="144"/>
      <c r="P105" s="144"/>
      <c r="AW105" s="69"/>
    </row>
    <row r="106" spans="1:49" s="70" customFormat="1" x14ac:dyDescent="0.3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142"/>
      <c r="M106" s="142"/>
      <c r="N106" s="142"/>
      <c r="O106" s="144"/>
      <c r="P106" s="144"/>
      <c r="AW106" s="69"/>
    </row>
    <row r="107" spans="1:49" s="70" customFormat="1" x14ac:dyDescent="0.3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142"/>
      <c r="M107" s="142"/>
      <c r="N107" s="142"/>
      <c r="O107" s="144"/>
      <c r="P107" s="144"/>
      <c r="AW107" s="69"/>
    </row>
    <row r="108" spans="1:49" s="70" customFormat="1" x14ac:dyDescent="0.3">
      <c r="F108" s="69"/>
      <c r="G108" s="69"/>
      <c r="H108" s="69"/>
      <c r="I108" s="69"/>
      <c r="J108" s="69"/>
      <c r="K108" s="69"/>
      <c r="L108" s="142"/>
      <c r="M108" s="142"/>
      <c r="N108" s="142"/>
      <c r="O108" s="144"/>
      <c r="P108" s="144"/>
      <c r="AW108" s="69"/>
    </row>
    <row r="109" spans="1:49" s="70" customFormat="1" x14ac:dyDescent="0.3">
      <c r="I109" s="69"/>
      <c r="J109" s="69"/>
      <c r="K109" s="69"/>
      <c r="L109" s="142"/>
      <c r="M109" s="142"/>
      <c r="N109" s="142"/>
      <c r="O109" s="144"/>
      <c r="P109" s="144"/>
      <c r="AW109" s="69"/>
    </row>
    <row r="110" spans="1:49" s="70" customFormat="1" x14ac:dyDescent="0.3">
      <c r="L110" s="142"/>
      <c r="M110" s="142"/>
      <c r="N110" s="142"/>
      <c r="O110" s="144"/>
      <c r="P110" s="144"/>
      <c r="AW110" s="69"/>
    </row>
    <row r="111" spans="1:49" s="70" customFormat="1" x14ac:dyDescent="0.3">
      <c r="L111" s="142"/>
      <c r="M111" s="142"/>
      <c r="N111" s="142"/>
      <c r="O111" s="144"/>
      <c r="P111" s="144"/>
      <c r="AW111" s="69"/>
    </row>
    <row r="112" spans="1:49" s="70" customFormat="1" x14ac:dyDescent="0.3">
      <c r="L112" s="142"/>
      <c r="M112" s="142"/>
      <c r="N112" s="142"/>
      <c r="O112" s="144"/>
      <c r="P112" s="144"/>
      <c r="AW112" s="69"/>
    </row>
    <row r="113" spans="12:49" s="70" customFormat="1" x14ac:dyDescent="0.3">
      <c r="L113" s="142"/>
      <c r="M113" s="142"/>
      <c r="N113" s="142"/>
      <c r="O113" s="144"/>
      <c r="P113" s="144"/>
      <c r="AW113" s="69"/>
    </row>
    <row r="114" spans="12:49" s="70" customFormat="1" x14ac:dyDescent="0.3">
      <c r="L114" s="142"/>
      <c r="M114" s="142"/>
      <c r="N114" s="142"/>
      <c r="O114" s="144"/>
      <c r="P114" s="144"/>
      <c r="AW114" s="69"/>
    </row>
    <row r="115" spans="12:49" s="70" customFormat="1" x14ac:dyDescent="0.3">
      <c r="L115" s="142"/>
      <c r="M115" s="142"/>
      <c r="N115" s="142"/>
      <c r="O115" s="144"/>
      <c r="P115" s="144"/>
      <c r="AW115" s="69"/>
    </row>
    <row r="116" spans="12:49" s="70" customFormat="1" x14ac:dyDescent="0.3">
      <c r="L116" s="142"/>
      <c r="M116" s="142"/>
      <c r="N116" s="142"/>
      <c r="O116" s="144"/>
      <c r="P116" s="144"/>
      <c r="AW116" s="69"/>
    </row>
    <row r="117" spans="12:49" s="70" customFormat="1" x14ac:dyDescent="0.3">
      <c r="L117" s="142"/>
      <c r="M117" s="142"/>
      <c r="N117" s="142"/>
      <c r="O117" s="144"/>
      <c r="P117" s="144"/>
      <c r="AW117" s="69"/>
    </row>
    <row r="118" spans="12:49" s="70" customFormat="1" x14ac:dyDescent="0.3">
      <c r="L118" s="142"/>
      <c r="M118" s="142"/>
      <c r="N118" s="142"/>
      <c r="O118" s="144"/>
      <c r="P118" s="144"/>
      <c r="AW118" s="69"/>
    </row>
    <row r="119" spans="12:49" s="70" customFormat="1" x14ac:dyDescent="0.3">
      <c r="L119" s="142"/>
      <c r="M119" s="142"/>
      <c r="N119" s="142"/>
      <c r="O119" s="144"/>
      <c r="P119" s="144"/>
      <c r="AW119" s="69"/>
    </row>
    <row r="120" spans="12:49" s="70" customFormat="1" x14ac:dyDescent="0.3">
      <c r="L120" s="142"/>
      <c r="M120" s="142"/>
      <c r="N120" s="142"/>
      <c r="O120" s="144"/>
      <c r="P120" s="144"/>
      <c r="AW120" s="69"/>
    </row>
    <row r="121" spans="12:49" s="70" customFormat="1" x14ac:dyDescent="0.3">
      <c r="L121" s="142"/>
      <c r="M121" s="142"/>
      <c r="N121" s="142"/>
      <c r="O121" s="144"/>
      <c r="P121" s="144"/>
      <c r="AW121" s="69"/>
    </row>
    <row r="122" spans="12:49" s="70" customFormat="1" x14ac:dyDescent="0.3">
      <c r="L122" s="142"/>
      <c r="M122" s="142"/>
      <c r="N122" s="142"/>
      <c r="O122" s="144"/>
      <c r="P122" s="144"/>
      <c r="AW122" s="69"/>
    </row>
    <row r="123" spans="12:49" s="70" customFormat="1" x14ac:dyDescent="0.3">
      <c r="L123" s="142"/>
      <c r="M123" s="142"/>
      <c r="N123" s="142"/>
      <c r="O123" s="144"/>
      <c r="P123" s="144"/>
      <c r="AW123" s="69"/>
    </row>
    <row r="124" spans="12:49" s="70" customFormat="1" x14ac:dyDescent="0.3">
      <c r="L124" s="142"/>
      <c r="M124" s="142"/>
      <c r="N124" s="142"/>
      <c r="O124" s="144"/>
      <c r="P124" s="144"/>
      <c r="AW124" s="69"/>
    </row>
    <row r="125" spans="12:49" s="70" customFormat="1" x14ac:dyDescent="0.3">
      <c r="L125" s="142"/>
      <c r="M125" s="142"/>
      <c r="N125" s="142"/>
      <c r="O125" s="144"/>
      <c r="P125" s="144"/>
      <c r="AW125" s="69"/>
    </row>
    <row r="126" spans="12:49" s="70" customFormat="1" x14ac:dyDescent="0.3">
      <c r="L126" s="142"/>
      <c r="M126" s="142"/>
      <c r="N126" s="142"/>
      <c r="O126" s="144"/>
      <c r="P126" s="144"/>
      <c r="AW126" s="69"/>
    </row>
    <row r="127" spans="12:49" s="70" customFormat="1" x14ac:dyDescent="0.3">
      <c r="L127" s="142"/>
      <c r="M127" s="142"/>
      <c r="N127" s="142"/>
      <c r="O127" s="144"/>
      <c r="P127" s="144"/>
      <c r="AW127" s="69"/>
    </row>
    <row r="128" spans="12:49" s="70" customFormat="1" x14ac:dyDescent="0.3">
      <c r="L128" s="142"/>
      <c r="M128" s="142"/>
      <c r="N128" s="142"/>
      <c r="O128" s="144"/>
      <c r="P128" s="144"/>
      <c r="AW128" s="69"/>
    </row>
    <row r="129" spans="12:49" s="70" customFormat="1" x14ac:dyDescent="0.3">
      <c r="L129" s="142"/>
      <c r="M129" s="142"/>
      <c r="N129" s="142"/>
      <c r="O129" s="144"/>
      <c r="P129" s="144"/>
      <c r="AW129" s="69"/>
    </row>
    <row r="130" spans="12:49" s="70" customFormat="1" x14ac:dyDescent="0.3">
      <c r="L130" s="142"/>
      <c r="M130" s="142"/>
      <c r="N130" s="142"/>
      <c r="O130" s="144"/>
      <c r="P130" s="144"/>
      <c r="AW130" s="69"/>
    </row>
    <row r="131" spans="12:49" s="70" customFormat="1" x14ac:dyDescent="0.3">
      <c r="L131" s="142"/>
      <c r="M131" s="142"/>
      <c r="N131" s="142"/>
      <c r="O131" s="144"/>
      <c r="P131" s="144"/>
      <c r="AW131" s="69"/>
    </row>
    <row r="132" spans="12:49" s="70" customFormat="1" x14ac:dyDescent="0.3">
      <c r="L132" s="142"/>
      <c r="M132" s="142"/>
      <c r="N132" s="142"/>
      <c r="O132" s="144"/>
      <c r="P132" s="144"/>
      <c r="AW132" s="69"/>
    </row>
    <row r="133" spans="12:49" s="70" customFormat="1" x14ac:dyDescent="0.3">
      <c r="L133" s="142"/>
      <c r="M133" s="142"/>
      <c r="N133" s="142"/>
      <c r="O133" s="144"/>
      <c r="P133" s="144"/>
      <c r="AW133" s="69"/>
    </row>
    <row r="134" spans="12:49" s="70" customFormat="1" x14ac:dyDescent="0.3">
      <c r="L134" s="142"/>
      <c r="M134" s="142"/>
      <c r="N134" s="142"/>
      <c r="O134" s="144"/>
      <c r="P134" s="144"/>
      <c r="AW134" s="69"/>
    </row>
    <row r="135" spans="12:49" s="70" customFormat="1" x14ac:dyDescent="0.3">
      <c r="L135" s="142"/>
      <c r="M135" s="142"/>
      <c r="N135" s="142"/>
      <c r="O135" s="144"/>
      <c r="P135" s="144"/>
      <c r="AW135" s="69"/>
    </row>
    <row r="136" spans="12:49" s="70" customFormat="1" x14ac:dyDescent="0.3">
      <c r="L136" s="142"/>
      <c r="M136" s="142"/>
      <c r="N136" s="142"/>
      <c r="O136" s="144"/>
      <c r="P136" s="144"/>
      <c r="AW136" s="69"/>
    </row>
    <row r="137" spans="12:49" s="70" customFormat="1" x14ac:dyDescent="0.3">
      <c r="L137" s="142"/>
      <c r="M137" s="142"/>
      <c r="N137" s="142"/>
      <c r="O137" s="144"/>
      <c r="P137" s="144"/>
      <c r="AW137" s="69"/>
    </row>
    <row r="138" spans="12:49" s="70" customFormat="1" x14ac:dyDescent="0.3">
      <c r="L138" s="142"/>
      <c r="M138" s="142"/>
      <c r="N138" s="142"/>
      <c r="O138" s="144"/>
      <c r="P138" s="144"/>
      <c r="AW138" s="69"/>
    </row>
    <row r="139" spans="12:49" s="70" customFormat="1" x14ac:dyDescent="0.3">
      <c r="L139" s="142"/>
      <c r="M139" s="142"/>
      <c r="N139" s="142"/>
      <c r="O139" s="144"/>
      <c r="P139" s="144"/>
      <c r="AW139" s="69"/>
    </row>
    <row r="140" spans="12:49" s="70" customFormat="1" x14ac:dyDescent="0.3">
      <c r="L140" s="142"/>
      <c r="M140" s="142"/>
      <c r="N140" s="142"/>
      <c r="O140" s="144"/>
      <c r="P140" s="144"/>
      <c r="AW140" s="69"/>
    </row>
    <row r="141" spans="12:49" s="70" customFormat="1" x14ac:dyDescent="0.3">
      <c r="L141" s="142"/>
      <c r="M141" s="142"/>
      <c r="N141" s="142"/>
      <c r="O141" s="144"/>
      <c r="P141" s="144"/>
      <c r="AW141" s="69"/>
    </row>
    <row r="142" spans="12:49" s="70" customFormat="1" x14ac:dyDescent="0.3">
      <c r="L142" s="142"/>
      <c r="M142" s="142"/>
      <c r="N142" s="142"/>
      <c r="O142" s="144"/>
      <c r="P142" s="144"/>
      <c r="AW142" s="69"/>
    </row>
    <row r="143" spans="12:49" s="70" customFormat="1" x14ac:dyDescent="0.3">
      <c r="L143" s="142"/>
      <c r="M143" s="142"/>
      <c r="N143" s="142"/>
      <c r="O143" s="144"/>
      <c r="P143" s="144"/>
      <c r="AW143" s="69"/>
    </row>
    <row r="144" spans="12:49" s="70" customFormat="1" x14ac:dyDescent="0.3">
      <c r="L144" s="142"/>
      <c r="M144" s="142"/>
      <c r="N144" s="142"/>
      <c r="O144" s="144"/>
      <c r="P144" s="144"/>
      <c r="AW144" s="69"/>
    </row>
    <row r="145" spans="12:49" s="70" customFormat="1" x14ac:dyDescent="0.3">
      <c r="L145" s="142"/>
      <c r="M145" s="142"/>
      <c r="N145" s="142"/>
      <c r="O145" s="144"/>
      <c r="P145" s="144"/>
      <c r="AW145" s="69"/>
    </row>
    <row r="146" spans="12:49" s="70" customFormat="1" x14ac:dyDescent="0.3">
      <c r="L146" s="142"/>
      <c r="M146" s="142"/>
      <c r="N146" s="142"/>
      <c r="O146" s="144"/>
      <c r="P146" s="144"/>
      <c r="AW146" s="69"/>
    </row>
    <row r="147" spans="12:49" s="70" customFormat="1" x14ac:dyDescent="0.3">
      <c r="L147" s="142"/>
      <c r="M147" s="142"/>
      <c r="N147" s="142"/>
      <c r="O147" s="144"/>
      <c r="P147" s="144"/>
      <c r="AW147" s="69"/>
    </row>
    <row r="148" spans="12:49" s="70" customFormat="1" x14ac:dyDescent="0.3">
      <c r="L148" s="142"/>
      <c r="M148" s="142"/>
      <c r="N148" s="142"/>
      <c r="O148" s="144"/>
      <c r="P148" s="144"/>
      <c r="AW148" s="69"/>
    </row>
    <row r="149" spans="12:49" s="70" customFormat="1" x14ac:dyDescent="0.3">
      <c r="L149" s="142"/>
      <c r="M149" s="142"/>
      <c r="N149" s="142"/>
      <c r="O149" s="144"/>
      <c r="P149" s="144"/>
      <c r="AW149" s="69"/>
    </row>
    <row r="150" spans="12:49" s="70" customFormat="1" x14ac:dyDescent="0.3">
      <c r="L150" s="142"/>
      <c r="M150" s="142"/>
      <c r="N150" s="142"/>
      <c r="O150" s="144"/>
      <c r="P150" s="144"/>
      <c r="AW150" s="69"/>
    </row>
    <row r="151" spans="12:49" s="70" customFormat="1" x14ac:dyDescent="0.3">
      <c r="L151" s="142"/>
      <c r="M151" s="142"/>
      <c r="N151" s="142"/>
      <c r="O151" s="144"/>
      <c r="P151" s="144"/>
      <c r="AW151" s="69"/>
    </row>
    <row r="152" spans="12:49" s="70" customFormat="1" x14ac:dyDescent="0.3">
      <c r="L152" s="142"/>
      <c r="M152" s="142"/>
      <c r="N152" s="142"/>
      <c r="O152" s="144"/>
      <c r="P152" s="144"/>
      <c r="AW152" s="69"/>
    </row>
    <row r="153" spans="12:49" s="70" customFormat="1" x14ac:dyDescent="0.3">
      <c r="L153" s="142"/>
      <c r="M153" s="142"/>
      <c r="N153" s="142"/>
      <c r="O153" s="144"/>
      <c r="P153" s="144"/>
      <c r="AW153" s="69"/>
    </row>
    <row r="154" spans="12:49" s="70" customFormat="1" x14ac:dyDescent="0.3">
      <c r="L154" s="142"/>
      <c r="M154" s="142"/>
      <c r="N154" s="142"/>
      <c r="O154" s="144"/>
      <c r="P154" s="144"/>
      <c r="AW154" s="69"/>
    </row>
    <row r="155" spans="12:49" s="70" customFormat="1" x14ac:dyDescent="0.3">
      <c r="L155" s="142"/>
      <c r="M155" s="142"/>
      <c r="N155" s="142"/>
      <c r="O155" s="144"/>
      <c r="P155" s="144"/>
      <c r="AW155" s="69"/>
    </row>
    <row r="156" spans="12:49" s="70" customFormat="1" x14ac:dyDescent="0.3">
      <c r="L156" s="142"/>
      <c r="M156" s="142"/>
      <c r="N156" s="142"/>
      <c r="O156" s="144"/>
      <c r="P156" s="144"/>
      <c r="AW156" s="69"/>
    </row>
    <row r="157" spans="12:49" s="70" customFormat="1" x14ac:dyDescent="0.3">
      <c r="L157" s="142"/>
      <c r="M157" s="142"/>
      <c r="N157" s="142"/>
      <c r="O157" s="144"/>
      <c r="P157" s="144"/>
      <c r="AW157" s="69"/>
    </row>
    <row r="158" spans="12:49" s="70" customFormat="1" x14ac:dyDescent="0.3">
      <c r="L158" s="142"/>
      <c r="M158" s="142"/>
      <c r="N158" s="142"/>
      <c r="O158" s="144"/>
      <c r="P158" s="144"/>
      <c r="AW158" s="69"/>
    </row>
    <row r="159" spans="12:49" s="70" customFormat="1" x14ac:dyDescent="0.3">
      <c r="L159" s="142"/>
      <c r="M159" s="142"/>
      <c r="N159" s="142"/>
      <c r="O159" s="144"/>
      <c r="P159" s="144"/>
      <c r="AW159" s="69"/>
    </row>
    <row r="160" spans="12:49" s="70" customFormat="1" x14ac:dyDescent="0.3">
      <c r="L160" s="142"/>
      <c r="M160" s="142"/>
      <c r="N160" s="142"/>
      <c r="O160" s="144"/>
      <c r="P160" s="144"/>
      <c r="AW160" s="69"/>
    </row>
    <row r="161" spans="1:50" s="70" customFormat="1" x14ac:dyDescent="0.3">
      <c r="L161" s="142"/>
      <c r="M161" s="142"/>
      <c r="N161" s="142"/>
      <c r="O161" s="144"/>
      <c r="P161" s="144"/>
      <c r="AW161" s="69"/>
    </row>
    <row r="162" spans="1:50" s="70" customFormat="1" x14ac:dyDescent="0.3">
      <c r="L162" s="142"/>
      <c r="M162" s="142"/>
      <c r="N162" s="142"/>
      <c r="O162" s="144"/>
      <c r="P162" s="144"/>
      <c r="AW162" s="69"/>
    </row>
    <row r="163" spans="1:50" s="70" customFormat="1" x14ac:dyDescent="0.3">
      <c r="L163" s="142"/>
      <c r="M163" s="142"/>
      <c r="N163" s="142"/>
      <c r="O163" s="144"/>
      <c r="P163" s="144"/>
      <c r="AW163" s="69"/>
    </row>
    <row r="164" spans="1:50" s="70" customFormat="1" x14ac:dyDescent="0.3">
      <c r="L164" s="142"/>
      <c r="M164" s="142"/>
      <c r="N164" s="142"/>
      <c r="O164" s="144"/>
      <c r="P164" s="144"/>
      <c r="AW164" s="69"/>
    </row>
    <row r="165" spans="1:50" s="145" customFormat="1" x14ac:dyDescent="0.3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142"/>
      <c r="M165" s="142"/>
      <c r="N165" s="142"/>
      <c r="O165" s="144"/>
      <c r="P165" s="144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 s="69"/>
      <c r="AX165" s="70"/>
    </row>
    <row r="166" spans="1:50" s="145" customFormat="1" x14ac:dyDescent="0.3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142"/>
      <c r="M166" s="142"/>
      <c r="N166" s="142"/>
      <c r="O166" s="144"/>
      <c r="P166" s="144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69"/>
      <c r="AX166" s="70"/>
    </row>
    <row r="167" spans="1:50" s="145" customFormat="1" x14ac:dyDescent="0.3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142"/>
      <c r="M167" s="142"/>
      <c r="N167" s="142"/>
      <c r="O167" s="144"/>
      <c r="P167" s="144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69"/>
      <c r="AX167" s="70"/>
    </row>
    <row r="168" spans="1:50" s="145" customFormat="1" x14ac:dyDescent="0.3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142"/>
      <c r="M168" s="142"/>
      <c r="N168" s="142"/>
      <c r="O168" s="144"/>
      <c r="P168" s="144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69"/>
      <c r="AX168" s="70"/>
    </row>
    <row r="169" spans="1:50" s="145" customFormat="1" x14ac:dyDescent="0.3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142"/>
      <c r="M169" s="142"/>
      <c r="N169" s="142"/>
      <c r="O169" s="144"/>
      <c r="P169" s="144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69"/>
      <c r="AX169" s="70"/>
    </row>
    <row r="170" spans="1:50" s="145" customFormat="1" x14ac:dyDescent="0.3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142"/>
      <c r="M170" s="142"/>
      <c r="N170" s="142"/>
      <c r="O170" s="144"/>
      <c r="P170" s="144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69"/>
      <c r="AX170" s="70"/>
    </row>
    <row r="171" spans="1:50" s="145" customFormat="1" x14ac:dyDescent="0.3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142"/>
      <c r="M171" s="142"/>
      <c r="N171" s="142"/>
      <c r="O171" s="144"/>
      <c r="P171" s="144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69"/>
      <c r="AX171" s="70"/>
    </row>
    <row r="172" spans="1:50" s="145" customFormat="1" x14ac:dyDescent="0.3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142"/>
      <c r="M172" s="142"/>
      <c r="N172" s="142"/>
      <c r="O172" s="144"/>
      <c r="P172" s="144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69"/>
      <c r="AX172" s="70"/>
    </row>
    <row r="173" spans="1:50" s="145" customFormat="1" x14ac:dyDescent="0.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142"/>
      <c r="M173" s="142"/>
      <c r="N173" s="142"/>
      <c r="O173" s="144"/>
      <c r="P173" s="144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69"/>
      <c r="AX173" s="70"/>
    </row>
    <row r="174" spans="1:50" s="145" customFormat="1" x14ac:dyDescent="0.3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142"/>
      <c r="M174" s="142"/>
      <c r="N174" s="142"/>
      <c r="O174" s="144"/>
      <c r="P174" s="144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69"/>
      <c r="AX174" s="70"/>
    </row>
    <row r="175" spans="1:50" s="145" customFormat="1" x14ac:dyDescent="0.3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142"/>
      <c r="M175" s="142"/>
      <c r="N175" s="142"/>
      <c r="O175" s="144"/>
      <c r="P175" s="144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69"/>
      <c r="AX175" s="70"/>
    </row>
    <row r="176" spans="1:50" s="145" customFormat="1" x14ac:dyDescent="0.3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142"/>
      <c r="M176" s="142"/>
      <c r="N176" s="142"/>
      <c r="O176" s="147"/>
      <c r="P176" s="144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69"/>
      <c r="AX176" s="70"/>
    </row>
    <row r="177" spans="1:50" s="145" customFormat="1" x14ac:dyDescent="0.3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146"/>
      <c r="M177" s="146"/>
      <c r="N177" s="146"/>
      <c r="O177" s="147"/>
      <c r="P177" s="144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69"/>
      <c r="AX177" s="70"/>
    </row>
    <row r="178" spans="1:50" s="145" customFormat="1" x14ac:dyDescent="0.3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146"/>
      <c r="M178" s="146"/>
      <c r="N178" s="146"/>
      <c r="O178" s="147"/>
      <c r="P178" s="144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69"/>
      <c r="AX178" s="70"/>
    </row>
    <row r="179" spans="1:50" s="145" customFormat="1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146"/>
      <c r="M179" s="146"/>
      <c r="N179" s="146"/>
      <c r="O179" s="147"/>
      <c r="P179" s="144"/>
      <c r="Q179" s="149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69"/>
      <c r="AX179" s="70"/>
    </row>
    <row r="180" spans="1:50" s="145" customFormat="1" x14ac:dyDescent="0.3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146"/>
      <c r="M180" s="146"/>
      <c r="N180" s="146"/>
      <c r="O180" s="147"/>
      <c r="P180" s="144"/>
      <c r="Q180" s="149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69"/>
      <c r="AX180" s="70"/>
    </row>
    <row r="181" spans="1:50" s="145" customFormat="1" x14ac:dyDescent="0.3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146"/>
      <c r="M181" s="146"/>
      <c r="N181" s="146"/>
      <c r="O181" s="147"/>
      <c r="P181" s="147"/>
      <c r="Q181" s="149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69"/>
      <c r="AX181" s="70"/>
    </row>
    <row r="182" spans="1:50" x14ac:dyDescent="0.3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146"/>
      <c r="M182" s="146"/>
      <c r="N182" s="146"/>
      <c r="O182" s="147"/>
      <c r="P182" s="147"/>
      <c r="Q182" s="149"/>
      <c r="AW182" s="148"/>
      <c r="AX182" s="148"/>
    </row>
    <row r="183" spans="1:50" x14ac:dyDescent="0.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146"/>
      <c r="M183" s="146"/>
      <c r="N183" s="146"/>
      <c r="O183" s="147"/>
      <c r="P183" s="147"/>
      <c r="Q183" s="149"/>
      <c r="AW183" s="148"/>
      <c r="AX183" s="148"/>
    </row>
    <row r="184" spans="1:50" x14ac:dyDescent="0.3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146"/>
      <c r="M184" s="146"/>
      <c r="N184" s="146"/>
      <c r="O184" s="147"/>
      <c r="P184" s="147"/>
      <c r="Q184" s="149"/>
      <c r="AW184" s="148"/>
      <c r="AX184" s="148"/>
    </row>
    <row r="185" spans="1:50" x14ac:dyDescent="0.3">
      <c r="A185" s="149"/>
      <c r="B185" s="149"/>
      <c r="C185" s="149"/>
      <c r="D185" s="149"/>
      <c r="E185" s="149"/>
      <c r="F185" s="70"/>
      <c r="G185" s="70"/>
      <c r="H185" s="70"/>
      <c r="I185" s="70"/>
      <c r="J185" s="70"/>
      <c r="K185" s="70"/>
      <c r="L185" s="146"/>
      <c r="M185" s="146"/>
      <c r="N185" s="146"/>
      <c r="O185" s="147"/>
      <c r="P185" s="147"/>
      <c r="Q185" s="149"/>
      <c r="AW185" s="148"/>
      <c r="AX185" s="148"/>
    </row>
    <row r="186" spans="1:50" x14ac:dyDescent="0.3">
      <c r="A186" s="149"/>
      <c r="B186" s="149"/>
      <c r="C186" s="149"/>
      <c r="D186" s="149"/>
      <c r="E186" s="149"/>
      <c r="F186" s="149"/>
      <c r="G186" s="149"/>
      <c r="H186" s="149"/>
      <c r="I186" s="70"/>
      <c r="J186" s="70"/>
      <c r="K186" s="70"/>
      <c r="L186" s="146"/>
      <c r="M186" s="146"/>
      <c r="N186" s="146"/>
      <c r="O186" s="147"/>
      <c r="P186" s="147"/>
      <c r="Q186" s="149"/>
      <c r="AW186" s="148"/>
      <c r="AX186" s="148"/>
    </row>
    <row r="187" spans="1:50" x14ac:dyDescent="0.3">
      <c r="A187" s="149"/>
      <c r="B187" s="149"/>
      <c r="C187" s="149"/>
      <c r="D187" s="149"/>
      <c r="E187" s="149"/>
      <c r="F187" s="149"/>
      <c r="G187" s="149"/>
      <c r="H187" s="149"/>
      <c r="I187" s="149"/>
      <c r="J187" s="149"/>
      <c r="K187" s="149"/>
      <c r="L187" s="146"/>
      <c r="M187" s="146"/>
      <c r="N187" s="146"/>
      <c r="O187" s="147"/>
      <c r="P187" s="147"/>
      <c r="Q187" s="149"/>
      <c r="AW187" s="148"/>
      <c r="AX187" s="148"/>
    </row>
    <row r="188" spans="1:50" x14ac:dyDescent="0.3">
      <c r="A188" s="149"/>
      <c r="B188" s="149"/>
      <c r="C188" s="149"/>
      <c r="D188" s="149"/>
      <c r="E188" s="149"/>
      <c r="F188" s="149"/>
      <c r="G188" s="149"/>
      <c r="H188" s="149"/>
      <c r="I188" s="149"/>
      <c r="J188" s="149"/>
      <c r="K188" s="149"/>
      <c r="L188" s="146"/>
      <c r="M188" s="146"/>
      <c r="N188" s="146"/>
      <c r="O188" s="147"/>
      <c r="P188" s="147"/>
      <c r="Q188" s="149"/>
      <c r="AW188" s="148"/>
      <c r="AX188" s="148"/>
    </row>
    <row r="189" spans="1:50" x14ac:dyDescent="0.3">
      <c r="A189" s="149"/>
      <c r="B189" s="149"/>
      <c r="C189" s="149"/>
      <c r="D189" s="149"/>
      <c r="E189" s="149"/>
      <c r="F189" s="149"/>
      <c r="G189" s="149"/>
      <c r="H189" s="149"/>
      <c r="I189" s="149"/>
      <c r="J189" s="149"/>
      <c r="K189" s="149"/>
      <c r="L189" s="146"/>
      <c r="M189" s="146"/>
      <c r="N189" s="146"/>
      <c r="O189" s="147"/>
      <c r="P189" s="147"/>
      <c r="Q189" s="149"/>
      <c r="AW189" s="148"/>
      <c r="AX189" s="148"/>
    </row>
    <row r="190" spans="1:50" x14ac:dyDescent="0.3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6"/>
      <c r="M190" s="146"/>
      <c r="N190" s="146"/>
      <c r="O190" s="147"/>
      <c r="P190" s="147"/>
      <c r="Q190" s="149"/>
      <c r="AW190" s="148"/>
      <c r="AX190" s="148"/>
    </row>
    <row r="191" spans="1:50" x14ac:dyDescent="0.3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6"/>
      <c r="M191" s="146"/>
      <c r="N191" s="146"/>
      <c r="O191" s="147"/>
      <c r="P191" s="147"/>
      <c r="AW191" s="148"/>
      <c r="AX191" s="148"/>
    </row>
    <row r="192" spans="1:50" x14ac:dyDescent="0.3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6"/>
      <c r="M192" s="146"/>
      <c r="N192" s="146"/>
      <c r="O192" s="147"/>
      <c r="P192" s="147"/>
      <c r="AW192" s="148"/>
      <c r="AX192" s="148"/>
    </row>
    <row r="193" spans="1:50" x14ac:dyDescent="0.3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6"/>
      <c r="M193" s="146"/>
      <c r="N193" s="146"/>
      <c r="P193" s="147"/>
      <c r="AW193" s="148"/>
      <c r="AX193" s="148"/>
    </row>
    <row r="194" spans="1:50" x14ac:dyDescent="0.3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P194" s="147"/>
    </row>
    <row r="195" spans="1:50" x14ac:dyDescent="0.3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P195" s="147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/>
      <c r="AO195" s="69"/>
      <c r="AP195" s="69"/>
      <c r="AQ195" s="69"/>
      <c r="AR195" s="69"/>
      <c r="AS195" s="69"/>
      <c r="AT195" s="69"/>
      <c r="AU195" s="69"/>
      <c r="AV195" s="69"/>
      <c r="AW195" s="148"/>
      <c r="AX195" s="148"/>
    </row>
    <row r="196" spans="1:50" x14ac:dyDescent="0.3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P196" s="147"/>
    </row>
    <row r="197" spans="1:50" x14ac:dyDescent="0.3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O197" s="148"/>
      <c r="P197" s="147"/>
    </row>
    <row r="198" spans="1:50" x14ac:dyDescent="0.3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</row>
    <row r="199" spans="1:50" x14ac:dyDescent="0.3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</row>
    <row r="200" spans="1:50" x14ac:dyDescent="0.3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</row>
    <row r="201" spans="1:50" x14ac:dyDescent="0.3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</row>
    <row r="202" spans="1:50" x14ac:dyDescent="0.3">
      <c r="F202" s="149"/>
      <c r="G202" s="149"/>
      <c r="H202" s="149"/>
      <c r="I202" s="149"/>
      <c r="J202" s="149"/>
      <c r="K202" s="149"/>
    </row>
    <row r="203" spans="1:50" x14ac:dyDescent="0.3">
      <c r="I203" s="149"/>
      <c r="J203" s="149"/>
      <c r="K203" s="149"/>
    </row>
    <row r="207" spans="1:50" x14ac:dyDescent="0.3">
      <c r="L207" s="148"/>
      <c r="M207" s="148"/>
      <c r="N207" s="148"/>
    </row>
    <row r="1048535" spans="1:61" x14ac:dyDescent="0.3">
      <c r="Q1048535" s="57"/>
    </row>
    <row r="1048539" spans="1:61" s="70" customFormat="1" x14ac:dyDescent="0.3">
      <c r="A1048539" s="148"/>
      <c r="B1048539" s="148"/>
      <c r="C1048539" s="148"/>
      <c r="D1048539" s="148"/>
      <c r="E1048539" s="148"/>
      <c r="F1048539" s="148"/>
      <c r="G1048539" s="148"/>
      <c r="H1048539" s="148"/>
      <c r="I1048539" s="148"/>
      <c r="J1048539" s="148"/>
      <c r="K1048539" s="148"/>
      <c r="L1048539" s="150"/>
      <c r="M1048539" s="150"/>
      <c r="N1048539" s="150"/>
      <c r="O1048539" s="150"/>
      <c r="P1048539" s="150"/>
      <c r="Q1048539" s="148"/>
      <c r="AW1048539" s="69"/>
      <c r="AX1048539" s="69"/>
      <c r="AY1048539" s="148"/>
      <c r="AZ1048539" s="148"/>
      <c r="BA1048539" s="148"/>
      <c r="BB1048539" s="148"/>
      <c r="BC1048539" s="148"/>
      <c r="BD1048539" s="148"/>
      <c r="BE1048539" s="148"/>
      <c r="BF1048539" s="148"/>
      <c r="BG1048539" s="148"/>
      <c r="BH1048539" s="148"/>
      <c r="BI1048539" s="148"/>
    </row>
  </sheetData>
  <mergeCells count="42">
    <mergeCell ref="O73:P73"/>
    <mergeCell ref="O61:P61"/>
    <mergeCell ref="O63:P63"/>
    <mergeCell ref="O64:P64"/>
    <mergeCell ref="O65:P65"/>
    <mergeCell ref="O66:P66"/>
    <mergeCell ref="O67:P67"/>
    <mergeCell ref="O68:P68"/>
    <mergeCell ref="O69:P69"/>
    <mergeCell ref="O70:P70"/>
    <mergeCell ref="O71:P71"/>
    <mergeCell ref="O72:Q72"/>
    <mergeCell ref="E45:K45"/>
    <mergeCell ref="A46:K46"/>
    <mergeCell ref="A48:E48"/>
    <mergeCell ref="O60:P60"/>
    <mergeCell ref="O49:P49"/>
    <mergeCell ref="O50:P50"/>
    <mergeCell ref="O51:Q52"/>
    <mergeCell ref="O53:Q53"/>
    <mergeCell ref="O54:P54"/>
    <mergeCell ref="O55:P55"/>
    <mergeCell ref="O56:P56"/>
    <mergeCell ref="O57:P57"/>
    <mergeCell ref="O58:P58"/>
    <mergeCell ref="O59:P59"/>
    <mergeCell ref="A37:Q37"/>
    <mergeCell ref="O62:P62"/>
    <mergeCell ref="A1:Q1"/>
    <mergeCell ref="A2:Q2"/>
    <mergeCell ref="A6:B6"/>
    <mergeCell ref="A7:Q7"/>
    <mergeCell ref="A36:B36"/>
    <mergeCell ref="O48:Q48"/>
    <mergeCell ref="E38:K38"/>
    <mergeCell ref="E39:K39"/>
    <mergeCell ref="A40:K40"/>
    <mergeCell ref="O40:Q40"/>
    <mergeCell ref="A41:O41"/>
    <mergeCell ref="A42:Q42"/>
    <mergeCell ref="E43:K43"/>
    <mergeCell ref="E44:K44"/>
  </mergeCells>
  <pageMargins left="0" right="0" top="0" bottom="0" header="0.31496062992125984" footer="0.31496062992125984"/>
  <pageSetup paperSize="9" scale="36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3B304-5D6F-45E3-BEBA-31FCC4ACFA2B}">
  <sheetPr>
    <pageSetUpPr fitToPage="1"/>
  </sheetPr>
  <dimension ref="A1:BI1048541"/>
  <sheetViews>
    <sheetView topLeftCell="A19" zoomScale="60" zoomScaleNormal="60" workbookViewId="0">
      <selection activeCell="A24" sqref="A24:XFD24"/>
    </sheetView>
  </sheetViews>
  <sheetFormatPr defaultColWidth="9.109375" defaultRowHeight="13.8" x14ac:dyDescent="0.3"/>
  <cols>
    <col min="1" max="1" width="52.109375" style="148" customWidth="1"/>
    <col min="2" max="2" width="11.109375" style="148" bestFit="1" customWidth="1"/>
    <col min="3" max="3" width="19" style="148" customWidth="1"/>
    <col min="4" max="4" width="19" style="148" bestFit="1" customWidth="1"/>
    <col min="5" max="5" width="17.109375" style="148" customWidth="1"/>
    <col min="6" max="6" width="19" style="148" bestFit="1" customWidth="1"/>
    <col min="7" max="7" width="16" style="148" customWidth="1"/>
    <col min="8" max="8" width="16.6640625" style="148" bestFit="1" customWidth="1"/>
    <col min="9" max="10" width="14.109375" style="148" bestFit="1" customWidth="1"/>
    <col min="11" max="11" width="15.109375" style="148" bestFit="1" customWidth="1"/>
    <col min="12" max="12" width="18.44140625" style="150" bestFit="1" customWidth="1"/>
    <col min="13" max="13" width="17.5546875" style="150" bestFit="1" customWidth="1"/>
    <col min="14" max="14" width="19" style="150" bestFit="1" customWidth="1"/>
    <col min="15" max="15" width="112.5546875" style="150" bestFit="1" customWidth="1"/>
    <col min="16" max="16" width="12" style="150" customWidth="1"/>
    <col min="17" max="17" width="18.109375" style="148" bestFit="1" customWidth="1"/>
    <col min="18" max="19" width="13.109375" style="70" bestFit="1" customWidth="1"/>
    <col min="20" max="48" width="9.109375" style="70"/>
    <col min="49" max="50" width="9.109375" style="69"/>
    <col min="51" max="16384" width="9.109375" style="148"/>
  </cols>
  <sheetData>
    <row r="1" spans="1:43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</row>
    <row r="2" spans="1:43" s="10" customFormat="1" ht="28.5" customHeight="1" x14ac:dyDescent="0.3">
      <c r="A2" s="571" t="s">
        <v>924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3"/>
    </row>
    <row r="3" spans="1:43" s="10" customFormat="1" ht="30.75" customHeight="1" x14ac:dyDescent="0.3">
      <c r="A3" s="83" t="s">
        <v>3</v>
      </c>
      <c r="B3" s="83" t="s">
        <v>0</v>
      </c>
      <c r="C3" s="83" t="s">
        <v>821</v>
      </c>
      <c r="D3" s="84" t="s">
        <v>1</v>
      </c>
      <c r="E3" s="84" t="s">
        <v>68</v>
      </c>
      <c r="F3" s="84" t="s">
        <v>69</v>
      </c>
      <c r="G3" s="85" t="s">
        <v>2</v>
      </c>
      <c r="H3" s="85" t="s">
        <v>592</v>
      </c>
      <c r="I3" s="84" t="s">
        <v>6</v>
      </c>
      <c r="J3" s="84" t="s">
        <v>764</v>
      </c>
      <c r="K3" s="84" t="s">
        <v>7</v>
      </c>
      <c r="L3" s="84" t="s">
        <v>4</v>
      </c>
      <c r="M3" s="84" t="s">
        <v>5</v>
      </c>
      <c r="N3" s="84" t="s">
        <v>70</v>
      </c>
      <c r="O3" s="83" t="s">
        <v>59</v>
      </c>
      <c r="P3" s="86" t="s">
        <v>8</v>
      </c>
      <c r="Q3" s="86" t="s">
        <v>10</v>
      </c>
    </row>
    <row r="4" spans="1:43" s="199" customFormat="1" ht="15" customHeight="1" x14ac:dyDescent="0.3">
      <c r="A4" s="195" t="s">
        <v>919</v>
      </c>
      <c r="B4" s="193">
        <v>20</v>
      </c>
      <c r="C4" s="193" t="s">
        <v>917</v>
      </c>
      <c r="D4" s="196">
        <f>'GERAL 2024'!G36</f>
        <v>780</v>
      </c>
      <c r="E4" s="196">
        <v>0</v>
      </c>
      <c r="F4" s="196">
        <f>D4-E4</f>
        <v>780</v>
      </c>
      <c r="G4" s="192">
        <v>25</v>
      </c>
      <c r="H4" s="192">
        <f>(1541.7/27)</f>
        <v>57.1</v>
      </c>
      <c r="I4" s="192">
        <f>'GERAL 2024'!I36</f>
        <v>1.3105200945626476</v>
      </c>
      <c r="J4" s="192">
        <f>'GERAL 2024'!K36</f>
        <v>0.79837470449172576</v>
      </c>
      <c r="K4" s="192">
        <v>21.48</v>
      </c>
      <c r="L4" s="191">
        <f>SUM(F4:K4)</f>
        <v>885.68889479905442</v>
      </c>
      <c r="M4" s="192">
        <f>60%*(D4+G4)</f>
        <v>483</v>
      </c>
      <c r="N4" s="192">
        <f>L4-M4</f>
        <v>402.68889479905442</v>
      </c>
      <c r="O4" s="193" t="s">
        <v>928</v>
      </c>
      <c r="P4" s="197">
        <v>10</v>
      </c>
      <c r="Q4" s="194">
        <v>11</v>
      </c>
      <c r="R4" s="198"/>
      <c r="S4" s="198"/>
      <c r="T4" s="198"/>
      <c r="U4" s="198"/>
      <c r="V4" s="198"/>
      <c r="W4" s="198"/>
      <c r="X4" s="198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8"/>
      <c r="AK4" s="198"/>
      <c r="AL4" s="198"/>
      <c r="AM4" s="198"/>
      <c r="AN4" s="198"/>
      <c r="AO4" s="198"/>
      <c r="AP4" s="198"/>
      <c r="AQ4" s="198"/>
    </row>
    <row r="5" spans="1:43" s="199" customFormat="1" ht="15" customHeight="1" x14ac:dyDescent="0.3">
      <c r="A5" s="193"/>
      <c r="B5" s="193"/>
      <c r="C5" s="193"/>
      <c r="D5" s="196">
        <v>0</v>
      </c>
      <c r="E5" s="196">
        <v>0</v>
      </c>
      <c r="F5" s="196">
        <f>D5-E5</f>
        <v>0</v>
      </c>
      <c r="G5" s="192">
        <v>0</v>
      </c>
      <c r="H5" s="192">
        <v>0</v>
      </c>
      <c r="I5" s="192">
        <v>0</v>
      </c>
      <c r="J5" s="192">
        <v>0</v>
      </c>
      <c r="K5" s="192">
        <v>0</v>
      </c>
      <c r="L5" s="191">
        <f>SUM(F5:K5)</f>
        <v>0</v>
      </c>
      <c r="M5" s="192">
        <f>60%*(D5+G5)</f>
        <v>0</v>
      </c>
      <c r="N5" s="192">
        <f>L5-M5</f>
        <v>0</v>
      </c>
      <c r="O5" s="193"/>
      <c r="P5" s="197"/>
      <c r="Q5" s="194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8"/>
      <c r="AK5" s="198"/>
      <c r="AL5" s="198"/>
      <c r="AM5" s="198"/>
      <c r="AN5" s="198"/>
      <c r="AO5" s="198"/>
      <c r="AP5" s="198"/>
      <c r="AQ5" s="198"/>
    </row>
    <row r="6" spans="1:43" s="10" customFormat="1" x14ac:dyDescent="0.3">
      <c r="A6" s="518" t="s">
        <v>4</v>
      </c>
      <c r="B6" s="518"/>
      <c r="C6" s="95"/>
      <c r="D6" s="109">
        <f>SUM(D4:D5)</f>
        <v>780</v>
      </c>
      <c r="E6" s="109">
        <f t="shared" ref="E6:N6" si="0">SUM(E4:E5)</f>
        <v>0</v>
      </c>
      <c r="F6" s="109">
        <f>SUM(F4:F5)</f>
        <v>780</v>
      </c>
      <c r="G6" s="109">
        <f>SUM(G4:G5)</f>
        <v>25</v>
      </c>
      <c r="H6" s="109">
        <f t="shared" si="0"/>
        <v>57.1</v>
      </c>
      <c r="I6" s="109">
        <f t="shared" si="0"/>
        <v>1.3105200945626476</v>
      </c>
      <c r="J6" s="109">
        <f t="shared" si="0"/>
        <v>0.79837470449172576</v>
      </c>
      <c r="K6" s="109">
        <f t="shared" si="0"/>
        <v>21.48</v>
      </c>
      <c r="L6" s="109">
        <f t="shared" si="0"/>
        <v>885.68889479905442</v>
      </c>
      <c r="M6" s="109">
        <f t="shared" si="0"/>
        <v>483</v>
      </c>
      <c r="N6" s="109">
        <f t="shared" si="0"/>
        <v>402.68889479905442</v>
      </c>
      <c r="O6" s="90"/>
      <c r="P6" s="3"/>
      <c r="Q6" s="3"/>
    </row>
    <row r="7" spans="1:43" s="10" customFormat="1" ht="28.5" customHeight="1" x14ac:dyDescent="0.3">
      <c r="A7" s="571" t="s">
        <v>925</v>
      </c>
      <c r="B7" s="572"/>
      <c r="C7" s="572"/>
      <c r="D7" s="572"/>
      <c r="E7" s="572"/>
      <c r="F7" s="572"/>
      <c r="G7" s="572"/>
      <c r="H7" s="572"/>
      <c r="I7" s="572"/>
      <c r="J7" s="572"/>
      <c r="K7" s="572"/>
      <c r="L7" s="572"/>
      <c r="M7" s="572"/>
      <c r="N7" s="572"/>
      <c r="O7" s="572"/>
      <c r="P7" s="572"/>
      <c r="Q7" s="573"/>
    </row>
    <row r="8" spans="1:43" s="11" customFormat="1" ht="34.5" customHeight="1" x14ac:dyDescent="0.3">
      <c r="A8" s="83" t="s">
        <v>3</v>
      </c>
      <c r="B8" s="83" t="s">
        <v>0</v>
      </c>
      <c r="C8" s="83" t="s">
        <v>821</v>
      </c>
      <c r="D8" s="84" t="s">
        <v>1</v>
      </c>
      <c r="E8" s="84" t="s">
        <v>68</v>
      </c>
      <c r="F8" s="84" t="s">
        <v>69</v>
      </c>
      <c r="G8" s="85" t="s">
        <v>2</v>
      </c>
      <c r="H8" s="85" t="s">
        <v>592</v>
      </c>
      <c r="I8" s="84" t="s">
        <v>6</v>
      </c>
      <c r="J8" s="84" t="s">
        <v>764</v>
      </c>
      <c r="K8" s="84" t="s">
        <v>7</v>
      </c>
      <c r="L8" s="84" t="s">
        <v>4</v>
      </c>
      <c r="M8" s="84" t="s">
        <v>5</v>
      </c>
      <c r="N8" s="84" t="s">
        <v>70</v>
      </c>
      <c r="O8" s="83" t="s">
        <v>59</v>
      </c>
      <c r="P8" s="86" t="s">
        <v>8</v>
      </c>
      <c r="Q8" s="86" t="s">
        <v>10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</row>
    <row r="9" spans="1:43" s="199" customFormat="1" x14ac:dyDescent="0.3">
      <c r="A9" s="195" t="s">
        <v>766</v>
      </c>
      <c r="B9" s="193">
        <v>1</v>
      </c>
      <c r="C9" s="193" t="s">
        <v>822</v>
      </c>
      <c r="D9" s="196">
        <v>0</v>
      </c>
      <c r="E9" s="192">
        <v>0</v>
      </c>
      <c r="F9" s="192">
        <f t="shared" ref="F9:F25" si="1">D9-E9</f>
        <v>0</v>
      </c>
      <c r="G9" s="196">
        <v>0</v>
      </c>
      <c r="H9" s="192">
        <f>(1541.7/27)</f>
        <v>57.1</v>
      </c>
      <c r="I9" s="192">
        <f>'GERAL 2024'!I3</f>
        <v>1.3105200945626476</v>
      </c>
      <c r="J9" s="192">
        <f>'GERAL 2024'!K3</f>
        <v>0.79837470449172576</v>
      </c>
      <c r="K9" s="192">
        <v>0</v>
      </c>
      <c r="L9" s="191">
        <f t="shared" ref="L9:L35" si="2">SUM(F9:K9)</f>
        <v>59.208894799054377</v>
      </c>
      <c r="M9" s="192">
        <f>7%*L9</f>
        <v>4.144622635933807</v>
      </c>
      <c r="N9" s="192">
        <f>L9-M9</f>
        <v>55.06427216312057</v>
      </c>
      <c r="O9" s="196" t="s">
        <v>931</v>
      </c>
      <c r="P9" s="197">
        <v>10</v>
      </c>
      <c r="Q9" s="197">
        <v>11</v>
      </c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  <c r="AQ9" s="198"/>
    </row>
    <row r="10" spans="1:43" s="203" customFormat="1" x14ac:dyDescent="0.3">
      <c r="A10" s="193"/>
      <c r="B10" s="194">
        <v>2</v>
      </c>
      <c r="C10" s="194"/>
      <c r="D10" s="196">
        <v>0</v>
      </c>
      <c r="E10" s="196">
        <v>0</v>
      </c>
      <c r="F10" s="196">
        <f t="shared" si="1"/>
        <v>0</v>
      </c>
      <c r="G10" s="196">
        <v>0</v>
      </c>
      <c r="H10" s="192">
        <v>0</v>
      </c>
      <c r="I10" s="192">
        <v>0</v>
      </c>
      <c r="J10" s="192">
        <v>0</v>
      </c>
      <c r="K10" s="196">
        <v>0</v>
      </c>
      <c r="L10" s="191">
        <f t="shared" si="2"/>
        <v>0</v>
      </c>
      <c r="M10" s="192">
        <f>7%*L10</f>
        <v>0</v>
      </c>
      <c r="N10" s="192">
        <f t="shared" ref="N10:N34" si="3">L10-M10</f>
        <v>0</v>
      </c>
      <c r="O10" s="193" t="s">
        <v>525</v>
      </c>
      <c r="P10" s="197"/>
      <c r="Q10" s="197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0"/>
      <c r="AM10" s="201"/>
      <c r="AN10" s="202"/>
      <c r="AO10" s="202"/>
      <c r="AP10" s="202"/>
      <c r="AQ10" s="202"/>
    </row>
    <row r="11" spans="1:43" s="204" customFormat="1" x14ac:dyDescent="0.3">
      <c r="A11" s="193" t="s">
        <v>753</v>
      </c>
      <c r="B11" s="194">
        <v>3</v>
      </c>
      <c r="C11" s="194" t="s">
        <v>822</v>
      </c>
      <c r="D11" s="196">
        <f>'GERAL 2022'!G5</f>
        <v>550</v>
      </c>
      <c r="E11" s="196">
        <v>0</v>
      </c>
      <c r="F11" s="196">
        <f>D11-E11</f>
        <v>550</v>
      </c>
      <c r="G11" s="196">
        <v>0</v>
      </c>
      <c r="H11" s="192">
        <f t="shared" ref="H11:H35" si="4">(1541.7/27)</f>
        <v>57.1</v>
      </c>
      <c r="I11" s="192">
        <f>'GERAL 2024'!I5</f>
        <v>1.3105200945626476</v>
      </c>
      <c r="J11" s="192">
        <f>'GERAL 2024'!K5</f>
        <v>0.79837470449172576</v>
      </c>
      <c r="K11" s="196">
        <v>0</v>
      </c>
      <c r="L11" s="191">
        <f t="shared" si="2"/>
        <v>609.20889479905441</v>
      </c>
      <c r="M11" s="192">
        <f t="shared" ref="M11:M35" si="5">7%*L11</f>
        <v>42.644622635933814</v>
      </c>
      <c r="N11" s="192">
        <f t="shared" si="3"/>
        <v>566.56427216312056</v>
      </c>
      <c r="O11" s="193" t="s">
        <v>932</v>
      </c>
      <c r="P11" s="197">
        <v>10</v>
      </c>
      <c r="Q11" s="197">
        <v>11</v>
      </c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  <c r="AQ11" s="200"/>
    </row>
    <row r="12" spans="1:43" s="199" customFormat="1" ht="15" customHeight="1" x14ac:dyDescent="0.3">
      <c r="A12" s="193" t="s">
        <v>842</v>
      </c>
      <c r="B12" s="193">
        <v>4</v>
      </c>
      <c r="C12" s="193" t="s">
        <v>832</v>
      </c>
      <c r="D12" s="196">
        <f>'GERAL 2023'!G40</f>
        <v>610</v>
      </c>
      <c r="E12" s="196">
        <v>0</v>
      </c>
      <c r="F12" s="196">
        <f>D12-E12</f>
        <v>610</v>
      </c>
      <c r="G12" s="192">
        <v>50</v>
      </c>
      <c r="H12" s="192">
        <f t="shared" si="4"/>
        <v>57.1</v>
      </c>
      <c r="I12" s="192">
        <f>'GERAL 2024'!I6</f>
        <v>1.3105200945626476</v>
      </c>
      <c r="J12" s="192">
        <f>'GERAL 2024'!K6</f>
        <v>0.79837470449172576</v>
      </c>
      <c r="K12" s="192">
        <f>'GERAL 2023'!K40</f>
        <v>19.754999999999999</v>
      </c>
      <c r="L12" s="191">
        <f t="shared" si="2"/>
        <v>738.9638947990544</v>
      </c>
      <c r="M12" s="192">
        <f>7%*L12</f>
        <v>51.727472635933815</v>
      </c>
      <c r="N12" s="192">
        <f t="shared" si="3"/>
        <v>687.23642216312055</v>
      </c>
      <c r="O12" s="193" t="s">
        <v>933</v>
      </c>
      <c r="P12" s="197">
        <v>10</v>
      </c>
      <c r="Q12" s="194">
        <v>11</v>
      </c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</row>
    <row r="13" spans="1:43" s="199" customFormat="1" x14ac:dyDescent="0.3">
      <c r="A13" s="193" t="s">
        <v>744</v>
      </c>
      <c r="B13" s="193">
        <v>5</v>
      </c>
      <c r="C13" s="193" t="s">
        <v>823</v>
      </c>
      <c r="D13" s="196">
        <f>'GERAL 2023'!G7</f>
        <v>580</v>
      </c>
      <c r="E13" s="192">
        <v>0</v>
      </c>
      <c r="F13" s="192">
        <f>D13-E13</f>
        <v>580</v>
      </c>
      <c r="G13" s="192">
        <f>50</f>
        <v>50</v>
      </c>
      <c r="H13" s="192">
        <f t="shared" si="4"/>
        <v>57.1</v>
      </c>
      <c r="I13" s="192">
        <f>'GERAL 2024'!I7</f>
        <v>1.3105200945626476</v>
      </c>
      <c r="J13" s="192">
        <f>'GERAL 2024'!K7</f>
        <v>0.79837470449172576</v>
      </c>
      <c r="K13" s="192">
        <v>21.07</v>
      </c>
      <c r="L13" s="191">
        <f t="shared" si="2"/>
        <v>710.27889479905446</v>
      </c>
      <c r="M13" s="192">
        <f>7%*L13</f>
        <v>49.719522635933814</v>
      </c>
      <c r="N13" s="192">
        <f t="shared" si="3"/>
        <v>660.55937216312066</v>
      </c>
      <c r="O13" s="193" t="s">
        <v>927</v>
      </c>
      <c r="P13" s="197">
        <v>10</v>
      </c>
      <c r="Q13" s="197">
        <v>11</v>
      </c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</row>
    <row r="14" spans="1:43" s="206" customFormat="1" x14ac:dyDescent="0.3">
      <c r="A14" s="193" t="s">
        <v>745</v>
      </c>
      <c r="B14" s="193">
        <v>6</v>
      </c>
      <c r="C14" s="193" t="s">
        <v>823</v>
      </c>
      <c r="D14" s="196">
        <f>'GERAL 2023'!G8</f>
        <v>680</v>
      </c>
      <c r="E14" s="196">
        <v>0</v>
      </c>
      <c r="F14" s="192">
        <f>D14-E14</f>
        <v>680</v>
      </c>
      <c r="G14" s="192">
        <v>50</v>
      </c>
      <c r="H14" s="192">
        <f t="shared" si="4"/>
        <v>57.1</v>
      </c>
      <c r="I14" s="192">
        <f>'GERAL 2024'!I8</f>
        <v>1.8347281323877069</v>
      </c>
      <c r="J14" s="192">
        <f>'GERAL 2024'!K8</f>
        <v>1.1177245862884162</v>
      </c>
      <c r="K14" s="192">
        <v>21.28</v>
      </c>
      <c r="L14" s="191">
        <f t="shared" si="2"/>
        <v>811.33245271867611</v>
      </c>
      <c r="M14" s="192">
        <f t="shared" si="5"/>
        <v>56.793271690307336</v>
      </c>
      <c r="N14" s="192">
        <f>L14-M14</f>
        <v>754.53918102836883</v>
      </c>
      <c r="O14" s="193" t="s">
        <v>927</v>
      </c>
      <c r="P14" s="197">
        <v>10</v>
      </c>
      <c r="Q14" s="197">
        <v>11</v>
      </c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  <c r="AQ14" s="205"/>
    </row>
    <row r="15" spans="1:43" s="199" customFormat="1" x14ac:dyDescent="0.3">
      <c r="A15" s="193" t="s">
        <v>791</v>
      </c>
      <c r="B15" s="193">
        <v>7</v>
      </c>
      <c r="C15" s="193" t="s">
        <v>822</v>
      </c>
      <c r="D15" s="196">
        <f>'GERAL 2023'!G35</f>
        <v>610</v>
      </c>
      <c r="E15" s="192">
        <v>0</v>
      </c>
      <c r="F15" s="196">
        <f>D15-E15</f>
        <v>610</v>
      </c>
      <c r="G15" s="192">
        <v>50</v>
      </c>
      <c r="H15" s="192">
        <f t="shared" si="4"/>
        <v>57.1</v>
      </c>
      <c r="I15" s="192">
        <f>'GERAL 2024'!I9</f>
        <v>1.3105200945626476</v>
      </c>
      <c r="J15" s="192">
        <f>'GERAL 2024'!K9</f>
        <v>0.79837470449172576</v>
      </c>
      <c r="K15" s="192">
        <v>0</v>
      </c>
      <c r="L15" s="191">
        <f t="shared" si="2"/>
        <v>719.20889479905441</v>
      </c>
      <c r="M15" s="192">
        <f t="shared" si="5"/>
        <v>50.34462263593381</v>
      </c>
      <c r="N15" s="192">
        <f t="shared" si="3"/>
        <v>668.86427216312063</v>
      </c>
      <c r="O15" s="193" t="s">
        <v>932</v>
      </c>
      <c r="P15" s="197">
        <v>10</v>
      </c>
      <c r="Q15" s="197">
        <v>11</v>
      </c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</row>
    <row r="16" spans="1:43" s="199" customFormat="1" x14ac:dyDescent="0.3">
      <c r="A16" s="193" t="s">
        <v>746</v>
      </c>
      <c r="B16" s="193">
        <v>8</v>
      </c>
      <c r="C16" s="193" t="s">
        <v>824</v>
      </c>
      <c r="D16" s="196">
        <f>'GERAL 2022'!G37</f>
        <v>580</v>
      </c>
      <c r="E16" s="192">
        <v>0</v>
      </c>
      <c r="F16" s="196">
        <f t="shared" si="1"/>
        <v>580</v>
      </c>
      <c r="G16" s="192">
        <v>50</v>
      </c>
      <c r="H16" s="192">
        <f t="shared" si="4"/>
        <v>57.1</v>
      </c>
      <c r="I16" s="192">
        <f>'GERAL 2024'!I10</f>
        <v>1.3105200945626476</v>
      </c>
      <c r="J16" s="192">
        <f>'GERAL 2024'!K10</f>
        <v>0.79837470449172576</v>
      </c>
      <c r="K16" s="192">
        <v>0</v>
      </c>
      <c r="L16" s="191">
        <f t="shared" si="2"/>
        <v>689.20889479905441</v>
      </c>
      <c r="M16" s="192">
        <f t="shared" si="5"/>
        <v>48.244622635933816</v>
      </c>
      <c r="N16" s="192">
        <f t="shared" si="3"/>
        <v>640.96427216312054</v>
      </c>
      <c r="O16" s="193" t="s">
        <v>932</v>
      </c>
      <c r="P16" s="207">
        <v>10</v>
      </c>
      <c r="Q16" s="197">
        <v>11</v>
      </c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  <c r="AQ16" s="198"/>
    </row>
    <row r="17" spans="1:48" s="199" customFormat="1" x14ac:dyDescent="0.3">
      <c r="A17" s="193" t="s">
        <v>852</v>
      </c>
      <c r="B17" s="193">
        <v>9</v>
      </c>
      <c r="C17" s="193" t="s">
        <v>828</v>
      </c>
      <c r="D17" s="196">
        <f>'GERAL 2024'!G11</f>
        <v>640</v>
      </c>
      <c r="E17" s="192">
        <v>0</v>
      </c>
      <c r="F17" s="196">
        <f t="shared" si="1"/>
        <v>640</v>
      </c>
      <c r="G17" s="192">
        <v>0</v>
      </c>
      <c r="H17" s="192">
        <f>(1541.7/27)</f>
        <v>57.1</v>
      </c>
      <c r="I17" s="192">
        <f>'GERAL 2024'!I11</f>
        <v>1.3105200945626476</v>
      </c>
      <c r="J17" s="192">
        <f>'GERAL 2024'!K11</f>
        <v>0.79837470449172576</v>
      </c>
      <c r="K17" s="192">
        <v>19.809999999999999</v>
      </c>
      <c r="L17" s="191">
        <f t="shared" si="2"/>
        <v>719.01889479905435</v>
      </c>
      <c r="M17" s="192">
        <f>7%*L17</f>
        <v>50.331322635933809</v>
      </c>
      <c r="N17" s="192">
        <f>L17-M17</f>
        <v>668.68757216312054</v>
      </c>
      <c r="O17" s="193" t="s">
        <v>934</v>
      </c>
      <c r="P17" s="207">
        <v>10</v>
      </c>
      <c r="Q17" s="197">
        <v>11</v>
      </c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  <c r="AQ17" s="198"/>
    </row>
    <row r="18" spans="1:48" s="148" customFormat="1" x14ac:dyDescent="0.3">
      <c r="A18" s="194" t="s">
        <v>739</v>
      </c>
      <c r="B18" s="194">
        <v>10</v>
      </c>
      <c r="C18" s="194" t="s">
        <v>825</v>
      </c>
      <c r="D18" s="196">
        <f>'GERAL 2022'!G38</f>
        <v>550</v>
      </c>
      <c r="E18" s="192">
        <v>0</v>
      </c>
      <c r="F18" s="196">
        <f t="shared" si="1"/>
        <v>550</v>
      </c>
      <c r="G18" s="192">
        <v>50</v>
      </c>
      <c r="H18" s="192">
        <f t="shared" si="4"/>
        <v>57.1</v>
      </c>
      <c r="I18" s="192">
        <f>'GERAL 2024'!I12</f>
        <v>1.3105200945626476</v>
      </c>
      <c r="J18" s="192">
        <f>'GERAL 2024'!K12</f>
        <v>0.79837470449172576</v>
      </c>
      <c r="K18" s="192">
        <v>0</v>
      </c>
      <c r="L18" s="191">
        <f t="shared" si="2"/>
        <v>659.20889479905441</v>
      </c>
      <c r="M18" s="192">
        <f t="shared" si="5"/>
        <v>46.144622635933814</v>
      </c>
      <c r="N18" s="192">
        <f t="shared" si="3"/>
        <v>613.06427216312056</v>
      </c>
      <c r="O18" s="193" t="s">
        <v>932</v>
      </c>
      <c r="P18" s="197">
        <v>10</v>
      </c>
      <c r="Q18" s="194">
        <v>11</v>
      </c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  <c r="AI18" s="208"/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  <c r="AT18" s="208"/>
      <c r="AU18" s="208"/>
      <c r="AV18" s="208"/>
    </row>
    <row r="19" spans="1:48" s="148" customFormat="1" ht="15.75" customHeight="1" x14ac:dyDescent="0.3">
      <c r="A19" s="194"/>
      <c r="B19" s="194">
        <v>11</v>
      </c>
      <c r="C19" s="194"/>
      <c r="D19" s="192">
        <v>0</v>
      </c>
      <c r="E19" s="192">
        <v>0</v>
      </c>
      <c r="F19" s="196">
        <f t="shared" si="1"/>
        <v>0</v>
      </c>
      <c r="G19" s="192">
        <v>0</v>
      </c>
      <c r="H19" s="192">
        <v>0</v>
      </c>
      <c r="I19" s="192">
        <v>0</v>
      </c>
      <c r="J19" s="192">
        <v>0</v>
      </c>
      <c r="K19" s="192">
        <v>0</v>
      </c>
      <c r="L19" s="191">
        <f t="shared" si="2"/>
        <v>0</v>
      </c>
      <c r="M19" s="192">
        <f>7%*L19</f>
        <v>0</v>
      </c>
      <c r="N19" s="192">
        <f t="shared" si="3"/>
        <v>0</v>
      </c>
      <c r="O19" s="196" t="s">
        <v>904</v>
      </c>
      <c r="P19" s="197"/>
      <c r="Q19" s="194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8"/>
      <c r="AR19" s="208"/>
      <c r="AS19" s="208"/>
      <c r="AT19" s="208"/>
      <c r="AU19" s="208"/>
      <c r="AV19" s="208"/>
    </row>
    <row r="20" spans="1:48" s="199" customFormat="1" x14ac:dyDescent="0.3">
      <c r="A20" s="209" t="s">
        <v>929</v>
      </c>
      <c r="B20" s="193">
        <v>12</v>
      </c>
      <c r="C20" s="209" t="s">
        <v>829</v>
      </c>
      <c r="D20" s="196">
        <f>'GERAL 2024'!G37</f>
        <v>610</v>
      </c>
      <c r="E20" s="192">
        <v>0</v>
      </c>
      <c r="F20" s="196">
        <f t="shared" si="1"/>
        <v>610</v>
      </c>
      <c r="G20" s="196">
        <v>50</v>
      </c>
      <c r="H20" s="192">
        <f t="shared" si="4"/>
        <v>57.1</v>
      </c>
      <c r="I20" s="192">
        <f>'GERAL 2024'!I37</f>
        <v>1.3105200945626476</v>
      </c>
      <c r="J20" s="192">
        <f>'GERAL 2024'!K37</f>
        <v>0.79837470449172576</v>
      </c>
      <c r="K20" s="196">
        <f>'GERAL 2024'!L37</f>
        <v>126.09</v>
      </c>
      <c r="L20" s="191">
        <f t="shared" si="2"/>
        <v>845.29889479905444</v>
      </c>
      <c r="M20" s="192">
        <f t="shared" si="5"/>
        <v>59.170922635933813</v>
      </c>
      <c r="N20" s="192">
        <f t="shared" si="3"/>
        <v>786.1279721631206</v>
      </c>
      <c r="O20" s="196" t="s">
        <v>930</v>
      </c>
      <c r="P20" s="197">
        <v>10</v>
      </c>
      <c r="Q20" s="197">
        <v>11</v>
      </c>
      <c r="R20" s="198"/>
      <c r="S20" s="198"/>
      <c r="T20" s="198"/>
      <c r="U20" s="198"/>
      <c r="V20" s="198"/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  <c r="AQ20" s="198"/>
    </row>
    <row r="21" spans="1:48" s="206" customFormat="1" ht="16.5" customHeight="1" x14ac:dyDescent="0.3">
      <c r="A21" s="193" t="s">
        <v>756</v>
      </c>
      <c r="B21" s="193">
        <v>13</v>
      </c>
      <c r="C21" s="193" t="s">
        <v>827</v>
      </c>
      <c r="D21" s="196">
        <f>'GERAL 2022'!G15</f>
        <v>550</v>
      </c>
      <c r="E21" s="196">
        <v>0</v>
      </c>
      <c r="F21" s="196">
        <f t="shared" si="1"/>
        <v>550</v>
      </c>
      <c r="G21" s="192">
        <v>0</v>
      </c>
      <c r="H21" s="192">
        <f t="shared" si="4"/>
        <v>57.1</v>
      </c>
      <c r="I21" s="192">
        <f>'GERAL 2024'!I15</f>
        <v>1.3105200945626476</v>
      </c>
      <c r="J21" s="192">
        <f>'GERAL 2024'!K15</f>
        <v>0.79837470449172576</v>
      </c>
      <c r="K21" s="192">
        <v>0</v>
      </c>
      <c r="L21" s="191">
        <f t="shared" si="2"/>
        <v>609.20889479905441</v>
      </c>
      <c r="M21" s="192">
        <f t="shared" si="5"/>
        <v>42.644622635933814</v>
      </c>
      <c r="N21" s="192">
        <f t="shared" si="3"/>
        <v>566.56427216312056</v>
      </c>
      <c r="O21" s="193" t="s">
        <v>932</v>
      </c>
      <c r="P21" s="197">
        <v>10</v>
      </c>
      <c r="Q21" s="197">
        <v>11</v>
      </c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  <c r="AQ21" s="205"/>
    </row>
    <row r="22" spans="1:48" s="148" customFormat="1" x14ac:dyDescent="0.3">
      <c r="A22" s="194" t="s">
        <v>747</v>
      </c>
      <c r="B22" s="194">
        <v>14</v>
      </c>
      <c r="C22" s="193" t="s">
        <v>832</v>
      </c>
      <c r="D22" s="196">
        <f>'GERAL 2022'!G39</f>
        <v>580</v>
      </c>
      <c r="E22" s="192">
        <v>0</v>
      </c>
      <c r="F22" s="196">
        <f t="shared" si="1"/>
        <v>580</v>
      </c>
      <c r="G22" s="192">
        <f>50</f>
        <v>50</v>
      </c>
      <c r="H22" s="192">
        <f t="shared" si="4"/>
        <v>57.1</v>
      </c>
      <c r="I22" s="192">
        <f>'GERAL 2024'!I16</f>
        <v>1.3105200945626476</v>
      </c>
      <c r="J22" s="192">
        <f>'GERAL 2024'!K16</f>
        <v>0.79837470449172576</v>
      </c>
      <c r="K22" s="192">
        <f>'GERAL 2023'!K16</f>
        <v>19.696666666666669</v>
      </c>
      <c r="L22" s="191">
        <f t="shared" si="2"/>
        <v>708.90556146572112</v>
      </c>
      <c r="M22" s="192">
        <f t="shared" si="5"/>
        <v>49.623389302600486</v>
      </c>
      <c r="N22" s="192">
        <f t="shared" si="3"/>
        <v>659.28217216312066</v>
      </c>
      <c r="O22" s="193" t="s">
        <v>933</v>
      </c>
      <c r="P22" s="197">
        <v>10</v>
      </c>
      <c r="Q22" s="194">
        <v>11</v>
      </c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  <c r="AD22" s="208"/>
      <c r="AE22" s="208"/>
      <c r="AF22" s="208"/>
      <c r="AG22" s="208"/>
      <c r="AH22" s="208"/>
      <c r="AI22" s="208"/>
      <c r="AJ22" s="208"/>
      <c r="AK22" s="208"/>
      <c r="AL22" s="208"/>
      <c r="AM22" s="208"/>
      <c r="AN22" s="208"/>
      <c r="AO22" s="208"/>
      <c r="AP22" s="208"/>
      <c r="AQ22" s="208"/>
      <c r="AR22" s="208"/>
      <c r="AS22" s="208"/>
      <c r="AT22" s="208"/>
      <c r="AU22" s="208"/>
      <c r="AV22" s="208"/>
    </row>
    <row r="23" spans="1:48" s="204" customFormat="1" x14ac:dyDescent="0.3">
      <c r="A23" s="193" t="s">
        <v>748</v>
      </c>
      <c r="B23" s="193">
        <v>15</v>
      </c>
      <c r="C23" s="193" t="s">
        <v>827</v>
      </c>
      <c r="D23" s="196">
        <f>'GERAL 2023'!G36</f>
        <v>680</v>
      </c>
      <c r="E23" s="192">
        <v>0</v>
      </c>
      <c r="F23" s="196">
        <f t="shared" si="1"/>
        <v>680</v>
      </c>
      <c r="G23" s="192">
        <v>25</v>
      </c>
      <c r="H23" s="192">
        <f t="shared" si="4"/>
        <v>57.1</v>
      </c>
      <c r="I23" s="192">
        <f>'GERAL 2024'!I17</f>
        <v>1.8347281323877069</v>
      </c>
      <c r="J23" s="192">
        <f>'GERAL 2024'!K17</f>
        <v>1.1177245862884162</v>
      </c>
      <c r="K23" s="192">
        <v>0</v>
      </c>
      <c r="L23" s="191">
        <f t="shared" si="2"/>
        <v>765.05245271867614</v>
      </c>
      <c r="M23" s="192">
        <f t="shared" si="5"/>
        <v>53.553671690307333</v>
      </c>
      <c r="N23" s="192">
        <f t="shared" si="3"/>
        <v>711.49878102836885</v>
      </c>
      <c r="O23" s="193" t="s">
        <v>932</v>
      </c>
      <c r="P23" s="197">
        <v>10</v>
      </c>
      <c r="Q23" s="194">
        <v>11</v>
      </c>
      <c r="R23" s="200"/>
      <c r="S23" s="200"/>
      <c r="T23" s="200"/>
      <c r="U23" s="200"/>
      <c r="V23" s="200"/>
      <c r="W23" s="200"/>
      <c r="X23" s="200"/>
      <c r="Y23" s="200"/>
      <c r="Z23" s="200"/>
    </row>
    <row r="24" spans="1:48" s="206" customFormat="1" x14ac:dyDescent="0.3">
      <c r="A24" s="197" t="s">
        <v>894</v>
      </c>
      <c r="B24" s="197">
        <v>16</v>
      </c>
      <c r="C24" s="193" t="s">
        <v>823</v>
      </c>
      <c r="D24" s="196">
        <f>'GERAL 2024'!G34</f>
        <v>640</v>
      </c>
      <c r="E24" s="192">
        <v>0</v>
      </c>
      <c r="F24" s="196">
        <f>D24-E24</f>
        <v>640</v>
      </c>
      <c r="G24" s="192">
        <f>50</f>
        <v>50</v>
      </c>
      <c r="H24" s="192">
        <f>(1541.7/27)</f>
        <v>57.1</v>
      </c>
      <c r="I24" s="192">
        <f>'GERAL 2024'!I34</f>
        <v>1.3105200945626476</v>
      </c>
      <c r="J24" s="192">
        <f>'GERAL 2024'!K34</f>
        <v>0.79837470449172576</v>
      </c>
      <c r="K24" s="192">
        <v>21.2</v>
      </c>
      <c r="L24" s="191">
        <f t="shared" si="2"/>
        <v>770.40889479905445</v>
      </c>
      <c r="M24" s="192">
        <f t="shared" si="5"/>
        <v>53.92862263593382</v>
      </c>
      <c r="N24" s="192">
        <f t="shared" si="3"/>
        <v>716.48027216312062</v>
      </c>
      <c r="O24" s="193" t="s">
        <v>927</v>
      </c>
      <c r="P24" s="197">
        <v>10</v>
      </c>
      <c r="Q24" s="197">
        <v>11</v>
      </c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  <c r="AP24" s="205"/>
      <c r="AQ24" s="205"/>
    </row>
    <row r="25" spans="1:48" s="206" customFormat="1" x14ac:dyDescent="0.3">
      <c r="A25" s="195" t="s">
        <v>902</v>
      </c>
      <c r="B25" s="195">
        <v>17</v>
      </c>
      <c r="C25" s="195" t="s">
        <v>823</v>
      </c>
      <c r="D25" s="196">
        <f>'GERAL 2024'!G35</f>
        <v>640</v>
      </c>
      <c r="E25" s="192">
        <v>0</v>
      </c>
      <c r="F25" s="196">
        <f t="shared" si="1"/>
        <v>640</v>
      </c>
      <c r="G25" s="192">
        <v>50</v>
      </c>
      <c r="H25" s="192">
        <f>(1541.7/27)</f>
        <v>57.1</v>
      </c>
      <c r="I25" s="192">
        <f>'GERAL 2024'!I35</f>
        <v>1.3105200945626476</v>
      </c>
      <c r="J25" s="192">
        <f>'GERAL 2024'!K35</f>
        <v>0.79837470449172576</v>
      </c>
      <c r="K25" s="192">
        <v>21.2</v>
      </c>
      <c r="L25" s="191">
        <f t="shared" si="2"/>
        <v>770.40889479905445</v>
      </c>
      <c r="M25" s="192">
        <f>7%*L25</f>
        <v>53.92862263593382</v>
      </c>
      <c r="N25" s="192">
        <f>L25-M25</f>
        <v>716.48027216312062</v>
      </c>
      <c r="O25" s="193" t="s">
        <v>927</v>
      </c>
      <c r="P25" s="197">
        <v>10</v>
      </c>
      <c r="Q25" s="197">
        <v>11</v>
      </c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  <c r="AQ25" s="205"/>
    </row>
    <row r="26" spans="1:48" s="206" customFormat="1" x14ac:dyDescent="0.3">
      <c r="A26" s="195" t="s">
        <v>749</v>
      </c>
      <c r="B26" s="193">
        <v>18</v>
      </c>
      <c r="C26" s="193" t="s">
        <v>830</v>
      </c>
      <c r="D26" s="196">
        <f>'GERAL 2023'!G20</f>
        <v>640</v>
      </c>
      <c r="E26" s="192">
        <v>0</v>
      </c>
      <c r="F26" s="196">
        <f>D26-E26</f>
        <v>640</v>
      </c>
      <c r="G26" s="192">
        <v>50</v>
      </c>
      <c r="H26" s="192">
        <f t="shared" si="4"/>
        <v>57.1</v>
      </c>
      <c r="I26" s="192">
        <f>'GERAL 2024'!I20</f>
        <v>1.3105200945626476</v>
      </c>
      <c r="J26" s="192">
        <f>'GERAL 2024'!K20</f>
        <v>0.79837470449172576</v>
      </c>
      <c r="K26" s="192">
        <v>19.809999999999999</v>
      </c>
      <c r="L26" s="191">
        <f t="shared" si="2"/>
        <v>769.01889479905435</v>
      </c>
      <c r="M26" s="192">
        <f t="shared" si="5"/>
        <v>53.831322635933809</v>
      </c>
      <c r="N26" s="192">
        <f t="shared" si="3"/>
        <v>715.18757216312054</v>
      </c>
      <c r="O26" s="193" t="s">
        <v>935</v>
      </c>
      <c r="P26" s="197">
        <v>10</v>
      </c>
      <c r="Q26" s="197">
        <v>11</v>
      </c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  <c r="AQ26" s="205"/>
    </row>
    <row r="27" spans="1:48" s="206" customFormat="1" x14ac:dyDescent="0.3">
      <c r="A27" s="193" t="s">
        <v>738</v>
      </c>
      <c r="B27" s="193">
        <v>19</v>
      </c>
      <c r="C27" s="193" t="s">
        <v>825</v>
      </c>
      <c r="D27" s="196">
        <f>'GERAL 2023'!G38</f>
        <v>610</v>
      </c>
      <c r="E27" s="192">
        <v>0</v>
      </c>
      <c r="F27" s="196">
        <f>(D27-E27)</f>
        <v>610</v>
      </c>
      <c r="G27" s="192">
        <v>25</v>
      </c>
      <c r="H27" s="192">
        <f t="shared" si="4"/>
        <v>57.1</v>
      </c>
      <c r="I27" s="192">
        <f>'GERAL 2024'!I21</f>
        <v>1.3105200945626476</v>
      </c>
      <c r="J27" s="192">
        <f>'GERAL 2024'!K21</f>
        <v>0.79837470449172576</v>
      </c>
      <c r="K27" s="192">
        <v>0</v>
      </c>
      <c r="L27" s="191">
        <f t="shared" si="2"/>
        <v>694.20889479905441</v>
      </c>
      <c r="M27" s="192">
        <f t="shared" si="5"/>
        <v>48.59462263593381</v>
      </c>
      <c r="N27" s="192">
        <f t="shared" si="3"/>
        <v>645.61427216312063</v>
      </c>
      <c r="O27" s="193" t="s">
        <v>932</v>
      </c>
      <c r="P27" s="197">
        <v>10</v>
      </c>
      <c r="Q27" s="197">
        <v>11</v>
      </c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  <c r="AQ27" s="205"/>
    </row>
    <row r="28" spans="1:48" s="206" customFormat="1" x14ac:dyDescent="0.3">
      <c r="A28" s="195" t="s">
        <v>919</v>
      </c>
      <c r="B28" s="193">
        <v>20</v>
      </c>
      <c r="C28" s="193"/>
      <c r="D28" s="196">
        <v>0</v>
      </c>
      <c r="E28" s="192">
        <v>0</v>
      </c>
      <c r="F28" s="196">
        <f t="shared" ref="F28:F35" si="6">D28-E28</f>
        <v>0</v>
      </c>
      <c r="G28" s="192">
        <v>0</v>
      </c>
      <c r="H28" s="192">
        <v>0</v>
      </c>
      <c r="I28" s="192">
        <v>0</v>
      </c>
      <c r="J28" s="192">
        <v>0</v>
      </c>
      <c r="K28" s="192">
        <v>0</v>
      </c>
      <c r="L28" s="191">
        <f t="shared" si="2"/>
        <v>0</v>
      </c>
      <c r="M28" s="192">
        <f t="shared" si="5"/>
        <v>0</v>
      </c>
      <c r="N28" s="192">
        <f t="shared" si="3"/>
        <v>0</v>
      </c>
      <c r="O28" s="193" t="s">
        <v>108</v>
      </c>
      <c r="P28" s="207">
        <v>10</v>
      </c>
      <c r="Q28" s="197">
        <v>11</v>
      </c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  <c r="AQ28" s="205"/>
    </row>
    <row r="29" spans="1:48" s="206" customFormat="1" x14ac:dyDescent="0.3">
      <c r="A29" s="195" t="s">
        <v>788</v>
      </c>
      <c r="B29" s="193">
        <v>21</v>
      </c>
      <c r="C29" s="193" t="s">
        <v>822</v>
      </c>
      <c r="D29" s="196">
        <f>'GERAL 2023'!G39</f>
        <v>580</v>
      </c>
      <c r="E29" s="192">
        <v>0</v>
      </c>
      <c r="F29" s="196">
        <f t="shared" si="6"/>
        <v>580</v>
      </c>
      <c r="G29" s="192">
        <v>25</v>
      </c>
      <c r="H29" s="192">
        <f t="shared" si="4"/>
        <v>57.1</v>
      </c>
      <c r="I29" s="192">
        <f>'GERAL 2024'!I23</f>
        <v>1.3105200945626476</v>
      </c>
      <c r="J29" s="192">
        <f>'GERAL 2024'!K23</f>
        <v>0.79837470449172576</v>
      </c>
      <c r="K29" s="192">
        <v>0</v>
      </c>
      <c r="L29" s="191">
        <f t="shared" si="2"/>
        <v>664.20889479905441</v>
      </c>
      <c r="M29" s="192">
        <f t="shared" si="5"/>
        <v>46.494622635933816</v>
      </c>
      <c r="N29" s="192">
        <f t="shared" si="3"/>
        <v>617.71427216312054</v>
      </c>
      <c r="O29" s="193" t="s">
        <v>932</v>
      </c>
      <c r="P29" s="207">
        <v>10</v>
      </c>
      <c r="Q29" s="197">
        <v>11</v>
      </c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  <c r="AQ29" s="205"/>
    </row>
    <row r="30" spans="1:48" s="206" customFormat="1" x14ac:dyDescent="0.3">
      <c r="A30" s="195"/>
      <c r="B30" s="193">
        <v>22</v>
      </c>
      <c r="C30" s="193"/>
      <c r="D30" s="196">
        <v>0</v>
      </c>
      <c r="E30" s="192">
        <v>0</v>
      </c>
      <c r="F30" s="196">
        <f t="shared" si="6"/>
        <v>0</v>
      </c>
      <c r="G30" s="192">
        <v>0</v>
      </c>
      <c r="H30" s="192">
        <v>0</v>
      </c>
      <c r="I30" s="192">
        <v>0</v>
      </c>
      <c r="J30" s="192">
        <v>0</v>
      </c>
      <c r="K30" s="192">
        <v>0</v>
      </c>
      <c r="L30" s="191">
        <f t="shared" si="2"/>
        <v>0</v>
      </c>
      <c r="M30" s="192">
        <f t="shared" si="5"/>
        <v>0</v>
      </c>
      <c r="N30" s="192">
        <f t="shared" si="3"/>
        <v>0</v>
      </c>
      <c r="O30" s="193" t="s">
        <v>525</v>
      </c>
      <c r="P30" s="207"/>
      <c r="Q30" s="197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  <c r="AQ30" s="205"/>
    </row>
    <row r="31" spans="1:48" s="206" customFormat="1" x14ac:dyDescent="0.3">
      <c r="A31" s="195" t="s">
        <v>750</v>
      </c>
      <c r="B31" s="193">
        <v>23</v>
      </c>
      <c r="C31" s="193" t="s">
        <v>827</v>
      </c>
      <c r="D31" s="196">
        <f>'GERAL 2022'!G25</f>
        <v>550</v>
      </c>
      <c r="E31" s="192">
        <v>0</v>
      </c>
      <c r="F31" s="196">
        <f t="shared" si="6"/>
        <v>550</v>
      </c>
      <c r="G31" s="192">
        <v>0</v>
      </c>
      <c r="H31" s="192">
        <f t="shared" si="4"/>
        <v>57.1</v>
      </c>
      <c r="I31" s="192">
        <f>'GERAL 2024'!I25</f>
        <v>1.3105200945626476</v>
      </c>
      <c r="J31" s="192">
        <f>'GERAL 2024'!K25</f>
        <v>0.79837470449172576</v>
      </c>
      <c r="K31" s="192">
        <v>0</v>
      </c>
      <c r="L31" s="191">
        <f t="shared" si="2"/>
        <v>609.20889479905441</v>
      </c>
      <c r="M31" s="192">
        <f t="shared" si="5"/>
        <v>42.644622635933814</v>
      </c>
      <c r="N31" s="192">
        <f t="shared" si="3"/>
        <v>566.56427216312056</v>
      </c>
      <c r="O31" s="193" t="s">
        <v>932</v>
      </c>
      <c r="P31" s="197">
        <v>10</v>
      </c>
      <c r="Q31" s="197">
        <v>11</v>
      </c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  <c r="AC31" s="205"/>
      <c r="AD31" s="205"/>
      <c r="AE31" s="205"/>
      <c r="AF31" s="205"/>
      <c r="AG31" s="205"/>
      <c r="AH31" s="205"/>
      <c r="AI31" s="205"/>
      <c r="AJ31" s="205"/>
      <c r="AK31" s="205"/>
      <c r="AL31" s="205"/>
      <c r="AM31" s="205"/>
      <c r="AN31" s="205"/>
      <c r="AO31" s="205"/>
      <c r="AP31" s="205"/>
      <c r="AQ31" s="205"/>
    </row>
    <row r="32" spans="1:48" s="204" customFormat="1" ht="15.75" customHeight="1" x14ac:dyDescent="0.3">
      <c r="A32" s="193"/>
      <c r="B32" s="193">
        <v>24</v>
      </c>
      <c r="C32" s="193"/>
      <c r="D32" s="196">
        <v>0</v>
      </c>
      <c r="E32" s="192">
        <v>0</v>
      </c>
      <c r="F32" s="196">
        <f>D32-E32</f>
        <v>0</v>
      </c>
      <c r="G32" s="192">
        <v>0</v>
      </c>
      <c r="H32" s="192">
        <v>0</v>
      </c>
      <c r="I32" s="192">
        <v>0</v>
      </c>
      <c r="J32" s="192">
        <v>0</v>
      </c>
      <c r="K32" s="192">
        <v>0</v>
      </c>
      <c r="L32" s="191">
        <f t="shared" si="2"/>
        <v>0</v>
      </c>
      <c r="M32" s="192">
        <f t="shared" si="5"/>
        <v>0</v>
      </c>
      <c r="N32" s="192">
        <f t="shared" si="3"/>
        <v>0</v>
      </c>
      <c r="O32" s="193" t="s">
        <v>525</v>
      </c>
      <c r="P32" s="207"/>
      <c r="Q32" s="197"/>
      <c r="R32" s="200"/>
      <c r="S32" s="200"/>
      <c r="T32" s="200"/>
      <c r="U32" s="200"/>
      <c r="V32" s="200"/>
      <c r="W32" s="200"/>
      <c r="X32" s="200"/>
      <c r="Y32" s="200"/>
      <c r="Z32" s="200"/>
    </row>
    <row r="33" spans="1:61" s="204" customFormat="1" ht="15" customHeight="1" x14ac:dyDescent="0.3">
      <c r="A33" s="206" t="s">
        <v>809</v>
      </c>
      <c r="B33" s="193">
        <v>25</v>
      </c>
      <c r="C33" s="193" t="s">
        <v>832</v>
      </c>
      <c r="D33" s="196">
        <f>'GERAL 2022'!G44</f>
        <v>610</v>
      </c>
      <c r="E33" s="192">
        <v>0</v>
      </c>
      <c r="F33" s="196">
        <f t="shared" si="6"/>
        <v>610</v>
      </c>
      <c r="G33" s="192">
        <v>0</v>
      </c>
      <c r="H33" s="192">
        <f t="shared" si="4"/>
        <v>57.1</v>
      </c>
      <c r="I33" s="192">
        <f>'GERAL 2024'!I27</f>
        <v>1.3105200945626476</v>
      </c>
      <c r="J33" s="192">
        <f>'GERAL 2024'!K27</f>
        <v>0.79837470449172576</v>
      </c>
      <c r="K33" s="192">
        <f>'GERAL 2023'!K27</f>
        <v>19.754999999999999</v>
      </c>
      <c r="L33" s="191">
        <f t="shared" si="2"/>
        <v>688.9638947990544</v>
      </c>
      <c r="M33" s="192">
        <f t="shared" si="5"/>
        <v>48.227472635933815</v>
      </c>
      <c r="N33" s="192">
        <f t="shared" si="3"/>
        <v>640.73642216312055</v>
      </c>
      <c r="O33" s="193" t="s">
        <v>933</v>
      </c>
      <c r="P33" s="207">
        <v>10</v>
      </c>
      <c r="Q33" s="197">
        <v>11</v>
      </c>
      <c r="R33" s="200"/>
      <c r="S33" s="200"/>
      <c r="T33" s="200"/>
      <c r="U33" s="200"/>
      <c r="V33" s="200"/>
      <c r="W33" s="200"/>
      <c r="X33" s="200"/>
      <c r="Y33" s="200"/>
      <c r="Z33" s="200"/>
    </row>
    <row r="34" spans="1:61" s="206" customFormat="1" x14ac:dyDescent="0.3">
      <c r="A34" s="195" t="s">
        <v>751</v>
      </c>
      <c r="B34" s="193">
        <v>26</v>
      </c>
      <c r="C34" s="193" t="s">
        <v>827</v>
      </c>
      <c r="D34" s="196">
        <f>'GERAL 2022'!G28</f>
        <v>560</v>
      </c>
      <c r="E34" s="192">
        <v>0</v>
      </c>
      <c r="F34" s="196">
        <f t="shared" si="6"/>
        <v>560</v>
      </c>
      <c r="G34" s="192">
        <v>25</v>
      </c>
      <c r="H34" s="192">
        <f t="shared" si="4"/>
        <v>57.1</v>
      </c>
      <c r="I34" s="192">
        <f>'GERAL 2024'!I28</f>
        <v>1.3105200945626476</v>
      </c>
      <c r="J34" s="192">
        <f>'GERAL 2024'!K29</f>
        <v>0.79837470449172576</v>
      </c>
      <c r="K34" s="192">
        <v>0</v>
      </c>
      <c r="L34" s="191">
        <f t="shared" si="2"/>
        <v>644.20889479905441</v>
      </c>
      <c r="M34" s="192">
        <f t="shared" si="5"/>
        <v>45.09462263593381</v>
      </c>
      <c r="N34" s="192">
        <f t="shared" si="3"/>
        <v>599.11427216312063</v>
      </c>
      <c r="O34" s="193" t="s">
        <v>932</v>
      </c>
      <c r="P34" s="197">
        <v>10</v>
      </c>
      <c r="Q34" s="197">
        <v>11</v>
      </c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205"/>
    </row>
    <row r="35" spans="1:61" s="206" customFormat="1" x14ac:dyDescent="0.3">
      <c r="A35" s="195" t="s">
        <v>752</v>
      </c>
      <c r="B35" s="193">
        <v>27</v>
      </c>
      <c r="C35" s="216" t="s">
        <v>827</v>
      </c>
      <c r="D35" s="217">
        <f>'GERAL 2022'!G45</f>
        <v>580</v>
      </c>
      <c r="E35" s="210">
        <v>0</v>
      </c>
      <c r="F35" s="196">
        <f t="shared" si="6"/>
        <v>580</v>
      </c>
      <c r="G35" s="210">
        <v>0</v>
      </c>
      <c r="H35" s="192">
        <f t="shared" si="4"/>
        <v>57.1</v>
      </c>
      <c r="I35" s="210">
        <f>'GERAL 2024'!I29</f>
        <v>1.3105200945626476</v>
      </c>
      <c r="J35" s="192">
        <f>'GERAL 2024'!K29</f>
        <v>0.79837470449172576</v>
      </c>
      <c r="K35" s="210">
        <v>0</v>
      </c>
      <c r="L35" s="191">
        <f t="shared" si="2"/>
        <v>639.20889479905441</v>
      </c>
      <c r="M35" s="192">
        <f t="shared" si="5"/>
        <v>44.744622635933816</v>
      </c>
      <c r="N35" s="192">
        <f>L35-M35</f>
        <v>594.46427216312054</v>
      </c>
      <c r="O35" s="193" t="s">
        <v>932</v>
      </c>
      <c r="P35" s="197">
        <v>10</v>
      </c>
      <c r="Q35" s="197">
        <v>11</v>
      </c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  <c r="AQ35" s="205"/>
    </row>
    <row r="36" spans="1:61" s="206" customFormat="1" x14ac:dyDescent="0.3">
      <c r="A36" s="584" t="s">
        <v>4</v>
      </c>
      <c r="B36" s="584"/>
      <c r="C36" s="209"/>
      <c r="D36" s="191">
        <f>SUM(D9:D35)</f>
        <v>12630</v>
      </c>
      <c r="E36" s="191">
        <f t="shared" ref="E36:N36" si="7">SUM(E9:E35)</f>
        <v>0</v>
      </c>
      <c r="F36" s="191">
        <f t="shared" si="7"/>
        <v>12630</v>
      </c>
      <c r="G36" s="191">
        <f t="shared" si="7"/>
        <v>650</v>
      </c>
      <c r="H36" s="191">
        <f>SUM(H9:H35)</f>
        <v>1256.1999999999998</v>
      </c>
      <c r="I36" s="191">
        <f t="shared" si="7"/>
        <v>29.879858156028369</v>
      </c>
      <c r="J36" s="191">
        <f t="shared" si="7"/>
        <v>18.202943262411349</v>
      </c>
      <c r="K36" s="191">
        <f t="shared" si="7"/>
        <v>309.66666666666663</v>
      </c>
      <c r="L36" s="191">
        <f t="shared" si="7"/>
        <v>14893.949468085106</v>
      </c>
      <c r="M36" s="191">
        <f t="shared" si="7"/>
        <v>1042.5764627659576</v>
      </c>
      <c r="N36" s="191">
        <f t="shared" si="7"/>
        <v>13851.373005319148</v>
      </c>
      <c r="O36" s="193"/>
      <c r="P36" s="197"/>
      <c r="Q36" s="197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  <c r="AQ36" s="205"/>
    </row>
    <row r="37" spans="1:61" s="11" customFormat="1" ht="28.5" customHeight="1" x14ac:dyDescent="0.3">
      <c r="A37" s="521" t="s">
        <v>926</v>
      </c>
      <c r="B37" s="521"/>
      <c r="C37" s="521"/>
      <c r="D37" s="521"/>
      <c r="E37" s="521"/>
      <c r="F37" s="521"/>
      <c r="G37" s="521"/>
      <c r="H37" s="521"/>
      <c r="I37" s="521"/>
      <c r="J37" s="521"/>
      <c r="K37" s="521"/>
      <c r="L37" s="521"/>
      <c r="M37" s="521"/>
      <c r="N37" s="521"/>
      <c r="O37" s="521"/>
      <c r="P37" s="521"/>
      <c r="Q37" s="521"/>
      <c r="R37" s="10"/>
      <c r="S37" s="10"/>
      <c r="T37" s="10"/>
      <c r="U37" s="10"/>
      <c r="V37" s="10"/>
      <c r="W37" s="10"/>
      <c r="X37" s="10"/>
      <c r="Y37" s="10"/>
      <c r="Z37" s="10"/>
    </row>
    <row r="38" spans="1:61" s="11" customFormat="1" ht="27.75" customHeight="1" x14ac:dyDescent="0.3">
      <c r="A38" s="127" t="s">
        <v>3</v>
      </c>
      <c r="B38" s="127" t="s">
        <v>0</v>
      </c>
      <c r="C38" s="127" t="s">
        <v>821</v>
      </c>
      <c r="D38" s="128" t="s">
        <v>174</v>
      </c>
      <c r="E38" s="555" t="s">
        <v>175</v>
      </c>
      <c r="F38" s="556"/>
      <c r="G38" s="556"/>
      <c r="H38" s="556"/>
      <c r="I38" s="556"/>
      <c r="J38" s="556"/>
      <c r="K38" s="557"/>
      <c r="L38" s="128" t="s">
        <v>4</v>
      </c>
      <c r="M38" s="128" t="s">
        <v>5</v>
      </c>
      <c r="N38" s="128" t="s">
        <v>70</v>
      </c>
      <c r="O38" s="127" t="s">
        <v>59</v>
      </c>
      <c r="P38" s="130" t="s">
        <v>8</v>
      </c>
      <c r="Q38" s="130" t="s">
        <v>10</v>
      </c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spans="1:61" s="204" customFormat="1" ht="15.75" customHeight="1" x14ac:dyDescent="0.3">
      <c r="A39" s="193"/>
      <c r="B39" s="193"/>
      <c r="C39" s="193"/>
      <c r="D39" s="196"/>
      <c r="E39" s="551"/>
      <c r="F39" s="580"/>
      <c r="G39" s="580"/>
      <c r="H39" s="580"/>
      <c r="I39" s="580"/>
      <c r="J39" s="580"/>
      <c r="K39" s="552"/>
      <c r="L39" s="191"/>
      <c r="M39" s="192"/>
      <c r="N39" s="192"/>
      <c r="O39" s="193"/>
      <c r="P39" s="207"/>
      <c r="Q39" s="197"/>
      <c r="R39" s="200"/>
      <c r="S39" s="200"/>
      <c r="T39" s="200"/>
      <c r="U39" s="200"/>
      <c r="V39" s="200"/>
      <c r="W39" s="200"/>
      <c r="X39" s="200"/>
      <c r="Y39" s="200"/>
      <c r="Z39" s="200"/>
    </row>
    <row r="40" spans="1:61" s="11" customFormat="1" x14ac:dyDescent="0.3">
      <c r="A40" s="518" t="s">
        <v>4</v>
      </c>
      <c r="B40" s="518"/>
      <c r="C40" s="518"/>
      <c r="D40" s="518"/>
      <c r="E40" s="518"/>
      <c r="F40" s="518"/>
      <c r="G40" s="518"/>
      <c r="H40" s="518"/>
      <c r="I40" s="518"/>
      <c r="J40" s="518"/>
      <c r="K40" s="518"/>
      <c r="L40" s="109">
        <f>SUM(L39:L39)</f>
        <v>0</v>
      </c>
      <c r="M40" s="109">
        <f>SUM(M39:M39)</f>
        <v>0</v>
      </c>
      <c r="N40" s="109">
        <f>SUM(N39:N39)</f>
        <v>0</v>
      </c>
      <c r="O40" s="527"/>
      <c r="P40" s="527"/>
      <c r="Q40" s="527"/>
      <c r="R40" s="10"/>
      <c r="S40" s="10"/>
      <c r="T40" s="10"/>
      <c r="U40" s="10"/>
      <c r="V40" s="10"/>
      <c r="W40" s="10"/>
      <c r="X40" s="10"/>
      <c r="Y40" s="10"/>
      <c r="Z40" s="10"/>
    </row>
    <row r="41" spans="1:61" s="11" customFormat="1" x14ac:dyDescent="0.3">
      <c r="A41" s="518"/>
      <c r="B41" s="518"/>
      <c r="C41" s="518"/>
      <c r="D41" s="518"/>
      <c r="E41" s="518"/>
      <c r="F41" s="518"/>
      <c r="G41" s="518"/>
      <c r="H41" s="518"/>
      <c r="I41" s="518"/>
      <c r="J41" s="518"/>
      <c r="K41" s="518"/>
      <c r="L41" s="518"/>
      <c r="M41" s="518"/>
      <c r="N41" s="518"/>
      <c r="O41" s="518"/>
      <c r="P41" s="109"/>
      <c r="Q41" s="109"/>
      <c r="R41" s="10"/>
      <c r="S41" s="10"/>
      <c r="T41" s="10"/>
      <c r="U41" s="10"/>
      <c r="V41" s="10"/>
      <c r="W41" s="10"/>
      <c r="X41" s="10"/>
      <c r="Y41" s="10"/>
      <c r="Z41" s="10"/>
    </row>
    <row r="42" spans="1:61" s="11" customFormat="1" ht="28.5" customHeight="1" x14ac:dyDescent="0.3">
      <c r="A42" s="521" t="s">
        <v>177</v>
      </c>
      <c r="B42" s="521"/>
      <c r="C42" s="521"/>
      <c r="D42" s="521"/>
      <c r="E42" s="521"/>
      <c r="F42" s="521"/>
      <c r="G42" s="521"/>
      <c r="H42" s="521"/>
      <c r="I42" s="521"/>
      <c r="J42" s="521"/>
      <c r="K42" s="521"/>
      <c r="L42" s="521"/>
      <c r="M42" s="521"/>
      <c r="N42" s="521"/>
      <c r="O42" s="521"/>
      <c r="P42" s="521"/>
      <c r="Q42" s="52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61" s="11" customFormat="1" ht="25.5" customHeight="1" x14ac:dyDescent="0.3">
      <c r="A43" s="126" t="s">
        <v>173</v>
      </c>
      <c r="B43" s="126" t="s">
        <v>0</v>
      </c>
      <c r="C43" s="126"/>
      <c r="D43" s="126" t="s">
        <v>174</v>
      </c>
      <c r="E43" s="521" t="s">
        <v>175</v>
      </c>
      <c r="F43" s="521"/>
      <c r="G43" s="521"/>
      <c r="H43" s="521"/>
      <c r="I43" s="521"/>
      <c r="J43" s="521"/>
      <c r="K43" s="521"/>
      <c r="L43" s="129" t="s">
        <v>4</v>
      </c>
      <c r="M43" s="128"/>
      <c r="N43" s="128"/>
      <c r="O43" s="127" t="s">
        <v>59</v>
      </c>
      <c r="P43" s="130" t="s">
        <v>8</v>
      </c>
      <c r="Q43" s="130" t="s">
        <v>10</v>
      </c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61" s="69" customFormat="1" ht="15" customHeight="1" x14ac:dyDescent="0.3">
      <c r="A44" s="4" t="s">
        <v>132</v>
      </c>
      <c r="B44" s="4">
        <v>1</v>
      </c>
      <c r="C44" s="4"/>
      <c r="D44" s="5">
        <f>4977.59-1520</f>
        <v>3457.59</v>
      </c>
      <c r="E44" s="546" t="s">
        <v>284</v>
      </c>
      <c r="F44" s="547"/>
      <c r="G44" s="547"/>
      <c r="H44" s="547"/>
      <c r="I44" s="547"/>
      <c r="J44" s="547"/>
      <c r="K44" s="548"/>
      <c r="L44" s="5">
        <f>4977.59-1520</f>
        <v>3457.59</v>
      </c>
      <c r="M44" s="5"/>
      <c r="N44" s="5"/>
      <c r="O44" s="5" t="s">
        <v>510</v>
      </c>
      <c r="P44" s="140">
        <v>10</v>
      </c>
      <c r="Q44" s="4">
        <v>11</v>
      </c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</row>
    <row r="45" spans="1:61" s="11" customFormat="1" x14ac:dyDescent="0.3">
      <c r="A45" s="90" t="s">
        <v>87</v>
      </c>
      <c r="B45" s="90">
        <v>25</v>
      </c>
      <c r="C45" s="90"/>
      <c r="D45" s="5">
        <v>3013.33</v>
      </c>
      <c r="E45" s="546" t="s">
        <v>543</v>
      </c>
      <c r="F45" s="547"/>
      <c r="G45" s="547"/>
      <c r="H45" s="547"/>
      <c r="I45" s="547"/>
      <c r="J45" s="547"/>
      <c r="K45" s="548"/>
      <c r="L45" s="5">
        <v>3040.58</v>
      </c>
      <c r="M45" s="2"/>
      <c r="N45" s="2"/>
      <c r="O45" s="5" t="s">
        <v>545</v>
      </c>
      <c r="P45" s="98">
        <v>10</v>
      </c>
      <c r="Q45" s="3">
        <v>11</v>
      </c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</row>
    <row r="46" spans="1:61" s="40" customFormat="1" ht="15" customHeight="1" thickBot="1" x14ac:dyDescent="0.35">
      <c r="A46" s="534" t="s">
        <v>4</v>
      </c>
      <c r="B46" s="549"/>
      <c r="C46" s="549"/>
      <c r="D46" s="549"/>
      <c r="E46" s="549"/>
      <c r="F46" s="549"/>
      <c r="G46" s="549"/>
      <c r="H46" s="549"/>
      <c r="I46" s="549"/>
      <c r="J46" s="549"/>
      <c r="K46" s="535"/>
      <c r="L46" s="114">
        <f>SUM(L44:L45)</f>
        <v>6498.17</v>
      </c>
      <c r="M46" s="90"/>
      <c r="N46" s="90"/>
      <c r="O46" s="90"/>
      <c r="P46" s="90"/>
      <c r="Q46" s="9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1"/>
      <c r="AV46" s="11"/>
      <c r="AW46" s="11"/>
      <c r="AX46" s="11"/>
    </row>
    <row r="47" spans="1:61" s="19" customFormat="1" x14ac:dyDescent="0.3">
      <c r="A47" s="179"/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1"/>
      <c r="Q47" s="182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</row>
    <row r="48" spans="1:61" s="40" customFormat="1" x14ac:dyDescent="0.3">
      <c r="A48" s="585"/>
      <c r="B48" s="585"/>
      <c r="C48" s="585"/>
      <c r="D48" s="585"/>
      <c r="E48" s="585"/>
      <c r="F48" s="46"/>
      <c r="G48" s="46"/>
      <c r="H48" s="46"/>
      <c r="I48" s="46"/>
      <c r="J48" s="46"/>
      <c r="K48" s="46"/>
      <c r="L48" s="46"/>
      <c r="M48" s="46"/>
      <c r="N48" s="46"/>
      <c r="O48" s="544" t="s">
        <v>315</v>
      </c>
      <c r="P48" s="544"/>
      <c r="Q48" s="545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1"/>
      <c r="AV48" s="11"/>
      <c r="AW48" s="11"/>
      <c r="AX48" s="11"/>
    </row>
    <row r="49" spans="1:50" s="40" customFormat="1" x14ac:dyDescent="0.3">
      <c r="A49" s="206"/>
      <c r="B49" s="223"/>
      <c r="C49" s="223"/>
      <c r="D49" s="224"/>
      <c r="E49" s="223"/>
      <c r="F49" s="46"/>
      <c r="G49" s="46"/>
      <c r="H49" s="46"/>
      <c r="I49" s="11"/>
      <c r="J49" s="11"/>
      <c r="K49" s="11"/>
      <c r="L49" s="87"/>
      <c r="M49" s="87"/>
      <c r="N49" s="87"/>
      <c r="O49" s="527" t="s">
        <v>94</v>
      </c>
      <c r="P49" s="527"/>
      <c r="Q49" s="114">
        <f>M36+M40</f>
        <v>1042.5764627659576</v>
      </c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1"/>
      <c r="AV49" s="11"/>
      <c r="AW49" s="11"/>
      <c r="AX49" s="11"/>
    </row>
    <row r="50" spans="1:50" s="40" customFormat="1" x14ac:dyDescent="0.3">
      <c r="A50" s="206"/>
      <c r="B50" s="223"/>
      <c r="C50" s="223"/>
      <c r="D50" s="224"/>
      <c r="E50" s="223"/>
      <c r="F50" s="46"/>
      <c r="G50" s="46"/>
      <c r="H50" s="46"/>
      <c r="I50" s="11"/>
      <c r="J50" s="11"/>
      <c r="K50" s="11"/>
      <c r="L50" s="14"/>
      <c r="M50" s="14"/>
      <c r="N50" s="14"/>
      <c r="O50" s="518" t="s">
        <v>260</v>
      </c>
      <c r="P50" s="518"/>
      <c r="Q50" s="114">
        <f>M6</f>
        <v>483</v>
      </c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1"/>
      <c r="AV50" s="11"/>
      <c r="AW50" s="11"/>
      <c r="AX50" s="11"/>
    </row>
    <row r="51" spans="1:50" s="40" customFormat="1" x14ac:dyDescent="0.3">
      <c r="A51" s="206"/>
      <c r="B51" s="223"/>
      <c r="C51" s="223"/>
      <c r="D51" s="224"/>
      <c r="E51" s="223"/>
      <c r="F51" s="46"/>
      <c r="G51" s="46"/>
      <c r="H51" s="46"/>
      <c r="I51" s="11"/>
      <c r="J51" s="11"/>
      <c r="K51" s="11"/>
      <c r="L51" s="14"/>
      <c r="M51" s="14"/>
      <c r="N51" s="14"/>
      <c r="O51" s="520"/>
      <c r="P51" s="520"/>
      <c r="Q51" s="52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1"/>
      <c r="AV51" s="11"/>
      <c r="AW51" s="11"/>
      <c r="AX51" s="11"/>
    </row>
    <row r="52" spans="1:50" s="40" customFormat="1" x14ac:dyDescent="0.3">
      <c r="A52" s="206"/>
      <c r="B52" s="223"/>
      <c r="C52" s="223"/>
      <c r="D52" s="224"/>
      <c r="E52" s="223"/>
      <c r="F52" s="46"/>
      <c r="G52" s="46"/>
      <c r="H52" s="46"/>
      <c r="I52" s="11"/>
      <c r="J52" s="11"/>
      <c r="K52" s="11"/>
      <c r="L52" s="62"/>
      <c r="M52" s="62"/>
      <c r="N52" s="62"/>
      <c r="O52" s="520"/>
      <c r="P52" s="520"/>
      <c r="Q52" s="52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1"/>
      <c r="AV52" s="11"/>
      <c r="AW52" s="11"/>
      <c r="AX52" s="11"/>
    </row>
    <row r="53" spans="1:50" s="40" customFormat="1" ht="14.4" x14ac:dyDescent="0.3">
      <c r="A53" s="206"/>
      <c r="B53" s="223"/>
      <c r="C53" s="223"/>
      <c r="D53" s="224"/>
      <c r="E53" s="223"/>
      <c r="F53" s="46"/>
      <c r="G53" s="46"/>
      <c r="H53" s="46"/>
      <c r="I53" s="11"/>
      <c r="J53" s="11"/>
      <c r="K53" s="11"/>
      <c r="L53" s="14"/>
      <c r="M53" s="14"/>
      <c r="N53" s="14"/>
      <c r="O53" s="529" t="s">
        <v>12</v>
      </c>
      <c r="P53" s="529"/>
      <c r="Q53" s="529"/>
      <c r="R53" s="175"/>
      <c r="S53" s="178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1"/>
      <c r="AV53" s="11"/>
      <c r="AW53" s="11"/>
      <c r="AX53" s="11"/>
    </row>
    <row r="54" spans="1:50" s="11" customFormat="1" ht="15" customHeight="1" x14ac:dyDescent="0.3">
      <c r="A54" s="206"/>
      <c r="B54" s="223"/>
      <c r="C54" s="223"/>
      <c r="D54" s="224"/>
      <c r="E54" s="223"/>
      <c r="F54" s="46"/>
      <c r="G54" s="46"/>
      <c r="H54" s="46"/>
      <c r="L54" s="63"/>
      <c r="M54" s="63"/>
      <c r="N54" s="63"/>
      <c r="O54" s="514" t="s">
        <v>448</v>
      </c>
      <c r="P54" s="514"/>
      <c r="Q54" s="192">
        <v>19.75</v>
      </c>
      <c r="R54" s="190"/>
      <c r="S54" s="178"/>
    </row>
    <row r="55" spans="1:50" s="11" customFormat="1" ht="14.4" x14ac:dyDescent="0.3">
      <c r="A55" s="206"/>
      <c r="B55" s="223"/>
      <c r="C55" s="223"/>
      <c r="D55" s="224"/>
      <c r="E55" s="223"/>
      <c r="F55" s="46"/>
      <c r="G55" s="46"/>
      <c r="H55" s="46"/>
      <c r="L55" s="14"/>
      <c r="M55" s="14"/>
      <c r="N55" s="14"/>
      <c r="O55" s="514" t="s">
        <v>531</v>
      </c>
      <c r="P55" s="514"/>
      <c r="Q55" s="192">
        <v>21.07</v>
      </c>
      <c r="R55" s="175"/>
      <c r="S55" s="178"/>
    </row>
    <row r="56" spans="1:50" s="11" customFormat="1" ht="15" customHeight="1" x14ac:dyDescent="0.3">
      <c r="A56" s="206"/>
      <c r="B56" s="223"/>
      <c r="C56" s="223"/>
      <c r="D56" s="224"/>
      <c r="E56" s="223"/>
      <c r="F56" s="46"/>
      <c r="G56" s="46"/>
      <c r="H56" s="46"/>
      <c r="L56" s="63"/>
      <c r="M56" s="63"/>
      <c r="N56" s="63"/>
      <c r="O56" s="514" t="s">
        <v>365</v>
      </c>
      <c r="P56" s="514"/>
      <c r="Q56" s="192">
        <v>21.28</v>
      </c>
      <c r="R56" s="190"/>
      <c r="S56" s="178"/>
    </row>
    <row r="57" spans="1:50" s="11" customFormat="1" ht="14.4" x14ac:dyDescent="0.3">
      <c r="A57" s="206"/>
      <c r="B57" s="223"/>
      <c r="C57" s="223"/>
      <c r="D57" s="224"/>
      <c r="E57" s="223"/>
      <c r="F57" s="46"/>
      <c r="G57" s="46"/>
      <c r="H57" s="46"/>
      <c r="L57" s="14"/>
      <c r="M57" s="14"/>
      <c r="N57" s="14"/>
      <c r="O57" s="514" t="s">
        <v>367</v>
      </c>
      <c r="P57" s="514"/>
      <c r="Q57" s="192">
        <v>19.809999999999999</v>
      </c>
      <c r="R57" s="222"/>
      <c r="S57" s="178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</row>
    <row r="58" spans="1:50" s="11" customFormat="1" ht="14.4" x14ac:dyDescent="0.3">
      <c r="A58" s="206"/>
      <c r="B58" s="223"/>
      <c r="C58" s="223"/>
      <c r="D58" s="224"/>
      <c r="E58" s="223"/>
      <c r="F58" s="46"/>
      <c r="G58" s="46"/>
      <c r="H58" s="46"/>
      <c r="L58" s="63"/>
      <c r="M58" s="63"/>
      <c r="N58" s="63"/>
      <c r="O58" s="514" t="s">
        <v>936</v>
      </c>
      <c r="P58" s="514"/>
      <c r="Q58" s="192">
        <v>126.09</v>
      </c>
      <c r="R58" s="175"/>
      <c r="S58" s="178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</row>
    <row r="59" spans="1:50" s="11" customFormat="1" ht="14.4" x14ac:dyDescent="0.3">
      <c r="A59" s="206"/>
      <c r="B59" s="223"/>
      <c r="C59" s="223"/>
      <c r="D59" s="224"/>
      <c r="E59" s="223"/>
      <c r="F59" s="46"/>
      <c r="G59" s="46"/>
      <c r="H59" s="46"/>
      <c r="L59" s="14"/>
      <c r="M59" s="14"/>
      <c r="N59" s="14"/>
      <c r="O59" s="514" t="s">
        <v>483</v>
      </c>
      <c r="P59" s="514"/>
      <c r="Q59" s="192">
        <v>19.7</v>
      </c>
      <c r="R59" s="175"/>
      <c r="S59" s="185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</row>
    <row r="60" spans="1:50" s="11" customFormat="1" ht="14.4" x14ac:dyDescent="0.3">
      <c r="A60" s="206"/>
      <c r="B60" s="223"/>
      <c r="C60" s="223"/>
      <c r="D60" s="224"/>
      <c r="E60" s="223"/>
      <c r="F60" s="46"/>
      <c r="G60" s="46"/>
      <c r="H60" s="46"/>
      <c r="L60" s="14"/>
      <c r="M60" s="14"/>
      <c r="N60" s="14"/>
      <c r="O60" s="514" t="s">
        <v>148</v>
      </c>
      <c r="P60" s="514"/>
      <c r="Q60" s="192">
        <v>21.2</v>
      </c>
      <c r="R60" s="175"/>
      <c r="S60" s="185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</row>
    <row r="61" spans="1:50" s="11" customFormat="1" ht="14.4" x14ac:dyDescent="0.3">
      <c r="A61" s="206"/>
      <c r="B61" s="223"/>
      <c r="C61" s="223"/>
      <c r="D61" s="224"/>
      <c r="E61" s="223"/>
      <c r="F61" s="46"/>
      <c r="G61" s="46"/>
      <c r="H61" s="46"/>
      <c r="L61" s="63"/>
      <c r="M61" s="63"/>
      <c r="N61" s="63"/>
      <c r="O61" s="514" t="s">
        <v>167</v>
      </c>
      <c r="P61" s="514"/>
      <c r="Q61" s="192">
        <v>21.2</v>
      </c>
      <c r="R61" s="175"/>
      <c r="S61" s="178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</row>
    <row r="62" spans="1:50" s="11" customFormat="1" ht="14.4" x14ac:dyDescent="0.3">
      <c r="A62" s="206"/>
      <c r="B62" s="223"/>
      <c r="C62" s="223"/>
      <c r="D62" s="224"/>
      <c r="E62" s="223"/>
      <c r="F62" s="46"/>
      <c r="G62" s="46"/>
      <c r="H62" s="46"/>
      <c r="L62" s="14"/>
      <c r="M62" s="14"/>
      <c r="N62" s="14"/>
      <c r="O62" s="514" t="s">
        <v>168</v>
      </c>
      <c r="P62" s="514"/>
      <c r="Q62" s="192">
        <v>19.809999999999999</v>
      </c>
      <c r="R62" s="175"/>
      <c r="S62" s="178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</row>
    <row r="63" spans="1:50" s="11" customFormat="1" ht="15" customHeight="1" x14ac:dyDescent="0.3">
      <c r="A63" s="206"/>
      <c r="B63" s="223"/>
      <c r="C63" s="223"/>
      <c r="D63" s="224"/>
      <c r="E63" s="223"/>
      <c r="F63" s="46"/>
      <c r="G63" s="46"/>
      <c r="H63" s="46"/>
      <c r="L63" s="63"/>
      <c r="M63" s="63"/>
      <c r="N63" s="63"/>
      <c r="O63" s="514" t="s">
        <v>416</v>
      </c>
      <c r="P63" s="514"/>
      <c r="Q63" s="192">
        <v>21.48</v>
      </c>
      <c r="S63" s="14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</row>
    <row r="64" spans="1:50" s="11" customFormat="1" ht="14.4" x14ac:dyDescent="0.3">
      <c r="A64" s="206"/>
      <c r="B64" s="223"/>
      <c r="C64" s="223"/>
      <c r="D64" s="224"/>
      <c r="E64" s="223"/>
      <c r="F64" s="46"/>
      <c r="G64" s="46"/>
      <c r="H64" s="46"/>
      <c r="L64" s="14"/>
      <c r="M64" s="14"/>
      <c r="N64" s="14"/>
      <c r="O64" s="514" t="s">
        <v>207</v>
      </c>
      <c r="P64" s="514"/>
      <c r="Q64" s="192">
        <v>19.760000000000002</v>
      </c>
      <c r="R64" s="190"/>
      <c r="S64" s="178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</row>
    <row r="65" spans="1:49" s="11" customFormat="1" ht="14.4" x14ac:dyDescent="0.3">
      <c r="A65" s="206"/>
      <c r="B65" s="223"/>
      <c r="C65" s="223"/>
      <c r="D65" s="224"/>
      <c r="E65" s="223"/>
      <c r="F65" s="46"/>
      <c r="G65" s="46"/>
      <c r="H65" s="46"/>
      <c r="L65" s="63"/>
      <c r="M65" s="63"/>
      <c r="N65" s="63"/>
      <c r="O65" s="514" t="s">
        <v>126</v>
      </c>
      <c r="P65" s="514"/>
      <c r="Q65" s="192">
        <v>109.06</v>
      </c>
      <c r="R65" s="175"/>
      <c r="S65" s="178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</row>
    <row r="66" spans="1:49" s="11" customFormat="1" ht="14.4" x14ac:dyDescent="0.3">
      <c r="A66" s="206"/>
      <c r="B66" s="223"/>
      <c r="C66" s="223"/>
      <c r="D66" s="224"/>
      <c r="E66" s="223"/>
      <c r="F66" s="46"/>
      <c r="G66" s="46"/>
      <c r="H66" s="46"/>
      <c r="O66" s="583" t="s">
        <v>127</v>
      </c>
      <c r="P66" s="583"/>
      <c r="Q66" s="192">
        <v>1541.7</v>
      </c>
      <c r="R66" s="175"/>
      <c r="S66" s="178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</row>
    <row r="67" spans="1:49" s="11" customFormat="1" ht="14.4" x14ac:dyDescent="0.3">
      <c r="A67" s="206"/>
      <c r="B67" s="223"/>
      <c r="C67" s="223"/>
      <c r="D67" s="224"/>
      <c r="E67" s="223"/>
      <c r="F67" s="46"/>
      <c r="G67" s="46"/>
      <c r="H67" s="46"/>
      <c r="L67" s="63"/>
      <c r="M67" s="63"/>
      <c r="N67" s="63"/>
      <c r="O67" s="514" t="s">
        <v>937</v>
      </c>
      <c r="P67" s="514"/>
      <c r="Q67" s="196">
        <v>350</v>
      </c>
      <c r="R67" s="175"/>
      <c r="S67" s="178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</row>
    <row r="68" spans="1:49" s="11" customFormat="1" ht="14.4" x14ac:dyDescent="0.3">
      <c r="A68" s="206"/>
      <c r="B68" s="223"/>
      <c r="C68" s="223"/>
      <c r="D68" s="224"/>
      <c r="E68" s="223"/>
      <c r="F68" s="46"/>
      <c r="G68" s="46"/>
      <c r="H68" s="46"/>
      <c r="L68" s="14"/>
      <c r="M68" s="14"/>
      <c r="N68" s="14"/>
      <c r="O68" s="514" t="s">
        <v>544</v>
      </c>
      <c r="P68" s="514"/>
      <c r="Q68" s="196">
        <v>200</v>
      </c>
      <c r="R68" s="175"/>
      <c r="S68" s="185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</row>
    <row r="69" spans="1:49" s="11" customFormat="1" ht="14.4" x14ac:dyDescent="0.3">
      <c r="A69" s="206"/>
      <c r="B69" s="223"/>
      <c r="C69" s="223"/>
      <c r="D69" s="224"/>
      <c r="E69" s="223"/>
      <c r="F69" s="46"/>
      <c r="G69" s="46"/>
      <c r="H69" s="46"/>
      <c r="O69" s="514" t="s">
        <v>938</v>
      </c>
      <c r="P69" s="514"/>
      <c r="Q69" s="196">
        <v>175</v>
      </c>
      <c r="R69" s="175"/>
      <c r="S69" s="176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</row>
    <row r="70" spans="1:49" s="11" customFormat="1" ht="14.4" x14ac:dyDescent="0.3">
      <c r="A70" s="206"/>
      <c r="B70" s="223"/>
      <c r="C70" s="223"/>
      <c r="D70" s="224"/>
      <c r="E70" s="223"/>
      <c r="F70" s="46"/>
      <c r="G70" s="46"/>
      <c r="H70" s="46"/>
      <c r="O70" s="581" t="s">
        <v>939</v>
      </c>
      <c r="P70" s="582"/>
      <c r="Q70" s="196">
        <v>58</v>
      </c>
      <c r="R70" s="175"/>
      <c r="S70" s="176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</row>
    <row r="71" spans="1:49" s="11" customFormat="1" ht="14.4" x14ac:dyDescent="0.3">
      <c r="A71" s="206"/>
      <c r="B71" s="223"/>
      <c r="C71" s="223"/>
      <c r="D71" s="224"/>
      <c r="E71" s="223"/>
      <c r="F71" s="46"/>
      <c r="G71" s="46"/>
      <c r="H71" s="46"/>
      <c r="O71" s="581" t="s">
        <v>940</v>
      </c>
      <c r="P71" s="582"/>
      <c r="Q71" s="196">
        <v>27</v>
      </c>
      <c r="R71" s="175"/>
      <c r="S71" s="178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</row>
    <row r="72" spans="1:49" s="11" customFormat="1" ht="14.4" x14ac:dyDescent="0.3">
      <c r="A72" s="206"/>
      <c r="B72" s="223"/>
      <c r="C72" s="223"/>
      <c r="D72" s="224"/>
      <c r="E72" s="223"/>
      <c r="F72" s="46"/>
      <c r="G72" s="46"/>
      <c r="H72" s="46"/>
      <c r="L72" s="14"/>
      <c r="M72" s="14"/>
      <c r="N72" s="14"/>
      <c r="O72" s="228"/>
      <c r="P72" s="229"/>
      <c r="Q72" s="196"/>
      <c r="R72" s="175"/>
      <c r="S72" s="178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</row>
    <row r="73" spans="1:49" s="11" customFormat="1" ht="14.4" x14ac:dyDescent="0.3">
      <c r="A73" s="206"/>
      <c r="B73" s="223"/>
      <c r="C73" s="223"/>
      <c r="D73" s="224"/>
      <c r="E73" s="223"/>
      <c r="F73" s="46"/>
      <c r="G73" s="46"/>
      <c r="H73" s="46"/>
      <c r="L73" s="15"/>
      <c r="M73" s="15"/>
      <c r="N73" s="15"/>
      <c r="O73" s="228"/>
      <c r="P73" s="229"/>
      <c r="Q73" s="196"/>
      <c r="R73" s="175"/>
      <c r="S73" s="178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</row>
    <row r="74" spans="1:49" s="11" customFormat="1" ht="14.4" x14ac:dyDescent="0.3">
      <c r="A74" s="206"/>
      <c r="B74" s="223"/>
      <c r="C74" s="223"/>
      <c r="D74" s="224"/>
      <c r="E74" s="223"/>
      <c r="F74" s="46"/>
      <c r="G74" s="46"/>
      <c r="H74" s="46"/>
      <c r="L74" s="14"/>
      <c r="M74" s="14"/>
      <c r="N74" s="14"/>
      <c r="O74" s="581"/>
      <c r="P74" s="582"/>
      <c r="Q74" s="212"/>
      <c r="R74" s="175"/>
      <c r="S74" s="178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</row>
    <row r="75" spans="1:49" s="11" customFormat="1" ht="14.4" x14ac:dyDescent="0.3">
      <c r="A75" s="206"/>
      <c r="B75" s="223"/>
      <c r="C75" s="223"/>
      <c r="D75" s="224"/>
      <c r="E75" s="223"/>
      <c r="F75" s="46"/>
      <c r="G75" s="46"/>
      <c r="H75" s="46"/>
      <c r="L75" s="14"/>
      <c r="M75" s="14"/>
      <c r="N75" s="14"/>
      <c r="O75" s="518" t="s">
        <v>26</v>
      </c>
      <c r="P75" s="518"/>
      <c r="Q75" s="109">
        <f>SUM(Q49:Q74)</f>
        <v>4317.4864627659572</v>
      </c>
      <c r="R75" s="175"/>
      <c r="S75" s="178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</row>
    <row r="76" spans="1:49" s="11" customFormat="1" ht="14.4" x14ac:dyDescent="0.3">
      <c r="A76" s="206"/>
      <c r="B76" s="223"/>
      <c r="C76" s="223"/>
      <c r="D76" s="224"/>
      <c r="E76" s="223"/>
      <c r="F76" s="46"/>
      <c r="G76" s="46"/>
      <c r="H76" s="46"/>
      <c r="L76" s="14"/>
      <c r="M76" s="14"/>
      <c r="N76" s="14"/>
      <c r="O76" s="543"/>
      <c r="P76" s="543"/>
      <c r="Q76" s="135"/>
      <c r="R76" s="175"/>
      <c r="S76" s="178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</row>
    <row r="77" spans="1:49" s="11" customFormat="1" x14ac:dyDescent="0.3">
      <c r="A77" s="206"/>
      <c r="B77" s="223"/>
      <c r="C77" s="223"/>
      <c r="D77" s="224"/>
      <c r="E77" s="223"/>
      <c r="F77" s="46"/>
      <c r="G77" s="46"/>
      <c r="H77" s="46"/>
      <c r="L77" s="14"/>
      <c r="M77" s="14"/>
      <c r="N77" s="14"/>
      <c r="O77" s="564" t="s">
        <v>11</v>
      </c>
      <c r="P77" s="565"/>
      <c r="Q77" s="153">
        <f>L6+L36+L40</f>
        <v>15779.63836288416</v>
      </c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</row>
    <row r="78" spans="1:49" s="69" customFormat="1" x14ac:dyDescent="0.3">
      <c r="A78" s="206"/>
      <c r="B78" s="223"/>
      <c r="C78" s="223"/>
      <c r="D78" s="224"/>
      <c r="E78" s="223"/>
      <c r="F78" s="46"/>
      <c r="G78" s="46"/>
      <c r="H78" s="46"/>
      <c r="I78" s="11"/>
      <c r="J78" s="11"/>
      <c r="K78" s="11"/>
      <c r="L78" s="14"/>
      <c r="M78" s="14"/>
      <c r="N78" s="14"/>
      <c r="O78" s="518"/>
      <c r="P78" s="518"/>
      <c r="Q78" s="519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s="69" customFormat="1" x14ac:dyDescent="0.3">
      <c r="A79" s="206"/>
      <c r="B79" s="223"/>
      <c r="C79" s="223"/>
      <c r="D79" s="224"/>
      <c r="E79" s="223"/>
      <c r="F79" s="46"/>
      <c r="G79" s="46"/>
      <c r="H79" s="46"/>
      <c r="I79" s="11"/>
      <c r="J79" s="11"/>
      <c r="K79" s="11"/>
      <c r="L79" s="14"/>
      <c r="M79" s="14"/>
      <c r="N79" s="14"/>
      <c r="O79" s="513" t="s">
        <v>13</v>
      </c>
      <c r="P79" s="513"/>
      <c r="Q79" s="151">
        <f>Q77-Q75</f>
        <v>11462.151900118202</v>
      </c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s="69" customFormat="1" x14ac:dyDescent="0.3">
      <c r="A80" s="206"/>
      <c r="B80" s="223"/>
      <c r="C80" s="223"/>
      <c r="D80" s="224"/>
      <c r="E80" s="223"/>
      <c r="F80" s="46"/>
      <c r="G80" s="46"/>
      <c r="H80" s="46"/>
      <c r="I80" s="11"/>
      <c r="J80" s="11"/>
      <c r="K80" s="11"/>
      <c r="L80" s="14"/>
      <c r="M80" s="14"/>
      <c r="N80" s="14"/>
      <c r="O80" s="124"/>
      <c r="P80" s="124"/>
      <c r="Q80" s="57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s="69" customFormat="1" x14ac:dyDescent="0.3">
      <c r="A81" s="206"/>
      <c r="B81" s="223"/>
      <c r="C81" s="223"/>
      <c r="D81" s="224"/>
      <c r="E81" s="223"/>
      <c r="F81" s="46"/>
      <c r="G81" s="46"/>
      <c r="H81" s="46"/>
      <c r="I81" s="11"/>
      <c r="J81" s="11"/>
      <c r="K81" s="11"/>
      <c r="L81" s="14"/>
      <c r="M81" s="14"/>
      <c r="N81" s="14"/>
      <c r="O81" s="124"/>
      <c r="P81" s="124"/>
      <c r="Q81" s="57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s="69" customFormat="1" x14ac:dyDescent="0.3">
      <c r="A82" s="206"/>
      <c r="B82" s="223"/>
      <c r="C82" s="223"/>
      <c r="D82" s="224"/>
      <c r="E82" s="223"/>
      <c r="F82" s="46"/>
      <c r="G82" s="46"/>
      <c r="H82" s="46"/>
      <c r="I82" s="11"/>
      <c r="J82" s="11"/>
      <c r="K82" s="11"/>
      <c r="L82" s="14"/>
      <c r="M82" s="14"/>
      <c r="N82" s="14"/>
      <c r="O82" s="124"/>
      <c r="P82" s="124"/>
      <c r="Q82" s="57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s="69" customFormat="1" x14ac:dyDescent="0.3">
      <c r="A83" s="206"/>
      <c r="B83" s="223"/>
      <c r="C83" s="223"/>
      <c r="D83" s="224"/>
      <c r="E83" s="223"/>
      <c r="F83" s="46"/>
      <c r="G83" s="46"/>
      <c r="H83" s="46"/>
      <c r="I83" s="11"/>
      <c r="J83" s="11"/>
      <c r="K83" s="11"/>
      <c r="L83" s="14"/>
      <c r="M83" s="14"/>
      <c r="N83" s="14"/>
      <c r="O83" s="124"/>
      <c r="P83" s="124"/>
      <c r="Q83" s="57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s="69" customFormat="1" x14ac:dyDescent="0.3">
      <c r="A84" s="206"/>
      <c r="B84" s="223"/>
      <c r="C84" s="223"/>
      <c r="D84" s="224"/>
      <c r="E84" s="223"/>
      <c r="F84" s="46"/>
      <c r="G84" s="46"/>
      <c r="H84" s="46"/>
      <c r="I84" s="11"/>
      <c r="J84" s="11"/>
      <c r="K84" s="11"/>
      <c r="L84" s="14"/>
      <c r="M84" s="14"/>
      <c r="N84" s="14"/>
      <c r="O84" s="15"/>
      <c r="P84" s="14"/>
      <c r="Q84" s="57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s="69" customFormat="1" x14ac:dyDescent="0.3">
      <c r="A85" s="206"/>
      <c r="B85" s="223"/>
      <c r="C85" s="223"/>
      <c r="D85" s="224"/>
      <c r="E85" s="223"/>
      <c r="F85" s="46"/>
      <c r="G85" s="46"/>
      <c r="H85" s="46"/>
      <c r="I85" s="11"/>
      <c r="J85" s="11"/>
      <c r="K85" s="11"/>
      <c r="L85" s="14"/>
      <c r="M85" s="14"/>
      <c r="N85" s="14"/>
      <c r="O85" s="11"/>
      <c r="P85" s="15"/>
      <c r="Q85" s="57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s="69" customFormat="1" x14ac:dyDescent="0.3">
      <c r="A86" s="206"/>
      <c r="B86" s="223"/>
      <c r="C86" s="223"/>
      <c r="D86" s="224"/>
      <c r="E86" s="223"/>
      <c r="F86" s="46"/>
      <c r="G86" s="46"/>
      <c r="H86" s="46"/>
      <c r="I86" s="11"/>
      <c r="J86" s="11"/>
      <c r="K86" s="11"/>
      <c r="L86" s="14"/>
      <c r="M86" s="14"/>
      <c r="N86" s="14"/>
      <c r="O86" s="11"/>
      <c r="P86" s="11"/>
      <c r="Q86" s="57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s="69" customFormat="1" x14ac:dyDescent="0.3">
      <c r="A87" s="206"/>
      <c r="B87" s="223"/>
      <c r="C87" s="223"/>
      <c r="D87" s="224"/>
      <c r="E87" s="223"/>
      <c r="F87" s="46"/>
      <c r="G87" s="46"/>
      <c r="H87" s="46"/>
      <c r="I87" s="11"/>
      <c r="J87" s="11"/>
      <c r="K87" s="11"/>
      <c r="L87" s="14"/>
      <c r="M87" s="14"/>
      <c r="N87" s="14"/>
      <c r="O87" s="14"/>
      <c r="P87" s="14"/>
      <c r="Q87" s="57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s="69" customFormat="1" x14ac:dyDescent="0.3">
      <c r="A88" s="206"/>
      <c r="B88" s="223"/>
      <c r="C88" s="223"/>
      <c r="D88" s="224"/>
      <c r="E88" s="223"/>
      <c r="F88" s="46"/>
      <c r="G88" s="46"/>
      <c r="H88" s="46"/>
      <c r="I88" s="11"/>
      <c r="J88" s="11"/>
      <c r="K88" s="11"/>
      <c r="L88" s="14"/>
      <c r="M88" s="14"/>
      <c r="N88" s="14"/>
      <c r="O88" s="14"/>
      <c r="P88" s="15"/>
      <c r="Q88" s="57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69" customFormat="1" x14ac:dyDescent="0.3">
      <c r="A89" s="206"/>
      <c r="B89" s="223"/>
      <c r="C89" s="223"/>
      <c r="D89" s="224"/>
      <c r="E89" s="223"/>
      <c r="F89" s="46"/>
      <c r="G89" s="46"/>
      <c r="H89" s="46"/>
      <c r="L89" s="142"/>
      <c r="M89" s="142"/>
      <c r="N89" s="142"/>
      <c r="O89" s="14"/>
      <c r="P89" s="11"/>
      <c r="Q89" s="57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s="70" customFormat="1" x14ac:dyDescent="0.3">
      <c r="A90" s="206"/>
      <c r="B90" s="223"/>
      <c r="C90" s="223"/>
      <c r="D90" s="224"/>
      <c r="E90" s="223"/>
      <c r="F90" s="46"/>
      <c r="G90" s="46"/>
      <c r="H90" s="46"/>
      <c r="I90" s="63"/>
      <c r="J90" s="63"/>
      <c r="K90" s="63"/>
      <c r="L90" s="69"/>
      <c r="M90" s="69"/>
      <c r="N90" s="69"/>
      <c r="O90" s="14"/>
      <c r="P90" s="11"/>
      <c r="Q90" s="57"/>
    </row>
    <row r="91" spans="1:49" s="70" customFormat="1" ht="15" customHeight="1" x14ac:dyDescent="0.3">
      <c r="A91" s="206"/>
      <c r="B91" s="223"/>
      <c r="C91" s="223"/>
      <c r="D91" s="224"/>
      <c r="E91" s="223"/>
      <c r="F91" s="46"/>
      <c r="G91" s="46"/>
      <c r="H91" s="46"/>
      <c r="I91" s="11"/>
      <c r="J91" s="11"/>
      <c r="K91" s="63"/>
      <c r="L91" s="142"/>
      <c r="M91" s="142"/>
      <c r="N91" s="142"/>
      <c r="O91" s="11"/>
      <c r="P91" s="11"/>
      <c r="Q91" s="57"/>
      <c r="AW91" s="69"/>
    </row>
    <row r="92" spans="1:49" s="70" customFormat="1" x14ac:dyDescent="0.3">
      <c r="A92" s="206"/>
      <c r="B92" s="223"/>
      <c r="C92" s="223"/>
      <c r="D92" s="224"/>
      <c r="E92" s="223"/>
      <c r="F92" s="46"/>
      <c r="G92" s="46"/>
      <c r="H92" s="46"/>
      <c r="I92" s="142"/>
      <c r="J92" s="142"/>
      <c r="K92" s="142"/>
      <c r="L92" s="142"/>
      <c r="M92" s="142"/>
      <c r="N92" s="142"/>
      <c r="O92" s="11"/>
      <c r="P92" s="14"/>
      <c r="Q92" s="57"/>
      <c r="AW92" s="69"/>
    </row>
    <row r="93" spans="1:49" s="70" customFormat="1" x14ac:dyDescent="0.3">
      <c r="A93" s="206"/>
      <c r="B93" s="223"/>
      <c r="C93" s="223"/>
      <c r="D93" s="224"/>
      <c r="E93" s="223"/>
      <c r="F93" s="46"/>
      <c r="G93" s="46"/>
      <c r="H93" s="46"/>
      <c r="I93" s="11"/>
      <c r="J93" s="11"/>
      <c r="K93" s="63"/>
      <c r="L93" s="142"/>
      <c r="M93" s="142"/>
      <c r="N93" s="142"/>
      <c r="O93" s="11"/>
      <c r="P93" s="14"/>
      <c r="Q93" s="57"/>
      <c r="AW93" s="69"/>
    </row>
    <row r="94" spans="1:49" s="70" customFormat="1" x14ac:dyDescent="0.3">
      <c r="A94" s="206"/>
      <c r="B94" s="223"/>
      <c r="C94" s="223"/>
      <c r="D94" s="224"/>
      <c r="E94" s="223"/>
      <c r="F94" s="46"/>
      <c r="G94" s="46"/>
      <c r="H94" s="46"/>
      <c r="I94" s="142"/>
      <c r="J94" s="142"/>
      <c r="K94" s="142"/>
      <c r="L94" s="142"/>
      <c r="M94" s="142"/>
      <c r="N94" s="142"/>
      <c r="O94" s="11"/>
      <c r="P94" s="14"/>
      <c r="Q94" s="57"/>
      <c r="AW94" s="69"/>
    </row>
    <row r="95" spans="1:49" s="70" customFormat="1" x14ac:dyDescent="0.3">
      <c r="A95" s="206"/>
      <c r="B95" s="223"/>
      <c r="C95" s="223"/>
      <c r="D95" s="224"/>
      <c r="E95" s="223"/>
      <c r="F95" s="46"/>
      <c r="G95" s="46"/>
      <c r="H95" s="46"/>
      <c r="I95" s="11"/>
      <c r="J95" s="11"/>
      <c r="K95" s="63"/>
      <c r="L95" s="142"/>
      <c r="M95" s="142"/>
      <c r="N95" s="142"/>
      <c r="O95" s="11"/>
      <c r="P95" s="14"/>
      <c r="Q95" s="57"/>
      <c r="AW95" s="69"/>
    </row>
    <row r="96" spans="1:49" s="70" customFormat="1" x14ac:dyDescent="0.3">
      <c r="A96" s="206"/>
      <c r="B96" s="223"/>
      <c r="C96" s="223"/>
      <c r="D96" s="224"/>
      <c r="E96" s="223"/>
      <c r="F96" s="46"/>
      <c r="G96" s="46"/>
      <c r="H96" s="46"/>
      <c r="I96" s="142"/>
      <c r="J96" s="142"/>
      <c r="K96" s="142"/>
      <c r="L96" s="142"/>
      <c r="M96" s="142"/>
      <c r="N96" s="142"/>
      <c r="O96" s="11"/>
      <c r="P96" s="11"/>
      <c r="Q96" s="57"/>
      <c r="AW96" s="69"/>
    </row>
    <row r="97" spans="1:49" s="70" customFormat="1" x14ac:dyDescent="0.3">
      <c r="A97" s="206"/>
      <c r="B97" s="223"/>
      <c r="C97" s="223"/>
      <c r="D97" s="224"/>
      <c r="E97" s="223"/>
      <c r="F97" s="46"/>
      <c r="G97" s="46"/>
      <c r="H97" s="46"/>
      <c r="I97" s="11"/>
      <c r="J97" s="11"/>
      <c r="K97" s="63"/>
      <c r="L97" s="142"/>
      <c r="M97" s="142"/>
      <c r="N97" s="142"/>
      <c r="O97" s="11"/>
      <c r="P97" s="11"/>
      <c r="Q97" s="57"/>
      <c r="AW97" s="69"/>
    </row>
    <row r="98" spans="1:49" s="70" customFormat="1" x14ac:dyDescent="0.3">
      <c r="A98" s="206"/>
      <c r="B98" s="223"/>
      <c r="C98" s="223"/>
      <c r="D98" s="224"/>
      <c r="E98" s="223"/>
      <c r="F98" s="46"/>
      <c r="G98" s="46"/>
      <c r="H98" s="46"/>
      <c r="I98" s="142"/>
      <c r="J98" s="142"/>
      <c r="K98" s="142"/>
      <c r="L98" s="142"/>
      <c r="M98" s="142"/>
      <c r="N98" s="142"/>
      <c r="O98" s="69"/>
      <c r="P98" s="69"/>
      <c r="Q98" s="69"/>
      <c r="AW98" s="69"/>
    </row>
    <row r="99" spans="1:49" s="70" customFormat="1" x14ac:dyDescent="0.3">
      <c r="A99" s="206"/>
      <c r="B99" s="223"/>
      <c r="C99" s="223"/>
      <c r="D99" s="224"/>
      <c r="E99" s="223"/>
      <c r="F99" s="46"/>
      <c r="G99" s="46"/>
      <c r="H99" s="46"/>
      <c r="I99" s="11"/>
      <c r="J99" s="11"/>
      <c r="K99" s="63"/>
      <c r="L99" s="142"/>
      <c r="M99" s="142"/>
      <c r="N99" s="142"/>
      <c r="O99" s="69"/>
      <c r="P99" s="69"/>
      <c r="Q99" s="69"/>
      <c r="AW99" s="69"/>
    </row>
    <row r="100" spans="1:49" s="70" customFormat="1" x14ac:dyDescent="0.3">
      <c r="A100" s="148"/>
      <c r="B100" s="225"/>
      <c r="C100" s="225"/>
      <c r="D100" s="225"/>
      <c r="E100" s="225"/>
      <c r="F100" s="46"/>
      <c r="G100" s="46"/>
      <c r="H100" s="46"/>
      <c r="I100" s="142"/>
      <c r="J100" s="142"/>
      <c r="K100" s="142"/>
      <c r="L100" s="142"/>
      <c r="M100" s="142"/>
      <c r="N100" s="142"/>
      <c r="O100" s="69"/>
      <c r="P100" s="69"/>
      <c r="Q100" s="69"/>
      <c r="AW100" s="69"/>
    </row>
    <row r="101" spans="1:49" s="70" customFormat="1" x14ac:dyDescent="0.3">
      <c r="A101" s="69"/>
      <c r="B101" s="69"/>
      <c r="C101" s="69"/>
      <c r="D101" s="69"/>
      <c r="E101" s="69"/>
      <c r="F101" s="69"/>
      <c r="G101" s="69"/>
      <c r="H101" s="69"/>
      <c r="I101" s="142"/>
      <c r="J101" s="142"/>
      <c r="K101" s="142"/>
      <c r="L101" s="142"/>
      <c r="M101" s="142"/>
      <c r="N101" s="142"/>
      <c r="O101" s="69"/>
      <c r="P101" s="69"/>
      <c r="Q101" s="69"/>
      <c r="AW101" s="69"/>
    </row>
    <row r="102" spans="1:49" s="70" customFormat="1" x14ac:dyDescent="0.3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142"/>
      <c r="M102" s="142"/>
      <c r="N102" s="142"/>
      <c r="O102" s="69"/>
      <c r="P102" s="69"/>
      <c r="Q102" s="69"/>
      <c r="AW102" s="69"/>
    </row>
    <row r="103" spans="1:49" s="70" customFormat="1" x14ac:dyDescent="0.3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142"/>
      <c r="M103" s="142"/>
      <c r="N103" s="142"/>
      <c r="O103" s="69"/>
      <c r="P103" s="69"/>
      <c r="Q103" s="69"/>
      <c r="AW103" s="69"/>
    </row>
    <row r="104" spans="1:49" s="70" customFormat="1" x14ac:dyDescent="0.3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142"/>
      <c r="M104" s="142"/>
      <c r="N104" s="142"/>
      <c r="O104" s="69"/>
      <c r="P104" s="69"/>
      <c r="Q104" s="69"/>
      <c r="AW104" s="69"/>
    </row>
    <row r="105" spans="1:49" s="70" customFormat="1" x14ac:dyDescent="0.3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142"/>
      <c r="M105" s="142"/>
      <c r="N105" s="142"/>
      <c r="O105" s="144"/>
      <c r="P105" s="69"/>
      <c r="Q105" s="69"/>
      <c r="AW105" s="69"/>
    </row>
    <row r="106" spans="1:49" s="70" customFormat="1" x14ac:dyDescent="0.3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142"/>
      <c r="M106" s="142"/>
      <c r="N106" s="142"/>
      <c r="O106" s="144"/>
      <c r="P106" s="69"/>
      <c r="Q106" s="69"/>
      <c r="AW106" s="69"/>
    </row>
    <row r="107" spans="1:49" s="70" customFormat="1" x14ac:dyDescent="0.3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142"/>
      <c r="M107" s="142"/>
      <c r="N107" s="142"/>
      <c r="O107" s="144"/>
      <c r="P107" s="69"/>
      <c r="AW107" s="69"/>
    </row>
    <row r="108" spans="1:49" s="70" customFormat="1" x14ac:dyDescent="0.3">
      <c r="F108" s="69"/>
      <c r="G108" s="69"/>
      <c r="H108" s="69"/>
      <c r="I108" s="69"/>
      <c r="J108" s="69"/>
      <c r="K108" s="69"/>
      <c r="L108" s="142"/>
      <c r="M108" s="142"/>
      <c r="N108" s="142"/>
      <c r="O108" s="144"/>
      <c r="P108" s="69"/>
      <c r="AW108" s="69"/>
    </row>
    <row r="109" spans="1:49" s="70" customFormat="1" x14ac:dyDescent="0.3">
      <c r="I109" s="69"/>
      <c r="J109" s="69"/>
      <c r="K109" s="69"/>
      <c r="L109" s="142"/>
      <c r="M109" s="142"/>
      <c r="N109" s="142"/>
      <c r="O109" s="144"/>
      <c r="P109" s="69"/>
      <c r="AW109" s="69"/>
    </row>
    <row r="110" spans="1:49" s="70" customFormat="1" x14ac:dyDescent="0.3">
      <c r="L110" s="142"/>
      <c r="M110" s="142"/>
      <c r="N110" s="142"/>
      <c r="O110" s="144"/>
      <c r="P110" s="144"/>
      <c r="AW110" s="69"/>
    </row>
    <row r="111" spans="1:49" s="70" customFormat="1" x14ac:dyDescent="0.3">
      <c r="L111" s="142"/>
      <c r="M111" s="142"/>
      <c r="N111" s="142"/>
      <c r="O111" s="144"/>
      <c r="P111" s="144"/>
      <c r="AW111" s="69"/>
    </row>
    <row r="112" spans="1:49" s="70" customFormat="1" x14ac:dyDescent="0.3">
      <c r="L112" s="142"/>
      <c r="M112" s="142"/>
      <c r="N112" s="142"/>
      <c r="O112" s="144"/>
      <c r="P112" s="144"/>
      <c r="AW112" s="69"/>
    </row>
    <row r="113" spans="12:49" s="70" customFormat="1" x14ac:dyDescent="0.3">
      <c r="L113" s="142"/>
      <c r="M113" s="142"/>
      <c r="N113" s="142"/>
      <c r="O113" s="144"/>
      <c r="P113" s="144"/>
      <c r="AW113" s="69"/>
    </row>
    <row r="114" spans="12:49" s="70" customFormat="1" x14ac:dyDescent="0.3">
      <c r="L114" s="142"/>
      <c r="M114" s="142"/>
      <c r="N114" s="142"/>
      <c r="O114" s="144"/>
      <c r="P114" s="144"/>
      <c r="AW114" s="69"/>
    </row>
    <row r="115" spans="12:49" s="70" customFormat="1" x14ac:dyDescent="0.3">
      <c r="L115" s="142"/>
      <c r="M115" s="142"/>
      <c r="N115" s="142"/>
      <c r="O115" s="144"/>
      <c r="P115" s="144"/>
      <c r="AW115" s="69"/>
    </row>
    <row r="116" spans="12:49" s="70" customFormat="1" x14ac:dyDescent="0.3">
      <c r="L116" s="142"/>
      <c r="M116" s="142"/>
      <c r="N116" s="142"/>
      <c r="O116" s="144"/>
      <c r="P116" s="144"/>
      <c r="AW116" s="69"/>
    </row>
    <row r="117" spans="12:49" s="70" customFormat="1" x14ac:dyDescent="0.3">
      <c r="L117" s="142"/>
      <c r="M117" s="142"/>
      <c r="N117" s="142"/>
      <c r="O117" s="144"/>
      <c r="P117" s="144"/>
      <c r="AW117" s="69"/>
    </row>
    <row r="118" spans="12:49" s="70" customFormat="1" x14ac:dyDescent="0.3">
      <c r="L118" s="142"/>
      <c r="M118" s="142"/>
      <c r="N118" s="142"/>
      <c r="O118" s="144"/>
      <c r="P118" s="144"/>
      <c r="AW118" s="69"/>
    </row>
    <row r="119" spans="12:49" s="70" customFormat="1" x14ac:dyDescent="0.3">
      <c r="L119" s="142"/>
      <c r="M119" s="142"/>
      <c r="N119" s="142"/>
      <c r="O119" s="144"/>
      <c r="P119" s="144"/>
      <c r="AW119" s="69"/>
    </row>
    <row r="120" spans="12:49" s="70" customFormat="1" x14ac:dyDescent="0.3">
      <c r="L120" s="142"/>
      <c r="M120" s="142"/>
      <c r="N120" s="142"/>
      <c r="O120" s="144"/>
      <c r="P120" s="144"/>
      <c r="AW120" s="69"/>
    </row>
    <row r="121" spans="12:49" s="70" customFormat="1" x14ac:dyDescent="0.3">
      <c r="L121" s="142"/>
      <c r="M121" s="142"/>
      <c r="N121" s="142"/>
      <c r="O121" s="144"/>
      <c r="P121" s="144"/>
      <c r="AW121" s="69"/>
    </row>
    <row r="122" spans="12:49" s="70" customFormat="1" x14ac:dyDescent="0.3">
      <c r="L122" s="142"/>
      <c r="M122" s="142"/>
      <c r="N122" s="142"/>
      <c r="O122" s="144"/>
      <c r="P122" s="144"/>
      <c r="AW122" s="69"/>
    </row>
    <row r="123" spans="12:49" s="70" customFormat="1" x14ac:dyDescent="0.3">
      <c r="L123" s="142"/>
      <c r="M123" s="142"/>
      <c r="N123" s="142"/>
      <c r="O123" s="144"/>
      <c r="P123" s="144"/>
      <c r="AW123" s="69"/>
    </row>
    <row r="124" spans="12:49" s="70" customFormat="1" x14ac:dyDescent="0.3">
      <c r="L124" s="142"/>
      <c r="M124" s="142"/>
      <c r="N124" s="142"/>
      <c r="O124" s="144"/>
      <c r="P124" s="144"/>
      <c r="AW124" s="69"/>
    </row>
    <row r="125" spans="12:49" s="70" customFormat="1" x14ac:dyDescent="0.3">
      <c r="L125" s="142"/>
      <c r="M125" s="142"/>
      <c r="N125" s="142"/>
      <c r="O125" s="144"/>
      <c r="P125" s="144"/>
      <c r="AW125" s="69"/>
    </row>
    <row r="126" spans="12:49" s="70" customFormat="1" x14ac:dyDescent="0.3">
      <c r="L126" s="142"/>
      <c r="M126" s="142"/>
      <c r="N126" s="142"/>
      <c r="O126" s="144"/>
      <c r="P126" s="144"/>
      <c r="AW126" s="69"/>
    </row>
    <row r="127" spans="12:49" s="70" customFormat="1" x14ac:dyDescent="0.3">
      <c r="L127" s="142"/>
      <c r="M127" s="142"/>
      <c r="N127" s="142"/>
      <c r="O127" s="144"/>
      <c r="P127" s="144"/>
      <c r="AW127" s="69"/>
    </row>
    <row r="128" spans="12:49" s="70" customFormat="1" x14ac:dyDescent="0.3">
      <c r="L128" s="142"/>
      <c r="M128" s="142"/>
      <c r="N128" s="142"/>
      <c r="O128" s="144"/>
      <c r="P128" s="144"/>
      <c r="AW128" s="69"/>
    </row>
    <row r="129" spans="12:49" s="70" customFormat="1" x14ac:dyDescent="0.3">
      <c r="L129" s="142"/>
      <c r="M129" s="142"/>
      <c r="N129" s="142"/>
      <c r="O129" s="144"/>
      <c r="P129" s="144"/>
      <c r="AW129" s="69"/>
    </row>
    <row r="130" spans="12:49" s="70" customFormat="1" x14ac:dyDescent="0.3">
      <c r="L130" s="142"/>
      <c r="M130" s="142"/>
      <c r="N130" s="142"/>
      <c r="O130" s="144"/>
      <c r="P130" s="144"/>
      <c r="AW130" s="69"/>
    </row>
    <row r="131" spans="12:49" s="70" customFormat="1" x14ac:dyDescent="0.3">
      <c r="L131" s="142"/>
      <c r="M131" s="142"/>
      <c r="N131" s="142"/>
      <c r="O131" s="144"/>
      <c r="P131" s="144"/>
      <c r="AW131" s="69"/>
    </row>
    <row r="132" spans="12:49" s="70" customFormat="1" x14ac:dyDescent="0.3">
      <c r="L132" s="142"/>
      <c r="M132" s="142"/>
      <c r="N132" s="142"/>
      <c r="O132" s="144"/>
      <c r="P132" s="144"/>
      <c r="AW132" s="69"/>
    </row>
    <row r="133" spans="12:49" s="70" customFormat="1" x14ac:dyDescent="0.3">
      <c r="L133" s="142"/>
      <c r="M133" s="142"/>
      <c r="N133" s="142"/>
      <c r="O133" s="144"/>
      <c r="P133" s="144"/>
      <c r="AW133" s="69"/>
    </row>
    <row r="134" spans="12:49" s="70" customFormat="1" x14ac:dyDescent="0.3">
      <c r="L134" s="142"/>
      <c r="M134" s="142"/>
      <c r="N134" s="142"/>
      <c r="O134" s="144"/>
      <c r="P134" s="144"/>
      <c r="AW134" s="69"/>
    </row>
    <row r="135" spans="12:49" s="70" customFormat="1" x14ac:dyDescent="0.3">
      <c r="L135" s="142"/>
      <c r="M135" s="142"/>
      <c r="N135" s="142"/>
      <c r="O135" s="144"/>
      <c r="P135" s="144"/>
      <c r="AW135" s="69"/>
    </row>
    <row r="136" spans="12:49" s="70" customFormat="1" x14ac:dyDescent="0.3">
      <c r="L136" s="142"/>
      <c r="M136" s="142"/>
      <c r="N136" s="142"/>
      <c r="O136" s="144"/>
      <c r="P136" s="144"/>
      <c r="AW136" s="69"/>
    </row>
    <row r="137" spans="12:49" s="70" customFormat="1" x14ac:dyDescent="0.3">
      <c r="L137" s="142"/>
      <c r="M137" s="142"/>
      <c r="N137" s="142"/>
      <c r="O137" s="144"/>
      <c r="P137" s="144"/>
      <c r="AW137" s="69"/>
    </row>
    <row r="138" spans="12:49" s="70" customFormat="1" x14ac:dyDescent="0.3">
      <c r="L138" s="142"/>
      <c r="M138" s="142"/>
      <c r="N138" s="142"/>
      <c r="O138" s="144"/>
      <c r="P138" s="144"/>
      <c r="AW138" s="69"/>
    </row>
    <row r="139" spans="12:49" s="70" customFormat="1" x14ac:dyDescent="0.3">
      <c r="L139" s="142"/>
      <c r="M139" s="142"/>
      <c r="N139" s="142"/>
      <c r="O139" s="144"/>
      <c r="P139" s="144"/>
      <c r="AW139" s="69"/>
    </row>
    <row r="140" spans="12:49" s="70" customFormat="1" x14ac:dyDescent="0.3">
      <c r="L140" s="142"/>
      <c r="M140" s="142"/>
      <c r="N140" s="142"/>
      <c r="O140" s="144"/>
      <c r="P140" s="144"/>
      <c r="AW140" s="69"/>
    </row>
    <row r="141" spans="12:49" s="70" customFormat="1" x14ac:dyDescent="0.3">
      <c r="L141" s="142"/>
      <c r="M141" s="142"/>
      <c r="N141" s="142"/>
      <c r="O141" s="144"/>
      <c r="P141" s="144"/>
      <c r="AW141" s="69"/>
    </row>
    <row r="142" spans="12:49" s="70" customFormat="1" x14ac:dyDescent="0.3">
      <c r="L142" s="142"/>
      <c r="M142" s="142"/>
      <c r="N142" s="142"/>
      <c r="O142" s="144"/>
      <c r="P142" s="144"/>
      <c r="AW142" s="69"/>
    </row>
    <row r="143" spans="12:49" s="70" customFormat="1" x14ac:dyDescent="0.3">
      <c r="L143" s="142"/>
      <c r="M143" s="142"/>
      <c r="N143" s="142"/>
      <c r="O143" s="144"/>
      <c r="P143" s="144"/>
      <c r="AW143" s="69"/>
    </row>
    <row r="144" spans="12:49" s="70" customFormat="1" x14ac:dyDescent="0.3">
      <c r="L144" s="142"/>
      <c r="M144" s="142"/>
      <c r="N144" s="142"/>
      <c r="O144" s="144"/>
      <c r="P144" s="144"/>
      <c r="AW144" s="69"/>
    </row>
    <row r="145" spans="12:49" s="70" customFormat="1" x14ac:dyDescent="0.3">
      <c r="L145" s="142"/>
      <c r="M145" s="142"/>
      <c r="N145" s="142"/>
      <c r="O145" s="144"/>
      <c r="P145" s="144"/>
      <c r="AW145" s="69"/>
    </row>
    <row r="146" spans="12:49" s="70" customFormat="1" x14ac:dyDescent="0.3">
      <c r="L146" s="142"/>
      <c r="M146" s="142"/>
      <c r="N146" s="142"/>
      <c r="O146" s="144"/>
      <c r="P146" s="144"/>
      <c r="AW146" s="69"/>
    </row>
    <row r="147" spans="12:49" s="70" customFormat="1" x14ac:dyDescent="0.3">
      <c r="L147" s="142"/>
      <c r="M147" s="142"/>
      <c r="N147" s="142"/>
      <c r="O147" s="144"/>
      <c r="P147" s="144"/>
      <c r="AW147" s="69"/>
    </row>
    <row r="148" spans="12:49" s="70" customFormat="1" x14ac:dyDescent="0.3">
      <c r="L148" s="142"/>
      <c r="M148" s="142"/>
      <c r="N148" s="142"/>
      <c r="O148" s="144"/>
      <c r="P148" s="144"/>
      <c r="AW148" s="69"/>
    </row>
    <row r="149" spans="12:49" s="70" customFormat="1" x14ac:dyDescent="0.3">
      <c r="L149" s="142"/>
      <c r="M149" s="142"/>
      <c r="N149" s="142"/>
      <c r="O149" s="144"/>
      <c r="P149" s="144"/>
      <c r="AW149" s="69"/>
    </row>
    <row r="150" spans="12:49" s="70" customFormat="1" x14ac:dyDescent="0.3">
      <c r="L150" s="142"/>
      <c r="M150" s="142"/>
      <c r="N150" s="142"/>
      <c r="O150" s="144"/>
      <c r="P150" s="144"/>
      <c r="AW150" s="69"/>
    </row>
    <row r="151" spans="12:49" s="70" customFormat="1" x14ac:dyDescent="0.3">
      <c r="L151" s="142"/>
      <c r="M151" s="142"/>
      <c r="N151" s="142"/>
      <c r="O151" s="144"/>
      <c r="P151" s="144"/>
      <c r="AW151" s="69"/>
    </row>
    <row r="152" spans="12:49" s="70" customFormat="1" x14ac:dyDescent="0.3">
      <c r="L152" s="142"/>
      <c r="M152" s="142"/>
      <c r="N152" s="142"/>
      <c r="O152" s="144"/>
      <c r="P152" s="144"/>
      <c r="AW152" s="69"/>
    </row>
    <row r="153" spans="12:49" s="70" customFormat="1" x14ac:dyDescent="0.3">
      <c r="L153" s="142"/>
      <c r="M153" s="142"/>
      <c r="N153" s="142"/>
      <c r="O153" s="144"/>
      <c r="P153" s="144"/>
      <c r="AW153" s="69"/>
    </row>
    <row r="154" spans="12:49" s="70" customFormat="1" x14ac:dyDescent="0.3">
      <c r="L154" s="142"/>
      <c r="M154" s="142"/>
      <c r="N154" s="142"/>
      <c r="O154" s="144"/>
      <c r="P154" s="144"/>
      <c r="AW154" s="69"/>
    </row>
    <row r="155" spans="12:49" s="70" customFormat="1" x14ac:dyDescent="0.3">
      <c r="L155" s="142"/>
      <c r="M155" s="142"/>
      <c r="N155" s="142"/>
      <c r="O155" s="144"/>
      <c r="P155" s="144"/>
      <c r="AW155" s="69"/>
    </row>
    <row r="156" spans="12:49" s="70" customFormat="1" x14ac:dyDescent="0.3">
      <c r="L156" s="142"/>
      <c r="M156" s="142"/>
      <c r="N156" s="142"/>
      <c r="O156" s="144"/>
      <c r="P156" s="144"/>
      <c r="AW156" s="69"/>
    </row>
    <row r="157" spans="12:49" s="70" customFormat="1" x14ac:dyDescent="0.3">
      <c r="L157" s="142"/>
      <c r="M157" s="142"/>
      <c r="N157" s="142"/>
      <c r="O157" s="144"/>
      <c r="P157" s="144"/>
      <c r="AW157" s="69"/>
    </row>
    <row r="158" spans="12:49" s="70" customFormat="1" x14ac:dyDescent="0.3">
      <c r="L158" s="142"/>
      <c r="M158" s="142"/>
      <c r="N158" s="142"/>
      <c r="O158" s="144"/>
      <c r="P158" s="144"/>
      <c r="AW158" s="69"/>
    </row>
    <row r="159" spans="12:49" s="70" customFormat="1" x14ac:dyDescent="0.3">
      <c r="L159" s="142"/>
      <c r="M159" s="142"/>
      <c r="N159" s="142"/>
      <c r="O159" s="144"/>
      <c r="P159" s="144"/>
      <c r="AW159" s="69"/>
    </row>
    <row r="160" spans="12:49" s="70" customFormat="1" x14ac:dyDescent="0.3">
      <c r="L160" s="142"/>
      <c r="M160" s="142"/>
      <c r="N160" s="142"/>
      <c r="O160" s="144"/>
      <c r="P160" s="144"/>
      <c r="AW160" s="69"/>
    </row>
    <row r="161" spans="1:50" s="70" customFormat="1" x14ac:dyDescent="0.3">
      <c r="L161" s="142"/>
      <c r="M161" s="142"/>
      <c r="N161" s="142"/>
      <c r="O161" s="144"/>
      <c r="P161" s="144"/>
      <c r="AW161" s="69"/>
    </row>
    <row r="162" spans="1:50" s="70" customFormat="1" x14ac:dyDescent="0.3">
      <c r="L162" s="142"/>
      <c r="M162" s="142"/>
      <c r="N162" s="142"/>
      <c r="O162" s="144"/>
      <c r="P162" s="144"/>
      <c r="AW162" s="69"/>
    </row>
    <row r="163" spans="1:50" s="70" customFormat="1" x14ac:dyDescent="0.3">
      <c r="L163" s="142"/>
      <c r="M163" s="142"/>
      <c r="N163" s="142"/>
      <c r="O163" s="144"/>
      <c r="P163" s="144"/>
      <c r="AW163" s="69"/>
    </row>
    <row r="164" spans="1:50" s="70" customFormat="1" x14ac:dyDescent="0.3">
      <c r="L164" s="142"/>
      <c r="M164" s="142"/>
      <c r="N164" s="142"/>
      <c r="O164" s="144"/>
      <c r="P164" s="144"/>
      <c r="AW164" s="69"/>
    </row>
    <row r="165" spans="1:50" s="145" customFormat="1" x14ac:dyDescent="0.3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142"/>
      <c r="M165" s="142"/>
      <c r="N165" s="142"/>
      <c r="O165" s="144"/>
      <c r="P165" s="144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 s="69"/>
      <c r="AX165" s="70"/>
    </row>
    <row r="166" spans="1:50" s="145" customFormat="1" x14ac:dyDescent="0.3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142"/>
      <c r="M166" s="142"/>
      <c r="N166" s="142"/>
      <c r="O166" s="144"/>
      <c r="P166" s="144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69"/>
      <c r="AX166" s="70"/>
    </row>
    <row r="167" spans="1:50" s="145" customFormat="1" x14ac:dyDescent="0.3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142"/>
      <c r="M167" s="142"/>
      <c r="N167" s="142"/>
      <c r="O167" s="144"/>
      <c r="P167" s="144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69"/>
      <c r="AX167" s="70"/>
    </row>
    <row r="168" spans="1:50" s="145" customFormat="1" x14ac:dyDescent="0.3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142"/>
      <c r="M168" s="142"/>
      <c r="N168" s="142"/>
      <c r="O168" s="144"/>
      <c r="P168" s="144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69"/>
      <c r="AX168" s="70"/>
    </row>
    <row r="169" spans="1:50" s="145" customFormat="1" x14ac:dyDescent="0.3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142"/>
      <c r="M169" s="142"/>
      <c r="N169" s="142"/>
      <c r="O169" s="144"/>
      <c r="P169" s="144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69"/>
      <c r="AX169" s="70"/>
    </row>
    <row r="170" spans="1:50" s="145" customFormat="1" x14ac:dyDescent="0.3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142"/>
      <c r="M170" s="142"/>
      <c r="N170" s="142"/>
      <c r="O170" s="144"/>
      <c r="P170" s="144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69"/>
      <c r="AX170" s="70"/>
    </row>
    <row r="171" spans="1:50" s="145" customFormat="1" x14ac:dyDescent="0.3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142"/>
      <c r="M171" s="142"/>
      <c r="N171" s="142"/>
      <c r="O171" s="144"/>
      <c r="P171" s="144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69"/>
      <c r="AX171" s="70"/>
    </row>
    <row r="172" spans="1:50" s="145" customFormat="1" x14ac:dyDescent="0.3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142"/>
      <c r="M172" s="142"/>
      <c r="N172" s="142"/>
      <c r="O172" s="144"/>
      <c r="P172" s="144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69"/>
      <c r="AX172" s="70"/>
    </row>
    <row r="173" spans="1:50" s="145" customFormat="1" x14ac:dyDescent="0.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142"/>
      <c r="M173" s="142"/>
      <c r="N173" s="142"/>
      <c r="O173" s="144"/>
      <c r="P173" s="144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69"/>
      <c r="AX173" s="70"/>
    </row>
    <row r="174" spans="1:50" s="145" customFormat="1" x14ac:dyDescent="0.3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142"/>
      <c r="M174" s="142"/>
      <c r="N174" s="142"/>
      <c r="O174" s="144"/>
      <c r="P174" s="144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69"/>
      <c r="AX174" s="70"/>
    </row>
    <row r="175" spans="1:50" s="145" customFormat="1" x14ac:dyDescent="0.3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142"/>
      <c r="M175" s="142"/>
      <c r="N175" s="142"/>
      <c r="O175" s="144"/>
      <c r="P175" s="144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69"/>
      <c r="AX175" s="70"/>
    </row>
    <row r="176" spans="1:50" s="145" customFormat="1" x14ac:dyDescent="0.3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142"/>
      <c r="M176" s="142"/>
      <c r="N176" s="142"/>
      <c r="O176" s="144"/>
      <c r="P176" s="144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69"/>
      <c r="AX176" s="70"/>
    </row>
    <row r="177" spans="1:50" s="145" customFormat="1" x14ac:dyDescent="0.3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146"/>
      <c r="M177" s="146"/>
      <c r="N177" s="146"/>
      <c r="O177" s="144"/>
      <c r="P177" s="144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69"/>
      <c r="AX177" s="70"/>
    </row>
    <row r="178" spans="1:50" s="145" customFormat="1" x14ac:dyDescent="0.3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146"/>
      <c r="M178" s="146"/>
      <c r="N178" s="146"/>
      <c r="O178" s="144"/>
      <c r="P178" s="144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69"/>
      <c r="AX178" s="70"/>
    </row>
    <row r="179" spans="1:50" s="145" customFormat="1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146"/>
      <c r="M179" s="146"/>
      <c r="N179" s="146"/>
      <c r="O179" s="144"/>
      <c r="P179" s="144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69"/>
      <c r="AX179" s="70"/>
    </row>
    <row r="180" spans="1:50" s="145" customFormat="1" x14ac:dyDescent="0.3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146"/>
      <c r="M180" s="146"/>
      <c r="N180" s="146"/>
      <c r="O180" s="144"/>
      <c r="P180" s="144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69"/>
      <c r="AX180" s="70"/>
    </row>
    <row r="181" spans="1:50" s="145" customFormat="1" x14ac:dyDescent="0.3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146"/>
      <c r="M181" s="146"/>
      <c r="N181" s="146"/>
      <c r="O181" s="144"/>
      <c r="P181" s="144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69"/>
      <c r="AX181" s="70"/>
    </row>
    <row r="182" spans="1:50" x14ac:dyDescent="0.3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146"/>
      <c r="M182" s="146"/>
      <c r="N182" s="146"/>
      <c r="O182" s="147"/>
      <c r="P182" s="144"/>
      <c r="Q182" s="70"/>
      <c r="AW182" s="148"/>
      <c r="AX182" s="148"/>
    </row>
    <row r="183" spans="1:50" x14ac:dyDescent="0.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146"/>
      <c r="M183" s="146"/>
      <c r="N183" s="146"/>
      <c r="O183" s="147"/>
      <c r="P183" s="144"/>
      <c r="Q183" s="70"/>
      <c r="AW183" s="148"/>
      <c r="AX183" s="148"/>
    </row>
    <row r="184" spans="1:50" x14ac:dyDescent="0.3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146"/>
      <c r="M184" s="146"/>
      <c r="N184" s="146"/>
      <c r="O184" s="147"/>
      <c r="P184" s="144"/>
      <c r="Q184" s="70"/>
      <c r="AW184" s="148"/>
      <c r="AX184" s="148"/>
    </row>
    <row r="185" spans="1:50" x14ac:dyDescent="0.3">
      <c r="A185" s="149"/>
      <c r="B185" s="149"/>
      <c r="C185" s="149"/>
      <c r="D185" s="149"/>
      <c r="E185" s="149"/>
      <c r="F185" s="70"/>
      <c r="G185" s="70"/>
      <c r="H185" s="70"/>
      <c r="I185" s="70"/>
      <c r="J185" s="70"/>
      <c r="K185" s="70"/>
      <c r="L185" s="146"/>
      <c r="M185" s="146"/>
      <c r="N185" s="146"/>
      <c r="O185" s="147"/>
      <c r="P185" s="144"/>
      <c r="Q185" s="149"/>
      <c r="AW185" s="148"/>
      <c r="AX185" s="148"/>
    </row>
    <row r="186" spans="1:50" x14ac:dyDescent="0.3">
      <c r="A186" s="149"/>
      <c r="B186" s="149"/>
      <c r="C186" s="149"/>
      <c r="D186" s="149"/>
      <c r="E186" s="149"/>
      <c r="F186" s="149"/>
      <c r="G186" s="149"/>
      <c r="H186" s="149"/>
      <c r="I186" s="70"/>
      <c r="J186" s="70"/>
      <c r="K186" s="70"/>
      <c r="L186" s="146"/>
      <c r="M186" s="146"/>
      <c r="N186" s="146"/>
      <c r="O186" s="147"/>
      <c r="P186" s="144"/>
      <c r="Q186" s="149"/>
      <c r="AW186" s="148"/>
      <c r="AX186" s="148"/>
    </row>
    <row r="187" spans="1:50" x14ac:dyDescent="0.3">
      <c r="A187" s="149"/>
      <c r="B187" s="149"/>
      <c r="C187" s="149"/>
      <c r="D187" s="149"/>
      <c r="E187" s="149"/>
      <c r="F187" s="149"/>
      <c r="G187" s="149"/>
      <c r="H187" s="149"/>
      <c r="I187" s="149"/>
      <c r="J187" s="149"/>
      <c r="K187" s="149"/>
      <c r="L187" s="146"/>
      <c r="M187" s="146"/>
      <c r="N187" s="146"/>
      <c r="O187" s="147"/>
      <c r="P187" s="147"/>
      <c r="Q187" s="149"/>
      <c r="AW187" s="148"/>
      <c r="AX187" s="148"/>
    </row>
    <row r="188" spans="1:50" x14ac:dyDescent="0.3">
      <c r="A188" s="149"/>
      <c r="B188" s="149"/>
      <c r="C188" s="149"/>
      <c r="D188" s="149"/>
      <c r="E188" s="149"/>
      <c r="F188" s="149"/>
      <c r="G188" s="149"/>
      <c r="H188" s="149"/>
      <c r="I188" s="149"/>
      <c r="J188" s="149"/>
      <c r="K188" s="149"/>
      <c r="L188" s="146"/>
      <c r="M188" s="146"/>
      <c r="N188" s="146"/>
      <c r="O188" s="147"/>
      <c r="P188" s="147"/>
      <c r="Q188" s="149"/>
      <c r="AW188" s="148"/>
      <c r="AX188" s="148"/>
    </row>
    <row r="189" spans="1:50" x14ac:dyDescent="0.3">
      <c r="A189" s="149"/>
      <c r="B189" s="149"/>
      <c r="C189" s="149"/>
      <c r="D189" s="149"/>
      <c r="E189" s="149"/>
      <c r="F189" s="149"/>
      <c r="G189" s="149"/>
      <c r="H189" s="149"/>
      <c r="I189" s="149"/>
      <c r="J189" s="149"/>
      <c r="K189" s="149"/>
      <c r="L189" s="146"/>
      <c r="M189" s="146"/>
      <c r="N189" s="146"/>
      <c r="O189" s="147"/>
      <c r="P189" s="147"/>
      <c r="Q189" s="149"/>
      <c r="AW189" s="148"/>
      <c r="AX189" s="148"/>
    </row>
    <row r="190" spans="1:50" x14ac:dyDescent="0.3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6"/>
      <c r="M190" s="146"/>
      <c r="N190" s="146"/>
      <c r="O190" s="147"/>
      <c r="P190" s="147"/>
      <c r="Q190" s="149"/>
      <c r="AW190" s="148"/>
      <c r="AX190" s="148"/>
    </row>
    <row r="191" spans="1:50" x14ac:dyDescent="0.3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6"/>
      <c r="M191" s="146"/>
      <c r="N191" s="146"/>
      <c r="O191" s="147"/>
      <c r="P191" s="147"/>
      <c r="Q191" s="149"/>
      <c r="AW191" s="148"/>
      <c r="AX191" s="148"/>
    </row>
    <row r="192" spans="1:50" x14ac:dyDescent="0.3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6"/>
      <c r="M192" s="146"/>
      <c r="N192" s="146"/>
      <c r="O192" s="147"/>
      <c r="P192" s="147"/>
      <c r="Q192" s="149"/>
      <c r="AW192" s="148"/>
      <c r="AX192" s="148"/>
    </row>
    <row r="193" spans="1:50" x14ac:dyDescent="0.3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6"/>
      <c r="M193" s="146"/>
      <c r="N193" s="146"/>
      <c r="O193" s="147"/>
      <c r="P193" s="147"/>
      <c r="Q193" s="149"/>
      <c r="AW193" s="148"/>
      <c r="AX193" s="148"/>
    </row>
    <row r="194" spans="1:50" x14ac:dyDescent="0.3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O194" s="147"/>
      <c r="P194" s="147"/>
      <c r="Q194" s="149"/>
    </row>
    <row r="195" spans="1:50" x14ac:dyDescent="0.3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O195" s="147"/>
      <c r="P195" s="147"/>
      <c r="Q195" s="14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/>
      <c r="AO195" s="69"/>
      <c r="AP195" s="69"/>
      <c r="AQ195" s="69"/>
      <c r="AR195" s="69"/>
      <c r="AS195" s="69"/>
      <c r="AT195" s="69"/>
      <c r="AU195" s="69"/>
      <c r="AV195" s="69"/>
      <c r="AW195" s="148"/>
      <c r="AX195" s="148"/>
    </row>
    <row r="196" spans="1:50" x14ac:dyDescent="0.3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O196" s="147"/>
      <c r="P196" s="147"/>
      <c r="Q196" s="149"/>
    </row>
    <row r="197" spans="1:50" x14ac:dyDescent="0.3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O197" s="147"/>
      <c r="P197" s="147"/>
    </row>
    <row r="198" spans="1:50" x14ac:dyDescent="0.3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O198" s="147"/>
      <c r="P198" s="147"/>
    </row>
    <row r="199" spans="1:50" x14ac:dyDescent="0.3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P199" s="147"/>
    </row>
    <row r="200" spans="1:50" x14ac:dyDescent="0.3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  <c r="P200" s="147"/>
    </row>
    <row r="201" spans="1:50" x14ac:dyDescent="0.3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  <c r="P201" s="147"/>
    </row>
    <row r="202" spans="1:50" x14ac:dyDescent="0.3">
      <c r="F202" s="149"/>
      <c r="G202" s="149"/>
      <c r="H202" s="149"/>
      <c r="I202" s="149"/>
      <c r="J202" s="149"/>
      <c r="K202" s="149"/>
      <c r="P202" s="147"/>
    </row>
    <row r="203" spans="1:50" x14ac:dyDescent="0.3">
      <c r="I203" s="149"/>
      <c r="J203" s="149"/>
      <c r="K203" s="149"/>
      <c r="O203" s="148"/>
      <c r="P203" s="147"/>
    </row>
    <row r="207" spans="1:50" x14ac:dyDescent="0.3">
      <c r="L207" s="148"/>
      <c r="M207" s="148"/>
      <c r="N207" s="148"/>
    </row>
    <row r="1048539" spans="1:61" s="70" customFormat="1" x14ac:dyDescent="0.3">
      <c r="A1048539" s="148"/>
      <c r="B1048539" s="148"/>
      <c r="C1048539" s="148"/>
      <c r="D1048539" s="148"/>
      <c r="E1048539" s="148"/>
      <c r="F1048539" s="148"/>
      <c r="G1048539" s="148"/>
      <c r="H1048539" s="148"/>
      <c r="I1048539" s="148"/>
      <c r="J1048539" s="148"/>
      <c r="K1048539" s="148"/>
      <c r="L1048539" s="150"/>
      <c r="M1048539" s="150"/>
      <c r="N1048539" s="150"/>
      <c r="O1048539" s="150"/>
      <c r="P1048539" s="150"/>
      <c r="Q1048539" s="148"/>
      <c r="AW1048539" s="69"/>
      <c r="AX1048539" s="69"/>
      <c r="AY1048539" s="148"/>
      <c r="AZ1048539" s="148"/>
      <c r="BA1048539" s="148"/>
      <c r="BB1048539" s="148"/>
      <c r="BC1048539" s="148"/>
      <c r="BD1048539" s="148"/>
      <c r="BE1048539" s="148"/>
      <c r="BF1048539" s="148"/>
      <c r="BG1048539" s="148"/>
      <c r="BH1048539" s="148"/>
      <c r="BI1048539" s="148"/>
    </row>
    <row r="1048541" spans="1:61" x14ac:dyDescent="0.3">
      <c r="Q1048541" s="57"/>
    </row>
  </sheetData>
  <mergeCells count="46">
    <mergeCell ref="A37:Q37"/>
    <mergeCell ref="O58:P58"/>
    <mergeCell ref="A1:Q1"/>
    <mergeCell ref="A2:Q2"/>
    <mergeCell ref="A6:B6"/>
    <mergeCell ref="A7:Q7"/>
    <mergeCell ref="A36:B36"/>
    <mergeCell ref="O48:Q48"/>
    <mergeCell ref="E38:K38"/>
    <mergeCell ref="E39:K39"/>
    <mergeCell ref="A40:K40"/>
    <mergeCell ref="O40:Q40"/>
    <mergeCell ref="A41:O41"/>
    <mergeCell ref="A42:Q42"/>
    <mergeCell ref="E43:K43"/>
    <mergeCell ref="E44:K44"/>
    <mergeCell ref="E45:K45"/>
    <mergeCell ref="A46:K46"/>
    <mergeCell ref="A48:E48"/>
    <mergeCell ref="O62:P62"/>
    <mergeCell ref="O49:P49"/>
    <mergeCell ref="O50:P50"/>
    <mergeCell ref="O51:Q52"/>
    <mergeCell ref="O53:Q53"/>
    <mergeCell ref="O54:P54"/>
    <mergeCell ref="O55:P55"/>
    <mergeCell ref="O56:P56"/>
    <mergeCell ref="O57:P57"/>
    <mergeCell ref="O59:P59"/>
    <mergeCell ref="O60:P60"/>
    <mergeCell ref="O61:P61"/>
    <mergeCell ref="O79:P79"/>
    <mergeCell ref="O63:P63"/>
    <mergeCell ref="O64:P64"/>
    <mergeCell ref="O65:P65"/>
    <mergeCell ref="O66:P66"/>
    <mergeCell ref="O67:P67"/>
    <mergeCell ref="O74:P74"/>
    <mergeCell ref="O75:P75"/>
    <mergeCell ref="O76:P76"/>
    <mergeCell ref="O77:P77"/>
    <mergeCell ref="O78:Q78"/>
    <mergeCell ref="O68:P68"/>
    <mergeCell ref="O69:P69"/>
    <mergeCell ref="O70:P70"/>
    <mergeCell ref="O71:P71"/>
  </mergeCells>
  <pageMargins left="0" right="0" top="0" bottom="0" header="0.31496062992125984" footer="0.31496062992125984"/>
  <pageSetup paperSize="9" scale="1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A1594-1B2D-4BAB-9BEF-ABD0B73D3CB2}">
  <sheetPr>
    <pageSetUpPr fitToPage="1"/>
  </sheetPr>
  <dimension ref="A1:BI1048539"/>
  <sheetViews>
    <sheetView topLeftCell="F19" zoomScale="60" zoomScaleNormal="60" workbookViewId="0">
      <selection activeCell="A24" sqref="A24:XFD24"/>
    </sheetView>
  </sheetViews>
  <sheetFormatPr defaultColWidth="9.109375" defaultRowHeight="13.8" x14ac:dyDescent="0.3"/>
  <cols>
    <col min="1" max="1" width="60.33203125" style="148" customWidth="1"/>
    <col min="2" max="2" width="11.109375" style="148" bestFit="1" customWidth="1"/>
    <col min="3" max="3" width="19" style="148" customWidth="1"/>
    <col min="4" max="4" width="19" style="148" bestFit="1" customWidth="1"/>
    <col min="5" max="5" width="17.109375" style="148" customWidth="1"/>
    <col min="6" max="6" width="19" style="148" bestFit="1" customWidth="1"/>
    <col min="7" max="7" width="16" style="148" customWidth="1"/>
    <col min="8" max="8" width="16.6640625" style="148" bestFit="1" customWidth="1"/>
    <col min="9" max="10" width="14.109375" style="148" bestFit="1" customWidth="1"/>
    <col min="11" max="11" width="15.109375" style="148" bestFit="1" customWidth="1"/>
    <col min="12" max="12" width="18.44140625" style="150" bestFit="1" customWidth="1"/>
    <col min="13" max="13" width="17.5546875" style="150" bestFit="1" customWidth="1"/>
    <col min="14" max="14" width="19" style="150" bestFit="1" customWidth="1"/>
    <col min="15" max="15" width="112.5546875" style="150" bestFit="1" customWidth="1"/>
    <col min="16" max="16" width="12" style="150" customWidth="1"/>
    <col min="17" max="17" width="18.109375" style="148" bestFit="1" customWidth="1"/>
    <col min="18" max="19" width="13.109375" style="70" bestFit="1" customWidth="1"/>
    <col min="20" max="48" width="9.109375" style="70"/>
    <col min="49" max="50" width="9.109375" style="69"/>
    <col min="51" max="16384" width="9.109375" style="148"/>
  </cols>
  <sheetData>
    <row r="1" spans="1:43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</row>
    <row r="2" spans="1:43" s="10" customFormat="1" ht="28.5" customHeight="1" x14ac:dyDescent="0.3">
      <c r="A2" s="571" t="s">
        <v>941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3"/>
    </row>
    <row r="3" spans="1:43" s="10" customFormat="1" ht="30.75" customHeight="1" x14ac:dyDescent="0.3">
      <c r="A3" s="83" t="s">
        <v>3</v>
      </c>
      <c r="B3" s="83" t="s">
        <v>0</v>
      </c>
      <c r="C3" s="83" t="s">
        <v>821</v>
      </c>
      <c r="D3" s="84" t="s">
        <v>1</v>
      </c>
      <c r="E3" s="84" t="s">
        <v>68</v>
      </c>
      <c r="F3" s="84" t="s">
        <v>69</v>
      </c>
      <c r="G3" s="85" t="s">
        <v>2</v>
      </c>
      <c r="H3" s="85" t="s">
        <v>592</v>
      </c>
      <c r="I3" s="84" t="s">
        <v>6</v>
      </c>
      <c r="J3" s="84" t="s">
        <v>764</v>
      </c>
      <c r="K3" s="84" t="s">
        <v>7</v>
      </c>
      <c r="L3" s="84" t="s">
        <v>4</v>
      </c>
      <c r="M3" s="84" t="s">
        <v>5</v>
      </c>
      <c r="N3" s="84" t="s">
        <v>70</v>
      </c>
      <c r="O3" s="83" t="s">
        <v>59</v>
      </c>
      <c r="P3" s="86" t="s">
        <v>8</v>
      </c>
      <c r="Q3" s="86" t="s">
        <v>10</v>
      </c>
    </row>
    <row r="4" spans="1:43" s="15" customFormat="1" ht="15" customHeight="1" x14ac:dyDescent="0.3">
      <c r="A4" s="95" t="s">
        <v>929</v>
      </c>
      <c r="B4" s="90">
        <v>12</v>
      </c>
      <c r="C4" s="90" t="s">
        <v>829</v>
      </c>
      <c r="D4" s="5">
        <f>'GERAL 2024'!G37</f>
        <v>610</v>
      </c>
      <c r="E4" s="5">
        <v>0</v>
      </c>
      <c r="F4" s="5">
        <f>D4-E4</f>
        <v>610</v>
      </c>
      <c r="G4" s="2">
        <v>50</v>
      </c>
      <c r="H4" s="2">
        <f>(1541.7/27)</f>
        <v>57.1</v>
      </c>
      <c r="I4" s="2">
        <f>'GERAL 2024'!I36</f>
        <v>1.3105200945626476</v>
      </c>
      <c r="J4" s="2">
        <f>'GERAL 2024'!K36</f>
        <v>0.79837470449172576</v>
      </c>
      <c r="K4" s="2">
        <v>0</v>
      </c>
      <c r="L4" s="109">
        <f>SUM(F4:K4)</f>
        <v>719.20889479905441</v>
      </c>
      <c r="M4" s="2">
        <f>60%*(D4+G4)</f>
        <v>396</v>
      </c>
      <c r="N4" s="2">
        <f>L4-M4</f>
        <v>323.20889479905441</v>
      </c>
      <c r="O4" s="5" t="s">
        <v>945</v>
      </c>
      <c r="P4" s="3">
        <v>10</v>
      </c>
      <c r="Q4" s="4">
        <v>11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</row>
    <row r="5" spans="1:43" s="199" customFormat="1" ht="15" customHeight="1" x14ac:dyDescent="0.3">
      <c r="A5" s="193"/>
      <c r="B5" s="193"/>
      <c r="C5" s="193"/>
      <c r="D5" s="196">
        <v>0</v>
      </c>
      <c r="E5" s="196">
        <v>0</v>
      </c>
      <c r="F5" s="196">
        <f>D5-E5</f>
        <v>0</v>
      </c>
      <c r="G5" s="192">
        <v>0</v>
      </c>
      <c r="H5" s="192">
        <v>0</v>
      </c>
      <c r="I5" s="192">
        <v>0</v>
      </c>
      <c r="J5" s="192">
        <v>0</v>
      </c>
      <c r="K5" s="192">
        <v>0</v>
      </c>
      <c r="L5" s="191">
        <f>SUM(F5:K5)</f>
        <v>0</v>
      </c>
      <c r="M5" s="192">
        <f>60%*(D5+G5)</f>
        <v>0</v>
      </c>
      <c r="N5" s="192">
        <f>L5-M5</f>
        <v>0</v>
      </c>
      <c r="O5" s="193"/>
      <c r="P5" s="197"/>
      <c r="Q5" s="194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8"/>
      <c r="AK5" s="198"/>
      <c r="AL5" s="198"/>
      <c r="AM5" s="198"/>
      <c r="AN5" s="198"/>
      <c r="AO5" s="198"/>
      <c r="AP5" s="198"/>
      <c r="AQ5" s="198"/>
    </row>
    <row r="6" spans="1:43" s="10" customFormat="1" x14ac:dyDescent="0.3">
      <c r="A6" s="518" t="s">
        <v>4</v>
      </c>
      <c r="B6" s="518"/>
      <c r="C6" s="95"/>
      <c r="D6" s="109">
        <f>SUM(D4:D5)</f>
        <v>610</v>
      </c>
      <c r="E6" s="109">
        <f t="shared" ref="E6:N6" si="0">SUM(E4:E5)</f>
        <v>0</v>
      </c>
      <c r="F6" s="109">
        <f>SUM(F4:F5)</f>
        <v>610</v>
      </c>
      <c r="G6" s="109">
        <f>SUM(G4:G5)</f>
        <v>50</v>
      </c>
      <c r="H6" s="109">
        <f t="shared" si="0"/>
        <v>57.1</v>
      </c>
      <c r="I6" s="109">
        <f t="shared" si="0"/>
        <v>1.3105200945626476</v>
      </c>
      <c r="J6" s="109">
        <f t="shared" si="0"/>
        <v>0.79837470449172576</v>
      </c>
      <c r="K6" s="109">
        <f t="shared" si="0"/>
        <v>0</v>
      </c>
      <c r="L6" s="109">
        <f t="shared" si="0"/>
        <v>719.20889479905441</v>
      </c>
      <c r="M6" s="109">
        <f t="shared" si="0"/>
        <v>396</v>
      </c>
      <c r="N6" s="109">
        <f t="shared" si="0"/>
        <v>323.20889479905441</v>
      </c>
      <c r="O6" s="90"/>
      <c r="P6" s="3"/>
      <c r="Q6" s="3"/>
    </row>
    <row r="7" spans="1:43" s="10" customFormat="1" ht="28.5" customHeight="1" x14ac:dyDescent="0.3">
      <c r="A7" s="571" t="s">
        <v>942</v>
      </c>
      <c r="B7" s="572"/>
      <c r="C7" s="572"/>
      <c r="D7" s="572"/>
      <c r="E7" s="572"/>
      <c r="F7" s="572"/>
      <c r="G7" s="572"/>
      <c r="H7" s="572"/>
      <c r="I7" s="572"/>
      <c r="J7" s="572"/>
      <c r="K7" s="572"/>
      <c r="L7" s="572"/>
      <c r="M7" s="572"/>
      <c r="N7" s="572"/>
      <c r="O7" s="572"/>
      <c r="P7" s="572"/>
      <c r="Q7" s="573"/>
    </row>
    <row r="8" spans="1:43" s="11" customFormat="1" ht="34.5" customHeight="1" x14ac:dyDescent="0.3">
      <c r="A8" s="83" t="s">
        <v>3</v>
      </c>
      <c r="B8" s="83" t="s">
        <v>0</v>
      </c>
      <c r="C8" s="83" t="s">
        <v>821</v>
      </c>
      <c r="D8" s="84" t="s">
        <v>1</v>
      </c>
      <c r="E8" s="84" t="s">
        <v>68</v>
      </c>
      <c r="F8" s="84" t="s">
        <v>69</v>
      </c>
      <c r="G8" s="85" t="s">
        <v>2</v>
      </c>
      <c r="H8" s="85" t="s">
        <v>592</v>
      </c>
      <c r="I8" s="84" t="s">
        <v>6</v>
      </c>
      <c r="J8" s="84" t="s">
        <v>764</v>
      </c>
      <c r="K8" s="84" t="s">
        <v>7</v>
      </c>
      <c r="L8" s="84" t="s">
        <v>4</v>
      </c>
      <c r="M8" s="84" t="s">
        <v>5</v>
      </c>
      <c r="N8" s="84" t="s">
        <v>70</v>
      </c>
      <c r="O8" s="83" t="s">
        <v>59</v>
      </c>
      <c r="P8" s="86" t="s">
        <v>8</v>
      </c>
      <c r="Q8" s="86" t="s">
        <v>10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</row>
    <row r="9" spans="1:43" s="15" customFormat="1" x14ac:dyDescent="0.3">
      <c r="A9" s="88" t="s">
        <v>766</v>
      </c>
      <c r="B9" s="90">
        <v>1</v>
      </c>
      <c r="C9" s="90" t="s">
        <v>822</v>
      </c>
      <c r="D9" s="5">
        <v>0</v>
      </c>
      <c r="E9" s="2">
        <v>0</v>
      </c>
      <c r="F9" s="2">
        <f t="shared" ref="F9:F25" si="1">D9-E9</f>
        <v>0</v>
      </c>
      <c r="G9" s="5">
        <v>0</v>
      </c>
      <c r="H9" s="2">
        <f>(1541.7/27)</f>
        <v>57.1</v>
      </c>
      <c r="I9" s="2">
        <f>'GERAL 2024'!I3</f>
        <v>1.3105200945626476</v>
      </c>
      <c r="J9" s="2">
        <f>'GERAL 2024'!K3</f>
        <v>0.79837470449172576</v>
      </c>
      <c r="K9" s="2">
        <v>0</v>
      </c>
      <c r="L9" s="109">
        <f t="shared" ref="L9:L35" si="2">SUM(F9:K9)</f>
        <v>59.208894799054377</v>
      </c>
      <c r="M9" s="2">
        <f>7%*L9</f>
        <v>4.144622635933807</v>
      </c>
      <c r="N9" s="2">
        <f>L9-M9</f>
        <v>55.06427216312057</v>
      </c>
      <c r="O9" s="5" t="s">
        <v>946</v>
      </c>
      <c r="P9" s="3">
        <v>10</v>
      </c>
      <c r="Q9" s="3">
        <v>11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</row>
    <row r="10" spans="1:43" s="96" customFormat="1" x14ac:dyDescent="0.3">
      <c r="A10" s="90"/>
      <c r="B10" s="4">
        <v>2</v>
      </c>
      <c r="C10" s="4"/>
      <c r="D10" s="5">
        <v>0</v>
      </c>
      <c r="E10" s="5">
        <v>0</v>
      </c>
      <c r="F10" s="5">
        <f t="shared" si="1"/>
        <v>0</v>
      </c>
      <c r="G10" s="5">
        <v>0</v>
      </c>
      <c r="H10" s="2">
        <v>0</v>
      </c>
      <c r="I10" s="2">
        <v>0</v>
      </c>
      <c r="J10" s="2">
        <v>0</v>
      </c>
      <c r="K10" s="5">
        <v>0</v>
      </c>
      <c r="L10" s="109">
        <f t="shared" si="2"/>
        <v>0</v>
      </c>
      <c r="M10" s="2">
        <f>7%*L10</f>
        <v>0</v>
      </c>
      <c r="N10" s="2">
        <f t="shared" ref="N10:N34" si="3">L10-M10</f>
        <v>0</v>
      </c>
      <c r="O10" s="90" t="s">
        <v>525</v>
      </c>
      <c r="P10" s="3"/>
      <c r="Q10" s="3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6"/>
      <c r="AN10" s="17"/>
      <c r="AO10" s="17"/>
      <c r="AP10" s="17"/>
      <c r="AQ10" s="17"/>
    </row>
    <row r="11" spans="1:43" s="6" customFormat="1" x14ac:dyDescent="0.3">
      <c r="A11" s="90" t="s">
        <v>753</v>
      </c>
      <c r="B11" s="4">
        <v>3</v>
      </c>
      <c r="C11" s="4" t="s">
        <v>822</v>
      </c>
      <c r="D11" s="5">
        <f>'GERAL 2022'!G5</f>
        <v>550</v>
      </c>
      <c r="E11" s="5">
        <v>0</v>
      </c>
      <c r="F11" s="5">
        <f t="shared" ref="F11:F16" si="4">D11-E11</f>
        <v>550</v>
      </c>
      <c r="G11" s="5">
        <v>0</v>
      </c>
      <c r="H11" s="2">
        <f t="shared" ref="H11:H35" si="5">(1541.7/27)</f>
        <v>57.1</v>
      </c>
      <c r="I11" s="2">
        <f>'GERAL 2024'!I5</f>
        <v>1.3105200945626476</v>
      </c>
      <c r="J11" s="2">
        <f>'GERAL 2024'!K5</f>
        <v>0.79837470449172576</v>
      </c>
      <c r="K11" s="5">
        <v>0</v>
      </c>
      <c r="L11" s="109">
        <f t="shared" si="2"/>
        <v>609.20889479905441</v>
      </c>
      <c r="M11" s="2">
        <f t="shared" ref="M11:M35" si="6">7%*L11</f>
        <v>42.644622635933814</v>
      </c>
      <c r="N11" s="2">
        <f t="shared" si="3"/>
        <v>566.56427216312056</v>
      </c>
      <c r="O11" s="90" t="s">
        <v>945</v>
      </c>
      <c r="P11" s="3">
        <v>10</v>
      </c>
      <c r="Q11" s="3">
        <v>11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spans="1:43" s="15" customFormat="1" ht="15" customHeight="1" x14ac:dyDescent="0.3">
      <c r="A12" s="90" t="s">
        <v>842</v>
      </c>
      <c r="B12" s="90">
        <v>4</v>
      </c>
      <c r="C12" s="90" t="s">
        <v>832</v>
      </c>
      <c r="D12" s="5">
        <f>'GERAL 2023'!G40</f>
        <v>610</v>
      </c>
      <c r="E12" s="5">
        <v>0</v>
      </c>
      <c r="F12" s="5">
        <f t="shared" si="4"/>
        <v>610</v>
      </c>
      <c r="G12" s="2">
        <v>50</v>
      </c>
      <c r="H12" s="2">
        <f t="shared" si="5"/>
        <v>57.1</v>
      </c>
      <c r="I12" s="2">
        <f>'GERAL 2024'!I6</f>
        <v>1.3105200945626476</v>
      </c>
      <c r="J12" s="2">
        <f>'GERAL 2024'!K6</f>
        <v>0.79837470449172576</v>
      </c>
      <c r="K12" s="2">
        <v>0</v>
      </c>
      <c r="L12" s="109">
        <f t="shared" si="2"/>
        <v>719.20889479905441</v>
      </c>
      <c r="M12" s="2">
        <f>7%*L12</f>
        <v>50.34462263593381</v>
      </c>
      <c r="N12" s="2">
        <f t="shared" si="3"/>
        <v>668.86427216312063</v>
      </c>
      <c r="O12" s="90" t="s">
        <v>945</v>
      </c>
      <c r="P12" s="3">
        <v>10</v>
      </c>
      <c r="Q12" s="4">
        <v>11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</row>
    <row r="13" spans="1:43" s="15" customFormat="1" x14ac:dyDescent="0.3">
      <c r="A13" s="90" t="s">
        <v>744</v>
      </c>
      <c r="B13" s="90">
        <v>5</v>
      </c>
      <c r="C13" s="90" t="s">
        <v>823</v>
      </c>
      <c r="D13" s="5">
        <f>'GERAL 2023'!G7</f>
        <v>580</v>
      </c>
      <c r="E13" s="2">
        <v>0</v>
      </c>
      <c r="F13" s="2">
        <f t="shared" si="4"/>
        <v>580</v>
      </c>
      <c r="G13" s="2">
        <f>50</f>
        <v>50</v>
      </c>
      <c r="H13" s="2">
        <f t="shared" si="5"/>
        <v>57.1</v>
      </c>
      <c r="I13" s="2">
        <f>'GERAL 2024'!I7</f>
        <v>1.3105200945626476</v>
      </c>
      <c r="J13" s="2">
        <f>'GERAL 2024'!K7</f>
        <v>0.79837470449172576</v>
      </c>
      <c r="K13" s="2">
        <v>21.07</v>
      </c>
      <c r="L13" s="109">
        <f t="shared" si="2"/>
        <v>710.27889479905446</v>
      </c>
      <c r="M13" s="2">
        <f>7%*L13</f>
        <v>49.719522635933814</v>
      </c>
      <c r="N13" s="2">
        <f t="shared" si="3"/>
        <v>660.55937216312066</v>
      </c>
      <c r="O13" s="90" t="s">
        <v>947</v>
      </c>
      <c r="P13" s="3">
        <v>10</v>
      </c>
      <c r="Q13" s="3">
        <v>11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</row>
    <row r="14" spans="1:43" s="11" customFormat="1" x14ac:dyDescent="0.3">
      <c r="A14" s="90" t="s">
        <v>745</v>
      </c>
      <c r="B14" s="90">
        <v>6</v>
      </c>
      <c r="C14" s="90" t="s">
        <v>823</v>
      </c>
      <c r="D14" s="5">
        <f>'GERAL 2023'!G8</f>
        <v>680</v>
      </c>
      <c r="E14" s="5">
        <v>0</v>
      </c>
      <c r="F14" s="2">
        <f t="shared" si="4"/>
        <v>680</v>
      </c>
      <c r="G14" s="2">
        <v>50</v>
      </c>
      <c r="H14" s="2">
        <f t="shared" si="5"/>
        <v>57.1</v>
      </c>
      <c r="I14" s="2">
        <f>'GERAL 2024'!I8</f>
        <v>1.8347281323877069</v>
      </c>
      <c r="J14" s="2">
        <f>'GERAL 2024'!K8</f>
        <v>1.1177245862884162</v>
      </c>
      <c r="K14" s="2">
        <v>21.28</v>
      </c>
      <c r="L14" s="109">
        <f t="shared" si="2"/>
        <v>811.33245271867611</v>
      </c>
      <c r="M14" s="2">
        <f t="shared" si="6"/>
        <v>56.793271690307336</v>
      </c>
      <c r="N14" s="2">
        <f>L14-M14</f>
        <v>754.53918102836883</v>
      </c>
      <c r="O14" s="90" t="s">
        <v>947</v>
      </c>
      <c r="P14" s="3">
        <v>10</v>
      </c>
      <c r="Q14" s="3">
        <v>11</v>
      </c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</row>
    <row r="15" spans="1:43" s="15" customFormat="1" x14ac:dyDescent="0.3">
      <c r="A15" s="90" t="s">
        <v>791</v>
      </c>
      <c r="B15" s="90">
        <v>7</v>
      </c>
      <c r="C15" s="90" t="s">
        <v>822</v>
      </c>
      <c r="D15" s="5">
        <f>'GERAL 2023'!G35</f>
        <v>610</v>
      </c>
      <c r="E15" s="2">
        <v>0</v>
      </c>
      <c r="F15" s="5">
        <f t="shared" si="4"/>
        <v>610</v>
      </c>
      <c r="G15" s="2">
        <v>50</v>
      </c>
      <c r="H15" s="2">
        <f t="shared" si="5"/>
        <v>57.1</v>
      </c>
      <c r="I15" s="2">
        <f>'GERAL 2024'!I9</f>
        <v>1.3105200945626476</v>
      </c>
      <c r="J15" s="2">
        <f>'GERAL 2024'!K9</f>
        <v>0.79837470449172576</v>
      </c>
      <c r="K15" s="2">
        <v>0</v>
      </c>
      <c r="L15" s="109">
        <f t="shared" si="2"/>
        <v>719.20889479905441</v>
      </c>
      <c r="M15" s="2">
        <f t="shared" si="6"/>
        <v>50.34462263593381</v>
      </c>
      <c r="N15" s="2">
        <f t="shared" si="3"/>
        <v>668.86427216312063</v>
      </c>
      <c r="O15" s="90" t="s">
        <v>945</v>
      </c>
      <c r="P15" s="3">
        <v>10</v>
      </c>
      <c r="Q15" s="3">
        <v>11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</row>
    <row r="16" spans="1:43" s="15" customFormat="1" x14ac:dyDescent="0.3">
      <c r="A16" s="90" t="s">
        <v>746</v>
      </c>
      <c r="B16" s="90">
        <v>8</v>
      </c>
      <c r="C16" s="90" t="s">
        <v>824</v>
      </c>
      <c r="D16" s="5">
        <f>'GERAL 2022'!G37/30*26</f>
        <v>502.66666666666663</v>
      </c>
      <c r="E16" s="2">
        <v>0</v>
      </c>
      <c r="F16" s="5">
        <f t="shared" si="4"/>
        <v>502.66666666666663</v>
      </c>
      <c r="G16" s="2">
        <f>50/30*26</f>
        <v>43.333333333333336</v>
      </c>
      <c r="H16" s="2">
        <f>(1541.7/27)/30*26</f>
        <v>49.486666666666665</v>
      </c>
      <c r="I16" s="2">
        <f>'GERAL 2024'!I10/30*26</f>
        <v>1.1357840819542946</v>
      </c>
      <c r="J16" s="2">
        <f>'GERAL 2024'!K10/30*26</f>
        <v>0.69192474389282899</v>
      </c>
      <c r="K16" s="2">
        <v>0</v>
      </c>
      <c r="L16" s="109">
        <f t="shared" si="2"/>
        <v>597.31437549251382</v>
      </c>
      <c r="M16" s="2">
        <f>7%*L16</f>
        <v>41.81200628447597</v>
      </c>
      <c r="N16" s="2">
        <f>L16-M16</f>
        <v>555.50236920803786</v>
      </c>
      <c r="O16" s="90" t="s">
        <v>954</v>
      </c>
      <c r="P16" s="125">
        <v>10</v>
      </c>
      <c r="Q16" s="3">
        <v>11</v>
      </c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</row>
    <row r="17" spans="1:48" s="15" customFormat="1" x14ac:dyDescent="0.3">
      <c r="A17" s="90" t="s">
        <v>852</v>
      </c>
      <c r="B17" s="90">
        <v>9</v>
      </c>
      <c r="C17" s="90" t="s">
        <v>828</v>
      </c>
      <c r="D17" s="5">
        <f>'GERAL 2024'!G11</f>
        <v>640</v>
      </c>
      <c r="E17" s="2">
        <v>0</v>
      </c>
      <c r="F17" s="5">
        <f t="shared" si="1"/>
        <v>640</v>
      </c>
      <c r="G17" s="2">
        <v>0</v>
      </c>
      <c r="H17" s="2">
        <f>(1541.7/27)</f>
        <v>57.1</v>
      </c>
      <c r="I17" s="2">
        <f>'GERAL 2024'!I11</f>
        <v>1.3105200945626476</v>
      </c>
      <c r="J17" s="2">
        <f>'GERAL 2024'!K11</f>
        <v>0.79837470449172576</v>
      </c>
      <c r="K17" s="2">
        <v>19.809999999999999</v>
      </c>
      <c r="L17" s="109">
        <f t="shared" si="2"/>
        <v>719.01889479905435</v>
      </c>
      <c r="M17" s="2">
        <f>7%*L17</f>
        <v>50.331322635933809</v>
      </c>
      <c r="N17" s="2">
        <f>L17-M17</f>
        <v>668.68757216312054</v>
      </c>
      <c r="O17" s="90" t="s">
        <v>948</v>
      </c>
      <c r="P17" s="125">
        <v>10</v>
      </c>
      <c r="Q17" s="3">
        <v>11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8" s="69" customFormat="1" x14ac:dyDescent="0.3">
      <c r="A18" s="4" t="s">
        <v>739</v>
      </c>
      <c r="B18" s="4">
        <v>10</v>
      </c>
      <c r="C18" s="4" t="s">
        <v>825</v>
      </c>
      <c r="D18" s="5">
        <f>'GERAL 2022'!G38</f>
        <v>550</v>
      </c>
      <c r="E18" s="2">
        <v>0</v>
      </c>
      <c r="F18" s="5">
        <f t="shared" si="1"/>
        <v>550</v>
      </c>
      <c r="G18" s="2">
        <v>50</v>
      </c>
      <c r="H18" s="2">
        <f t="shared" si="5"/>
        <v>57.1</v>
      </c>
      <c r="I18" s="2">
        <f>'GERAL 2024'!I12</f>
        <v>1.3105200945626476</v>
      </c>
      <c r="J18" s="2">
        <f>'GERAL 2024'!K12</f>
        <v>0.79837470449172576</v>
      </c>
      <c r="K18" s="2">
        <v>0</v>
      </c>
      <c r="L18" s="109">
        <f t="shared" si="2"/>
        <v>659.20889479905441</v>
      </c>
      <c r="M18" s="2">
        <f t="shared" si="6"/>
        <v>46.144622635933814</v>
      </c>
      <c r="N18" s="2">
        <f t="shared" si="3"/>
        <v>613.06427216312056</v>
      </c>
      <c r="O18" s="90" t="s">
        <v>945</v>
      </c>
      <c r="P18" s="3">
        <v>10</v>
      </c>
      <c r="Q18" s="4">
        <v>11</v>
      </c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8" s="69" customFormat="1" ht="15.75" customHeight="1" x14ac:dyDescent="0.3">
      <c r="A19" s="4"/>
      <c r="B19" s="4">
        <v>11</v>
      </c>
      <c r="C19" s="4"/>
      <c r="D19" s="2">
        <v>0</v>
      </c>
      <c r="E19" s="2">
        <v>0</v>
      </c>
      <c r="F19" s="5">
        <f t="shared" si="1"/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109">
        <f t="shared" si="2"/>
        <v>0</v>
      </c>
      <c r="M19" s="2">
        <f>7%*L19</f>
        <v>0</v>
      </c>
      <c r="N19" s="2">
        <f t="shared" si="3"/>
        <v>0</v>
      </c>
      <c r="O19" s="5" t="s">
        <v>904</v>
      </c>
      <c r="P19" s="3"/>
      <c r="Q19" s="4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8" s="15" customFormat="1" x14ac:dyDescent="0.3">
      <c r="A20" s="90" t="s">
        <v>929</v>
      </c>
      <c r="B20" s="90">
        <v>12</v>
      </c>
      <c r="C20" s="90" t="s">
        <v>829</v>
      </c>
      <c r="D20" s="5">
        <v>0</v>
      </c>
      <c r="E20" s="2">
        <v>0</v>
      </c>
      <c r="F20" s="5">
        <f t="shared" si="1"/>
        <v>0</v>
      </c>
      <c r="G20" s="5">
        <v>0</v>
      </c>
      <c r="H20" s="2">
        <v>0</v>
      </c>
      <c r="I20" s="2">
        <v>0</v>
      </c>
      <c r="J20" s="2">
        <v>0</v>
      </c>
      <c r="K20" s="5">
        <v>0</v>
      </c>
      <c r="L20" s="109">
        <f t="shared" si="2"/>
        <v>0</v>
      </c>
      <c r="M20" s="2">
        <f t="shared" si="6"/>
        <v>0</v>
      </c>
      <c r="N20" s="2">
        <f t="shared" si="3"/>
        <v>0</v>
      </c>
      <c r="O20" s="5" t="s">
        <v>108</v>
      </c>
      <c r="P20" s="3">
        <v>10</v>
      </c>
      <c r="Q20" s="3">
        <v>11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</row>
    <row r="21" spans="1:48" s="11" customFormat="1" ht="16.5" customHeight="1" x14ac:dyDescent="0.3">
      <c r="A21" s="90" t="s">
        <v>756</v>
      </c>
      <c r="B21" s="90">
        <v>13</v>
      </c>
      <c r="C21" s="90" t="s">
        <v>827</v>
      </c>
      <c r="D21" s="5">
        <f>'GERAL 2022'!G15</f>
        <v>550</v>
      </c>
      <c r="E21" s="5">
        <v>0</v>
      </c>
      <c r="F21" s="5">
        <f t="shared" si="1"/>
        <v>550</v>
      </c>
      <c r="G21" s="2">
        <v>0</v>
      </c>
      <c r="H21" s="2">
        <f t="shared" si="5"/>
        <v>57.1</v>
      </c>
      <c r="I21" s="2">
        <f>'GERAL 2024'!I15</f>
        <v>1.3105200945626476</v>
      </c>
      <c r="J21" s="2">
        <f>'GERAL 2024'!K15</f>
        <v>0.79837470449172576</v>
      </c>
      <c r="K21" s="2">
        <v>0</v>
      </c>
      <c r="L21" s="109">
        <f t="shared" si="2"/>
        <v>609.20889479905441</v>
      </c>
      <c r="M21" s="2">
        <f t="shared" si="6"/>
        <v>42.644622635933814</v>
      </c>
      <c r="N21" s="2">
        <f t="shared" si="3"/>
        <v>566.56427216312056</v>
      </c>
      <c r="O21" s="90" t="s">
        <v>945</v>
      </c>
      <c r="P21" s="3">
        <v>10</v>
      </c>
      <c r="Q21" s="3">
        <v>11</v>
      </c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</row>
    <row r="22" spans="1:48" s="69" customFormat="1" x14ac:dyDescent="0.3">
      <c r="A22" s="4" t="s">
        <v>747</v>
      </c>
      <c r="B22" s="4">
        <v>14</v>
      </c>
      <c r="C22" s="90" t="s">
        <v>832</v>
      </c>
      <c r="D22" s="5">
        <f>'GERAL 2022'!G39</f>
        <v>580</v>
      </c>
      <c r="E22" s="2">
        <v>0</v>
      </c>
      <c r="F22" s="5">
        <f t="shared" si="1"/>
        <v>580</v>
      </c>
      <c r="G22" s="2">
        <f>50</f>
        <v>50</v>
      </c>
      <c r="H22" s="2">
        <f t="shared" si="5"/>
        <v>57.1</v>
      </c>
      <c r="I22" s="2">
        <f>'GERAL 2024'!I16</f>
        <v>1.3105200945626476</v>
      </c>
      <c r="J22" s="2">
        <f>'GERAL 2024'!K16</f>
        <v>0.79837470449172576</v>
      </c>
      <c r="K22" s="2">
        <v>0</v>
      </c>
      <c r="L22" s="109">
        <f t="shared" si="2"/>
        <v>689.20889479905441</v>
      </c>
      <c r="M22" s="2">
        <f t="shared" si="6"/>
        <v>48.244622635933816</v>
      </c>
      <c r="N22" s="2">
        <f t="shared" si="3"/>
        <v>640.96427216312054</v>
      </c>
      <c r="O22" s="90" t="s">
        <v>945</v>
      </c>
      <c r="P22" s="3">
        <v>10</v>
      </c>
      <c r="Q22" s="4">
        <v>11</v>
      </c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8" s="6" customFormat="1" x14ac:dyDescent="0.3">
      <c r="A23" s="90" t="s">
        <v>748</v>
      </c>
      <c r="B23" s="90">
        <v>15</v>
      </c>
      <c r="C23" s="90" t="s">
        <v>827</v>
      </c>
      <c r="D23" s="5">
        <f>'GERAL 2023'!G36</f>
        <v>680</v>
      </c>
      <c r="E23" s="2">
        <v>0</v>
      </c>
      <c r="F23" s="5">
        <f t="shared" si="1"/>
        <v>680</v>
      </c>
      <c r="G23" s="2">
        <v>25</v>
      </c>
      <c r="H23" s="2">
        <f t="shared" si="5"/>
        <v>57.1</v>
      </c>
      <c r="I23" s="2">
        <f>'GERAL 2024'!I17</f>
        <v>1.8347281323877069</v>
      </c>
      <c r="J23" s="2">
        <f>'GERAL 2024'!K17</f>
        <v>1.1177245862884162</v>
      </c>
      <c r="K23" s="2">
        <v>0</v>
      </c>
      <c r="L23" s="109">
        <f t="shared" si="2"/>
        <v>765.05245271867614</v>
      </c>
      <c r="M23" s="2">
        <f t="shared" si="6"/>
        <v>53.553671690307333</v>
      </c>
      <c r="N23" s="2">
        <f t="shared" si="3"/>
        <v>711.49878102836885</v>
      </c>
      <c r="O23" s="90" t="s">
        <v>945</v>
      </c>
      <c r="P23" s="3">
        <v>10</v>
      </c>
      <c r="Q23" s="4">
        <v>11</v>
      </c>
      <c r="R23" s="9"/>
      <c r="S23" s="9"/>
      <c r="T23" s="9"/>
      <c r="U23" s="9"/>
      <c r="V23" s="9"/>
      <c r="W23" s="9"/>
      <c r="X23" s="9"/>
      <c r="Y23" s="9"/>
      <c r="Z23" s="9"/>
    </row>
    <row r="24" spans="1:48" s="11" customFormat="1" x14ac:dyDescent="0.3">
      <c r="A24" s="3" t="s">
        <v>894</v>
      </c>
      <c r="B24" s="3">
        <v>16</v>
      </c>
      <c r="C24" s="90" t="s">
        <v>823</v>
      </c>
      <c r="D24" s="5">
        <f>'GERAL 2024'!G34</f>
        <v>640</v>
      </c>
      <c r="E24" s="2">
        <v>0</v>
      </c>
      <c r="F24" s="5">
        <f>D24-E24</f>
        <v>640</v>
      </c>
      <c r="G24" s="2">
        <f>50</f>
        <v>50</v>
      </c>
      <c r="H24" s="2">
        <f>(1541.7/27)</f>
        <v>57.1</v>
      </c>
      <c r="I24" s="2">
        <f>'GERAL 2024'!I34</f>
        <v>1.3105200945626476</v>
      </c>
      <c r="J24" s="2">
        <f>'GERAL 2024'!K34</f>
        <v>0.79837470449172576</v>
      </c>
      <c r="K24" s="2">
        <v>21.2</v>
      </c>
      <c r="L24" s="109">
        <f t="shared" si="2"/>
        <v>770.40889479905445</v>
      </c>
      <c r="M24" s="2">
        <f t="shared" si="6"/>
        <v>53.92862263593382</v>
      </c>
      <c r="N24" s="2">
        <f t="shared" si="3"/>
        <v>716.48027216312062</v>
      </c>
      <c r="O24" s="90" t="s">
        <v>947</v>
      </c>
      <c r="P24" s="3">
        <v>10</v>
      </c>
      <c r="Q24" s="3">
        <v>11</v>
      </c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</row>
    <row r="25" spans="1:48" s="11" customFormat="1" x14ac:dyDescent="0.3">
      <c r="A25" s="88" t="s">
        <v>902</v>
      </c>
      <c r="B25" s="88">
        <v>17</v>
      </c>
      <c r="C25" s="88" t="s">
        <v>823</v>
      </c>
      <c r="D25" s="5">
        <f>'GERAL 2024'!G35</f>
        <v>640</v>
      </c>
      <c r="E25" s="2">
        <v>0</v>
      </c>
      <c r="F25" s="5">
        <f t="shared" si="1"/>
        <v>640</v>
      </c>
      <c r="G25" s="2">
        <v>50</v>
      </c>
      <c r="H25" s="2">
        <f>(1541.7/27)</f>
        <v>57.1</v>
      </c>
      <c r="I25" s="2">
        <f>'GERAL 2024'!I35</f>
        <v>1.3105200945626476</v>
      </c>
      <c r="J25" s="2">
        <f>'GERAL 2024'!K35</f>
        <v>0.79837470449172576</v>
      </c>
      <c r="K25" s="2">
        <v>21.2</v>
      </c>
      <c r="L25" s="109">
        <f t="shared" si="2"/>
        <v>770.40889479905445</v>
      </c>
      <c r="M25" s="2">
        <f>7%*L25</f>
        <v>53.92862263593382</v>
      </c>
      <c r="N25" s="2">
        <f>L25-M25</f>
        <v>716.48027216312062</v>
      </c>
      <c r="O25" s="90" t="s">
        <v>947</v>
      </c>
      <c r="P25" s="3">
        <v>10</v>
      </c>
      <c r="Q25" s="3">
        <v>11</v>
      </c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</row>
    <row r="26" spans="1:48" s="11" customFormat="1" x14ac:dyDescent="0.3">
      <c r="A26" s="88" t="s">
        <v>749</v>
      </c>
      <c r="B26" s="90">
        <v>18</v>
      </c>
      <c r="C26" s="90" t="s">
        <v>830</v>
      </c>
      <c r="D26" s="5">
        <f>'GERAL 2023'!G20</f>
        <v>640</v>
      </c>
      <c r="E26" s="2">
        <v>0</v>
      </c>
      <c r="F26" s="5">
        <f>D26-E26</f>
        <v>640</v>
      </c>
      <c r="G26" s="2">
        <v>50</v>
      </c>
      <c r="H26" s="2">
        <f t="shared" si="5"/>
        <v>57.1</v>
      </c>
      <c r="I26" s="2">
        <f>'GERAL 2024'!I20</f>
        <v>1.3105200945626476</v>
      </c>
      <c r="J26" s="2">
        <f>'GERAL 2024'!K20</f>
        <v>0.79837470449172576</v>
      </c>
      <c r="K26" s="2">
        <v>19.809999999999999</v>
      </c>
      <c r="L26" s="109">
        <f t="shared" si="2"/>
        <v>769.01889479905435</v>
      </c>
      <c r="M26" s="2">
        <f t="shared" si="6"/>
        <v>53.831322635933809</v>
      </c>
      <c r="N26" s="2">
        <f t="shared" si="3"/>
        <v>715.18757216312054</v>
      </c>
      <c r="O26" s="90" t="s">
        <v>949</v>
      </c>
      <c r="P26" s="3">
        <v>10</v>
      </c>
      <c r="Q26" s="3">
        <v>11</v>
      </c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</row>
    <row r="27" spans="1:48" s="11" customFormat="1" x14ac:dyDescent="0.3">
      <c r="A27" s="90" t="s">
        <v>738</v>
      </c>
      <c r="B27" s="90">
        <v>19</v>
      </c>
      <c r="C27" s="90" t="s">
        <v>825</v>
      </c>
      <c r="D27" s="5">
        <f>'GERAL 2023'!G38</f>
        <v>610</v>
      </c>
      <c r="E27" s="2">
        <v>0</v>
      </c>
      <c r="F27" s="5">
        <f>(D27-E27)</f>
        <v>610</v>
      </c>
      <c r="G27" s="2">
        <v>25</v>
      </c>
      <c r="H27" s="2">
        <f t="shared" si="5"/>
        <v>57.1</v>
      </c>
      <c r="I27" s="2">
        <f>'GERAL 2024'!I21</f>
        <v>1.3105200945626476</v>
      </c>
      <c r="J27" s="2">
        <f>'GERAL 2024'!K21</f>
        <v>0.79837470449172576</v>
      </c>
      <c r="K27" s="2">
        <v>0</v>
      </c>
      <c r="L27" s="109">
        <f t="shared" si="2"/>
        <v>694.20889479905441</v>
      </c>
      <c r="M27" s="2">
        <f t="shared" si="6"/>
        <v>48.59462263593381</v>
      </c>
      <c r="N27" s="2">
        <f t="shared" si="3"/>
        <v>645.61427216312063</v>
      </c>
      <c r="O27" s="90" t="s">
        <v>945</v>
      </c>
      <c r="P27" s="3">
        <v>10</v>
      </c>
      <c r="Q27" s="3">
        <v>11</v>
      </c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</row>
    <row r="28" spans="1:48" s="11" customFormat="1" x14ac:dyDescent="0.3">
      <c r="A28" s="88" t="s">
        <v>919</v>
      </c>
      <c r="B28" s="90">
        <v>20</v>
      </c>
      <c r="C28" s="90" t="s">
        <v>917</v>
      </c>
      <c r="D28" s="5">
        <f>'GERAL 2024'!G36</f>
        <v>780</v>
      </c>
      <c r="E28" s="2">
        <v>0</v>
      </c>
      <c r="F28" s="5">
        <f t="shared" ref="F28:F35" si="7">D28-E28</f>
        <v>780</v>
      </c>
      <c r="G28" s="2">
        <v>25</v>
      </c>
      <c r="H28" s="2">
        <f>(1541.7/27)</f>
        <v>57.1</v>
      </c>
      <c r="I28" s="2">
        <f>'GERAL 2024'!I36</f>
        <v>1.3105200945626476</v>
      </c>
      <c r="J28" s="2">
        <f>'GERAL 2024'!K36</f>
        <v>0.79837470449172576</v>
      </c>
      <c r="K28" s="2">
        <v>21.48</v>
      </c>
      <c r="L28" s="109">
        <f t="shared" si="2"/>
        <v>885.68889479905442</v>
      </c>
      <c r="M28" s="2">
        <f t="shared" si="6"/>
        <v>61.998222635933814</v>
      </c>
      <c r="N28" s="2">
        <f t="shared" si="3"/>
        <v>823.69067216312055</v>
      </c>
      <c r="O28" s="90" t="s">
        <v>944</v>
      </c>
      <c r="P28" s="125">
        <v>10</v>
      </c>
      <c r="Q28" s="3">
        <v>11</v>
      </c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</row>
    <row r="29" spans="1:48" s="11" customFormat="1" x14ac:dyDescent="0.3">
      <c r="A29" s="88" t="s">
        <v>788</v>
      </c>
      <c r="B29" s="90">
        <v>21</v>
      </c>
      <c r="C29" s="90" t="s">
        <v>822</v>
      </c>
      <c r="D29" s="5">
        <f>'GERAL 2023'!G39</f>
        <v>580</v>
      </c>
      <c r="E29" s="2">
        <v>0</v>
      </c>
      <c r="F29" s="5">
        <f t="shared" si="7"/>
        <v>580</v>
      </c>
      <c r="G29" s="2">
        <v>25</v>
      </c>
      <c r="H29" s="2">
        <f t="shared" si="5"/>
        <v>57.1</v>
      </c>
      <c r="I29" s="2">
        <f>'GERAL 2024'!I23</f>
        <v>1.3105200945626476</v>
      </c>
      <c r="J29" s="2">
        <f>'GERAL 2024'!K23</f>
        <v>0.79837470449172576</v>
      </c>
      <c r="K29" s="2">
        <v>0</v>
      </c>
      <c r="L29" s="109">
        <f t="shared" si="2"/>
        <v>664.20889479905441</v>
      </c>
      <c r="M29" s="2">
        <f t="shared" si="6"/>
        <v>46.494622635933816</v>
      </c>
      <c r="N29" s="2">
        <f t="shared" si="3"/>
        <v>617.71427216312054</v>
      </c>
      <c r="O29" s="90" t="s">
        <v>945</v>
      </c>
      <c r="P29" s="125">
        <v>10</v>
      </c>
      <c r="Q29" s="3">
        <v>11</v>
      </c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</row>
    <row r="30" spans="1:48" s="11" customFormat="1" x14ac:dyDescent="0.3">
      <c r="A30" s="116" t="s">
        <v>950</v>
      </c>
      <c r="B30" s="90">
        <v>22</v>
      </c>
      <c r="C30" s="90" t="s">
        <v>951</v>
      </c>
      <c r="D30" s="5">
        <f>'GERAL 2024'!G38/30*27</f>
        <v>549</v>
      </c>
      <c r="E30" s="2">
        <v>0</v>
      </c>
      <c r="F30" s="5">
        <f t="shared" si="7"/>
        <v>549</v>
      </c>
      <c r="G30" s="2">
        <v>0</v>
      </c>
      <c r="H30" s="2">
        <f>(1541.7/27)/30*27</f>
        <v>51.39</v>
      </c>
      <c r="I30" s="2">
        <f>'GERAL 2024'!I38/30*27</f>
        <v>1.1794680851063828</v>
      </c>
      <c r="J30" s="2">
        <f>'GERAL 2024'!K38/30*27</f>
        <v>0.7185372340425531</v>
      </c>
      <c r="K30" s="2">
        <f>'GERAL 2024'!M38</f>
        <v>126.81</v>
      </c>
      <c r="L30" s="109">
        <f t="shared" si="2"/>
        <v>729.0980053191488</v>
      </c>
      <c r="M30" s="2">
        <f>7%*L30</f>
        <v>51.036860372340421</v>
      </c>
      <c r="N30" s="2">
        <f>L30-M30</f>
        <v>678.06114494680833</v>
      </c>
      <c r="O30" s="90" t="s">
        <v>952</v>
      </c>
      <c r="P30" s="125">
        <v>10</v>
      </c>
      <c r="Q30" s="3">
        <v>11</v>
      </c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</row>
    <row r="31" spans="1:48" s="11" customFormat="1" x14ac:dyDescent="0.3">
      <c r="A31" s="88" t="s">
        <v>750</v>
      </c>
      <c r="B31" s="90">
        <v>23</v>
      </c>
      <c r="C31" s="90" t="s">
        <v>827</v>
      </c>
      <c r="D31" s="5">
        <f>'GERAL 2022'!G25</f>
        <v>550</v>
      </c>
      <c r="E31" s="2">
        <v>0</v>
      </c>
      <c r="F31" s="5">
        <f t="shared" si="7"/>
        <v>550</v>
      </c>
      <c r="G31" s="2">
        <v>0</v>
      </c>
      <c r="H31" s="2">
        <f t="shared" si="5"/>
        <v>57.1</v>
      </c>
      <c r="I31" s="2">
        <f>'GERAL 2024'!I25</f>
        <v>1.3105200945626476</v>
      </c>
      <c r="J31" s="2">
        <f>'GERAL 2024'!K25</f>
        <v>0.79837470449172576</v>
      </c>
      <c r="K31" s="2">
        <v>0</v>
      </c>
      <c r="L31" s="109">
        <f t="shared" si="2"/>
        <v>609.20889479905441</v>
      </c>
      <c r="M31" s="2">
        <f t="shared" si="6"/>
        <v>42.644622635933814</v>
      </c>
      <c r="N31" s="2">
        <f t="shared" si="3"/>
        <v>566.56427216312056</v>
      </c>
      <c r="O31" s="90" t="s">
        <v>945</v>
      </c>
      <c r="P31" s="3">
        <v>10</v>
      </c>
      <c r="Q31" s="3">
        <v>11</v>
      </c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</row>
    <row r="32" spans="1:48" s="6" customFormat="1" ht="15.75" customHeight="1" x14ac:dyDescent="0.3">
      <c r="A32" s="90"/>
      <c r="B32" s="90">
        <v>24</v>
      </c>
      <c r="C32" s="90"/>
      <c r="D32" s="5">
        <v>0</v>
      </c>
      <c r="E32" s="2">
        <v>0</v>
      </c>
      <c r="F32" s="5">
        <f>D32-E32</f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109">
        <f t="shared" si="2"/>
        <v>0</v>
      </c>
      <c r="M32" s="2">
        <f t="shared" si="6"/>
        <v>0</v>
      </c>
      <c r="N32" s="2">
        <f t="shared" si="3"/>
        <v>0</v>
      </c>
      <c r="O32" s="90" t="s">
        <v>525</v>
      </c>
      <c r="P32" s="125"/>
      <c r="Q32" s="3"/>
      <c r="R32" s="9"/>
      <c r="S32" s="9"/>
      <c r="T32" s="9"/>
      <c r="U32" s="9"/>
      <c r="V32" s="9"/>
      <c r="W32" s="9"/>
      <c r="X32" s="9"/>
      <c r="Y32" s="9"/>
      <c r="Z32" s="9"/>
    </row>
    <row r="33" spans="1:61" s="6" customFormat="1" ht="15" customHeight="1" x14ac:dyDescent="0.3">
      <c r="A33" s="11" t="s">
        <v>809</v>
      </c>
      <c r="B33" s="90">
        <v>25</v>
      </c>
      <c r="C33" s="90" t="s">
        <v>832</v>
      </c>
      <c r="D33" s="5">
        <f>'GERAL 2022'!G44</f>
        <v>610</v>
      </c>
      <c r="E33" s="2">
        <v>0</v>
      </c>
      <c r="F33" s="5">
        <f t="shared" si="7"/>
        <v>610</v>
      </c>
      <c r="G33" s="2">
        <v>0</v>
      </c>
      <c r="H33" s="2">
        <f t="shared" si="5"/>
        <v>57.1</v>
      </c>
      <c r="I33" s="2">
        <f>'GERAL 2024'!I27</f>
        <v>1.3105200945626476</v>
      </c>
      <c r="J33" s="2">
        <f>'GERAL 2024'!K27</f>
        <v>0.79837470449172576</v>
      </c>
      <c r="K33" s="2">
        <v>0</v>
      </c>
      <c r="L33" s="109">
        <f t="shared" si="2"/>
        <v>669.20889479905441</v>
      </c>
      <c r="M33" s="2">
        <f t="shared" si="6"/>
        <v>46.84462263593381</v>
      </c>
      <c r="N33" s="2">
        <f t="shared" si="3"/>
        <v>622.36427216312063</v>
      </c>
      <c r="O33" s="90" t="s">
        <v>945</v>
      </c>
      <c r="P33" s="125">
        <v>10</v>
      </c>
      <c r="Q33" s="3">
        <v>11</v>
      </c>
      <c r="R33" s="9"/>
      <c r="S33" s="9"/>
      <c r="T33" s="9"/>
      <c r="U33" s="9"/>
      <c r="V33" s="9"/>
      <c r="W33" s="9"/>
      <c r="X33" s="9"/>
      <c r="Y33" s="9"/>
      <c r="Z33" s="9"/>
    </row>
    <row r="34" spans="1:61" s="11" customFormat="1" x14ac:dyDescent="0.3">
      <c r="A34" s="88" t="s">
        <v>751</v>
      </c>
      <c r="B34" s="90">
        <v>26</v>
      </c>
      <c r="C34" s="90" t="s">
        <v>827</v>
      </c>
      <c r="D34" s="5">
        <f>'GERAL 2022'!G28</f>
        <v>560</v>
      </c>
      <c r="E34" s="2">
        <v>0</v>
      </c>
      <c r="F34" s="5">
        <f t="shared" si="7"/>
        <v>560</v>
      </c>
      <c r="G34" s="2">
        <v>25</v>
      </c>
      <c r="H34" s="2">
        <f t="shared" si="5"/>
        <v>57.1</v>
      </c>
      <c r="I34" s="2">
        <f>'GERAL 2024'!I28</f>
        <v>1.3105200945626476</v>
      </c>
      <c r="J34" s="2">
        <f>'GERAL 2024'!K29</f>
        <v>0.79837470449172576</v>
      </c>
      <c r="K34" s="2">
        <v>0</v>
      </c>
      <c r="L34" s="109">
        <f t="shared" si="2"/>
        <v>644.20889479905441</v>
      </c>
      <c r="M34" s="2">
        <f t="shared" si="6"/>
        <v>45.09462263593381</v>
      </c>
      <c r="N34" s="2">
        <f t="shared" si="3"/>
        <v>599.11427216312063</v>
      </c>
      <c r="O34" s="90" t="s">
        <v>945</v>
      </c>
      <c r="P34" s="3">
        <v>10</v>
      </c>
      <c r="Q34" s="3">
        <v>11</v>
      </c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</row>
    <row r="35" spans="1:61" s="11" customFormat="1" x14ac:dyDescent="0.3">
      <c r="A35" s="88" t="s">
        <v>752</v>
      </c>
      <c r="B35" s="90">
        <v>27</v>
      </c>
      <c r="C35" s="71" t="s">
        <v>827</v>
      </c>
      <c r="D35" s="230">
        <f>'GERAL 2022'!G45</f>
        <v>580</v>
      </c>
      <c r="E35" s="72">
        <v>0</v>
      </c>
      <c r="F35" s="5">
        <f t="shared" si="7"/>
        <v>580</v>
      </c>
      <c r="G35" s="72">
        <v>0</v>
      </c>
      <c r="H35" s="2">
        <f t="shared" si="5"/>
        <v>57.1</v>
      </c>
      <c r="I35" s="72">
        <f>'GERAL 2024'!I29</f>
        <v>1.3105200945626476</v>
      </c>
      <c r="J35" s="2">
        <f>'GERAL 2024'!K29</f>
        <v>0.79837470449172576</v>
      </c>
      <c r="K35" s="72">
        <v>0</v>
      </c>
      <c r="L35" s="109">
        <f t="shared" si="2"/>
        <v>639.20889479905441</v>
      </c>
      <c r="M35" s="2">
        <f t="shared" si="6"/>
        <v>44.744622635933816</v>
      </c>
      <c r="N35" s="2">
        <f>L35-M35</f>
        <v>594.46427216312054</v>
      </c>
      <c r="O35" s="90" t="s">
        <v>945</v>
      </c>
      <c r="P35" s="3">
        <v>10</v>
      </c>
      <c r="Q35" s="3">
        <v>11</v>
      </c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</row>
    <row r="36" spans="1:61" s="206" customFormat="1" x14ac:dyDescent="0.3">
      <c r="A36" s="584" t="s">
        <v>4</v>
      </c>
      <c r="B36" s="584"/>
      <c r="C36" s="209"/>
      <c r="D36" s="191">
        <f>SUM(D9:D35)</f>
        <v>13271.666666666666</v>
      </c>
      <c r="E36" s="191">
        <f t="shared" ref="E36:N36" si="8">SUM(E9:E35)</f>
        <v>0</v>
      </c>
      <c r="F36" s="191">
        <f t="shared" si="8"/>
        <v>13271.666666666666</v>
      </c>
      <c r="G36" s="191">
        <f t="shared" si="8"/>
        <v>618.33333333333337</v>
      </c>
      <c r="H36" s="191">
        <f>SUM(H9:H35)</f>
        <v>1299.9766666666667</v>
      </c>
      <c r="I36" s="191">
        <f t="shared" si="8"/>
        <v>30.884590228526399</v>
      </c>
      <c r="J36" s="191">
        <f t="shared" si="8"/>
        <v>18.815030535855005</v>
      </c>
      <c r="K36" s="191">
        <f>SUM(K9:K35)</f>
        <v>272.65999999999997</v>
      </c>
      <c r="L36" s="191">
        <f>SUM(L9:L35)</f>
        <v>15512.336287431046</v>
      </c>
      <c r="M36" s="191">
        <f t="shared" si="8"/>
        <v>1085.8635401201739</v>
      </c>
      <c r="N36" s="191">
        <f t="shared" si="8"/>
        <v>14426.472747310874</v>
      </c>
      <c r="O36" s="193"/>
      <c r="P36" s="197"/>
      <c r="Q36" s="197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  <c r="AQ36" s="205"/>
    </row>
    <row r="37" spans="1:61" s="11" customFormat="1" ht="28.5" customHeight="1" x14ac:dyDescent="0.3">
      <c r="A37" s="521" t="s">
        <v>943</v>
      </c>
      <c r="B37" s="521"/>
      <c r="C37" s="521"/>
      <c r="D37" s="521"/>
      <c r="E37" s="521"/>
      <c r="F37" s="521"/>
      <c r="G37" s="521"/>
      <c r="H37" s="521"/>
      <c r="I37" s="521"/>
      <c r="J37" s="521"/>
      <c r="K37" s="521"/>
      <c r="L37" s="521"/>
      <c r="M37" s="521"/>
      <c r="N37" s="521"/>
      <c r="O37" s="521"/>
      <c r="P37" s="521"/>
      <c r="Q37" s="521"/>
      <c r="R37" s="10"/>
      <c r="S37" s="10"/>
      <c r="T37" s="10"/>
      <c r="U37" s="10"/>
      <c r="V37" s="10"/>
      <c r="W37" s="10"/>
      <c r="X37" s="10"/>
      <c r="Y37" s="10"/>
      <c r="Z37" s="10"/>
    </row>
    <row r="38" spans="1:61" s="11" customFormat="1" ht="27.75" customHeight="1" x14ac:dyDescent="0.3">
      <c r="A38" s="127" t="s">
        <v>3</v>
      </c>
      <c r="B38" s="127" t="s">
        <v>0</v>
      </c>
      <c r="C38" s="127" t="s">
        <v>821</v>
      </c>
      <c r="D38" s="128" t="s">
        <v>174</v>
      </c>
      <c r="E38" s="555" t="s">
        <v>175</v>
      </c>
      <c r="F38" s="556"/>
      <c r="G38" s="556"/>
      <c r="H38" s="556"/>
      <c r="I38" s="556"/>
      <c r="J38" s="556"/>
      <c r="K38" s="557"/>
      <c r="L38" s="128" t="s">
        <v>4</v>
      </c>
      <c r="M38" s="128" t="s">
        <v>5</v>
      </c>
      <c r="N38" s="128" t="s">
        <v>70</v>
      </c>
      <c r="O38" s="127" t="s">
        <v>59</v>
      </c>
      <c r="P38" s="130" t="s">
        <v>8</v>
      </c>
      <c r="Q38" s="130" t="s">
        <v>10</v>
      </c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spans="1:61" s="204" customFormat="1" ht="15.75" customHeight="1" x14ac:dyDescent="0.3">
      <c r="A39" s="193"/>
      <c r="B39" s="193"/>
      <c r="C39" s="193"/>
      <c r="D39" s="196"/>
      <c r="E39" s="551"/>
      <c r="F39" s="580"/>
      <c r="G39" s="580"/>
      <c r="H39" s="580"/>
      <c r="I39" s="580"/>
      <c r="J39" s="580"/>
      <c r="K39" s="552"/>
      <c r="L39" s="191"/>
      <c r="M39" s="192"/>
      <c r="N39" s="192"/>
      <c r="O39" s="193"/>
      <c r="P39" s="207"/>
      <c r="Q39" s="197"/>
      <c r="R39" s="200"/>
      <c r="S39" s="200"/>
      <c r="T39" s="200"/>
      <c r="U39" s="200"/>
      <c r="V39" s="200"/>
      <c r="W39" s="200"/>
      <c r="X39" s="200"/>
      <c r="Y39" s="200"/>
      <c r="Z39" s="200"/>
    </row>
    <row r="40" spans="1:61" s="11" customFormat="1" x14ac:dyDescent="0.3">
      <c r="A40" s="518" t="s">
        <v>4</v>
      </c>
      <c r="B40" s="518"/>
      <c r="C40" s="518"/>
      <c r="D40" s="518"/>
      <c r="E40" s="518"/>
      <c r="F40" s="518"/>
      <c r="G40" s="518"/>
      <c r="H40" s="518"/>
      <c r="I40" s="518"/>
      <c r="J40" s="518"/>
      <c r="K40" s="518"/>
      <c r="L40" s="109">
        <f>SUM(L39:L39)</f>
        <v>0</v>
      </c>
      <c r="M40" s="109">
        <f>SUM(M39:M39)</f>
        <v>0</v>
      </c>
      <c r="N40" s="109">
        <f>SUM(N39:N39)</f>
        <v>0</v>
      </c>
      <c r="O40" s="527"/>
      <c r="P40" s="527"/>
      <c r="Q40" s="527"/>
      <c r="R40" s="10"/>
      <c r="S40" s="10"/>
      <c r="T40" s="10"/>
      <c r="U40" s="10"/>
      <c r="V40" s="10"/>
      <c r="W40" s="10"/>
      <c r="X40" s="10"/>
      <c r="Y40" s="10"/>
      <c r="Z40" s="10"/>
    </row>
    <row r="41" spans="1:61" s="11" customFormat="1" x14ac:dyDescent="0.3">
      <c r="A41" s="518"/>
      <c r="B41" s="518"/>
      <c r="C41" s="518"/>
      <c r="D41" s="518"/>
      <c r="E41" s="518"/>
      <c r="F41" s="518"/>
      <c r="G41" s="518"/>
      <c r="H41" s="518"/>
      <c r="I41" s="518"/>
      <c r="J41" s="518"/>
      <c r="K41" s="518"/>
      <c r="L41" s="518"/>
      <c r="M41" s="518"/>
      <c r="N41" s="518"/>
      <c r="O41" s="518"/>
      <c r="P41" s="109"/>
      <c r="Q41" s="109"/>
      <c r="R41" s="10"/>
      <c r="S41" s="10"/>
      <c r="T41" s="10"/>
      <c r="U41" s="10"/>
      <c r="V41" s="10"/>
      <c r="W41" s="10"/>
      <c r="X41" s="10"/>
      <c r="Y41" s="10"/>
      <c r="Z41" s="10"/>
    </row>
    <row r="42" spans="1:61" s="11" customFormat="1" ht="28.5" customHeight="1" x14ac:dyDescent="0.3">
      <c r="A42" s="521" t="s">
        <v>177</v>
      </c>
      <c r="B42" s="521"/>
      <c r="C42" s="521"/>
      <c r="D42" s="521"/>
      <c r="E42" s="521"/>
      <c r="F42" s="521"/>
      <c r="G42" s="521"/>
      <c r="H42" s="521"/>
      <c r="I42" s="521"/>
      <c r="J42" s="521"/>
      <c r="K42" s="521"/>
      <c r="L42" s="521"/>
      <c r="M42" s="521"/>
      <c r="N42" s="521"/>
      <c r="O42" s="521"/>
      <c r="P42" s="521"/>
      <c r="Q42" s="52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61" s="11" customFormat="1" ht="25.5" customHeight="1" x14ac:dyDescent="0.3">
      <c r="A43" s="126" t="s">
        <v>173</v>
      </c>
      <c r="B43" s="126" t="s">
        <v>0</v>
      </c>
      <c r="C43" s="126"/>
      <c r="D43" s="126" t="s">
        <v>174</v>
      </c>
      <c r="E43" s="521" t="s">
        <v>175</v>
      </c>
      <c r="F43" s="521"/>
      <c r="G43" s="521"/>
      <c r="H43" s="521"/>
      <c r="I43" s="521"/>
      <c r="J43" s="521"/>
      <c r="K43" s="521"/>
      <c r="L43" s="129" t="s">
        <v>4</v>
      </c>
      <c r="M43" s="128"/>
      <c r="N43" s="128"/>
      <c r="O43" s="127" t="s">
        <v>59</v>
      </c>
      <c r="P43" s="130" t="s">
        <v>8</v>
      </c>
      <c r="Q43" s="130" t="s">
        <v>10</v>
      </c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61" s="69" customFormat="1" ht="15" customHeight="1" x14ac:dyDescent="0.3">
      <c r="A44" s="4" t="s">
        <v>132</v>
      </c>
      <c r="B44" s="4">
        <v>1</v>
      </c>
      <c r="C44" s="4"/>
      <c r="D44" s="5">
        <f>4977.59-1520</f>
        <v>3457.59</v>
      </c>
      <c r="E44" s="546" t="s">
        <v>284</v>
      </c>
      <c r="F44" s="547"/>
      <c r="G44" s="547"/>
      <c r="H44" s="547"/>
      <c r="I44" s="547"/>
      <c r="J44" s="547"/>
      <c r="K44" s="548"/>
      <c r="L44" s="5">
        <f>4977.59-1520</f>
        <v>3457.59</v>
      </c>
      <c r="M44" s="5"/>
      <c r="N44" s="5"/>
      <c r="O44" s="5" t="s">
        <v>510</v>
      </c>
      <c r="P44" s="140">
        <v>10</v>
      </c>
      <c r="Q44" s="4">
        <v>11</v>
      </c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</row>
    <row r="45" spans="1:61" s="11" customFormat="1" x14ac:dyDescent="0.3">
      <c r="A45" s="90" t="s">
        <v>87</v>
      </c>
      <c r="B45" s="90">
        <v>25</v>
      </c>
      <c r="C45" s="90"/>
      <c r="D45" s="5">
        <v>3013.33</v>
      </c>
      <c r="E45" s="546" t="s">
        <v>543</v>
      </c>
      <c r="F45" s="547"/>
      <c r="G45" s="547"/>
      <c r="H45" s="547"/>
      <c r="I45" s="547"/>
      <c r="J45" s="547"/>
      <c r="K45" s="548"/>
      <c r="L45" s="5">
        <v>3040.58</v>
      </c>
      <c r="M45" s="2"/>
      <c r="N45" s="2"/>
      <c r="O45" s="5" t="s">
        <v>545</v>
      </c>
      <c r="P45" s="98">
        <v>10</v>
      </c>
      <c r="Q45" s="3">
        <v>11</v>
      </c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</row>
    <row r="46" spans="1:61" s="40" customFormat="1" ht="15" customHeight="1" thickBot="1" x14ac:dyDescent="0.35">
      <c r="A46" s="534" t="s">
        <v>4</v>
      </c>
      <c r="B46" s="549"/>
      <c r="C46" s="549"/>
      <c r="D46" s="549"/>
      <c r="E46" s="549"/>
      <c r="F46" s="549"/>
      <c r="G46" s="549"/>
      <c r="H46" s="549"/>
      <c r="I46" s="549"/>
      <c r="J46" s="549"/>
      <c r="K46" s="535"/>
      <c r="L46" s="114">
        <f>SUM(L44:L45)</f>
        <v>6498.17</v>
      </c>
      <c r="M46" s="90"/>
      <c r="N46" s="90"/>
      <c r="O46" s="90"/>
      <c r="P46" s="90"/>
      <c r="Q46" s="9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1"/>
      <c r="AV46" s="11"/>
      <c r="AW46" s="11"/>
      <c r="AX46" s="11"/>
    </row>
    <row r="47" spans="1:61" s="19" customFormat="1" x14ac:dyDescent="0.3">
      <c r="A47" s="179"/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1"/>
      <c r="Q47" s="182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</row>
    <row r="48" spans="1:61" s="40" customFormat="1" x14ac:dyDescent="0.3">
      <c r="A48" s="585"/>
      <c r="B48" s="585"/>
      <c r="C48" s="585"/>
      <c r="D48" s="585"/>
      <c r="E48" s="585"/>
      <c r="F48" s="46"/>
      <c r="G48" s="46"/>
      <c r="H48" s="46"/>
      <c r="I48" s="46"/>
      <c r="J48" s="46"/>
      <c r="K48" s="46"/>
      <c r="L48" s="46"/>
      <c r="M48" s="46"/>
      <c r="N48" s="46"/>
      <c r="O48" s="544" t="s">
        <v>315</v>
      </c>
      <c r="P48" s="544"/>
      <c r="Q48" s="545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1"/>
      <c r="AV48" s="11"/>
      <c r="AW48" s="11"/>
      <c r="AX48" s="11"/>
    </row>
    <row r="49" spans="1:50" s="40" customFormat="1" x14ac:dyDescent="0.3">
      <c r="A49" s="206"/>
      <c r="B49" s="223"/>
      <c r="C49" s="223"/>
      <c r="D49" s="224"/>
      <c r="E49" s="223"/>
      <c r="F49" s="46"/>
      <c r="G49" s="46"/>
      <c r="H49" s="46"/>
      <c r="I49" s="11"/>
      <c r="J49" s="11"/>
      <c r="K49" s="11"/>
      <c r="L49" s="87"/>
      <c r="M49" s="87"/>
      <c r="N49" s="87"/>
      <c r="O49" s="527" t="s">
        <v>94</v>
      </c>
      <c r="P49" s="527"/>
      <c r="Q49" s="114">
        <f>M36+M40</f>
        <v>1085.8635401201739</v>
      </c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1"/>
      <c r="AV49" s="11"/>
      <c r="AW49" s="11"/>
      <c r="AX49" s="11"/>
    </row>
    <row r="50" spans="1:50" s="40" customFormat="1" x14ac:dyDescent="0.3">
      <c r="A50" s="206"/>
      <c r="B50" s="223"/>
      <c r="C50" s="223"/>
      <c r="D50" s="224"/>
      <c r="E50" s="223"/>
      <c r="F50" s="46"/>
      <c r="G50" s="46"/>
      <c r="H50" s="46"/>
      <c r="I50" s="11"/>
      <c r="J50" s="11"/>
      <c r="K50" s="11"/>
      <c r="L50" s="14"/>
      <c r="M50" s="14"/>
      <c r="N50" s="14"/>
      <c r="O50" s="518" t="s">
        <v>260</v>
      </c>
      <c r="P50" s="518"/>
      <c r="Q50" s="114">
        <f>M6</f>
        <v>396</v>
      </c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1"/>
      <c r="AV50" s="11"/>
      <c r="AW50" s="11"/>
      <c r="AX50" s="11"/>
    </row>
    <row r="51" spans="1:50" s="40" customFormat="1" x14ac:dyDescent="0.3">
      <c r="A51" s="206"/>
      <c r="B51" s="223"/>
      <c r="C51" s="223"/>
      <c r="D51" s="224"/>
      <c r="E51" s="223"/>
      <c r="F51" s="46"/>
      <c r="G51" s="46"/>
      <c r="H51" s="46"/>
      <c r="I51" s="11"/>
      <c r="J51" s="11"/>
      <c r="K51" s="11"/>
      <c r="L51" s="14"/>
      <c r="M51" s="14"/>
      <c r="N51" s="14"/>
      <c r="O51" s="520"/>
      <c r="P51" s="520"/>
      <c r="Q51" s="52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1"/>
      <c r="AV51" s="11"/>
      <c r="AW51" s="11"/>
      <c r="AX51" s="11"/>
    </row>
    <row r="52" spans="1:50" s="40" customFormat="1" x14ac:dyDescent="0.3">
      <c r="A52" s="206"/>
      <c r="B52" s="223"/>
      <c r="C52" s="223"/>
      <c r="D52" s="224"/>
      <c r="E52" s="223"/>
      <c r="F52" s="46"/>
      <c r="G52" s="46"/>
      <c r="H52" s="46"/>
      <c r="I52" s="11"/>
      <c r="J52" s="11"/>
      <c r="K52" s="11"/>
      <c r="L52" s="62"/>
      <c r="M52" s="62"/>
      <c r="N52" s="62"/>
      <c r="O52" s="520"/>
      <c r="P52" s="520"/>
      <c r="Q52" s="52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1"/>
      <c r="AV52" s="11"/>
      <c r="AW52" s="11"/>
      <c r="AX52" s="11"/>
    </row>
    <row r="53" spans="1:50" s="40" customFormat="1" ht="14.4" x14ac:dyDescent="0.3">
      <c r="A53" s="206"/>
      <c r="B53" s="223"/>
      <c r="C53" s="223"/>
      <c r="D53" s="224"/>
      <c r="E53" s="223"/>
      <c r="F53" s="46"/>
      <c r="G53" s="46"/>
      <c r="H53" s="46"/>
      <c r="I53" s="11"/>
      <c r="J53" s="11"/>
      <c r="K53" s="11"/>
      <c r="L53" s="14"/>
      <c r="M53" s="14"/>
      <c r="N53" s="14"/>
      <c r="O53" s="529" t="s">
        <v>12</v>
      </c>
      <c r="P53" s="529"/>
      <c r="Q53" s="529"/>
      <c r="R53" s="175"/>
      <c r="S53" s="178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1"/>
      <c r="AV53" s="11"/>
      <c r="AW53" s="11"/>
      <c r="AX53" s="11"/>
    </row>
    <row r="54" spans="1:50" s="11" customFormat="1" ht="15" customHeight="1" x14ac:dyDescent="0.3">
      <c r="A54" s="206"/>
      <c r="B54" s="223"/>
      <c r="C54" s="223"/>
      <c r="D54" s="224"/>
      <c r="E54" s="223"/>
      <c r="F54" s="46"/>
      <c r="G54" s="46"/>
      <c r="H54" s="46"/>
      <c r="L54" s="63"/>
      <c r="M54" s="63"/>
      <c r="N54" s="63"/>
      <c r="O54" s="514" t="s">
        <v>569</v>
      </c>
      <c r="P54" s="514"/>
      <c r="Q54" s="2">
        <v>21.07</v>
      </c>
      <c r="R54" s="190"/>
      <c r="S54" s="178"/>
    </row>
    <row r="55" spans="1:50" s="11" customFormat="1" ht="14.4" x14ac:dyDescent="0.3">
      <c r="A55" s="206"/>
      <c r="B55" s="223"/>
      <c r="C55" s="223"/>
      <c r="D55" s="224"/>
      <c r="E55" s="223"/>
      <c r="F55" s="46"/>
      <c r="G55" s="46"/>
      <c r="H55" s="46"/>
      <c r="L55" s="14"/>
      <c r="M55" s="14"/>
      <c r="N55" s="14"/>
      <c r="O55" s="514" t="s">
        <v>409</v>
      </c>
      <c r="P55" s="514"/>
      <c r="Q55" s="2">
        <v>21.28</v>
      </c>
      <c r="R55" s="175"/>
      <c r="S55" s="178"/>
    </row>
    <row r="56" spans="1:50" s="11" customFormat="1" ht="15" customHeight="1" x14ac:dyDescent="0.3">
      <c r="A56" s="206"/>
      <c r="B56" s="223"/>
      <c r="C56" s="223"/>
      <c r="D56" s="224"/>
      <c r="E56" s="223"/>
      <c r="F56" s="46"/>
      <c r="G56" s="46"/>
      <c r="H56" s="46"/>
      <c r="L56" s="63"/>
      <c r="M56" s="63"/>
      <c r="N56" s="63"/>
      <c r="O56" s="514" t="s">
        <v>411</v>
      </c>
      <c r="P56" s="514"/>
      <c r="Q56" s="2">
        <v>19.809999999999999</v>
      </c>
      <c r="R56" s="190"/>
      <c r="S56" s="178"/>
    </row>
    <row r="57" spans="1:50" s="11" customFormat="1" ht="14.4" x14ac:dyDescent="0.3">
      <c r="A57" s="206"/>
      <c r="B57" s="223"/>
      <c r="C57" s="223"/>
      <c r="D57" s="224"/>
      <c r="E57" s="223"/>
      <c r="F57" s="46"/>
      <c r="G57" s="46"/>
      <c r="H57" s="46"/>
      <c r="L57" s="14"/>
      <c r="M57" s="14"/>
      <c r="N57" s="14"/>
      <c r="O57" s="514" t="s">
        <v>166</v>
      </c>
      <c r="P57" s="514"/>
      <c r="Q57" s="2">
        <v>21.2</v>
      </c>
      <c r="R57" s="222"/>
      <c r="S57" s="178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</row>
    <row r="58" spans="1:50" s="11" customFormat="1" ht="14.4" x14ac:dyDescent="0.3">
      <c r="A58" s="206"/>
      <c r="B58" s="223"/>
      <c r="C58" s="223"/>
      <c r="D58" s="224"/>
      <c r="E58" s="223"/>
      <c r="F58" s="46"/>
      <c r="G58" s="46"/>
      <c r="H58" s="46"/>
      <c r="L58" s="63"/>
      <c r="M58" s="63"/>
      <c r="N58" s="63"/>
      <c r="O58" s="514" t="s">
        <v>185</v>
      </c>
      <c r="P58" s="514"/>
      <c r="Q58" s="2">
        <v>21.2</v>
      </c>
      <c r="R58" s="175"/>
      <c r="S58" s="178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</row>
    <row r="59" spans="1:50" s="11" customFormat="1" ht="14.4" x14ac:dyDescent="0.3">
      <c r="A59" s="206"/>
      <c r="B59" s="223"/>
      <c r="C59" s="223"/>
      <c r="D59" s="224"/>
      <c r="E59" s="223"/>
      <c r="F59" s="46"/>
      <c r="G59" s="46"/>
      <c r="H59" s="46"/>
      <c r="L59" s="14"/>
      <c r="M59" s="14"/>
      <c r="N59" s="14"/>
      <c r="O59" s="514" t="s">
        <v>186</v>
      </c>
      <c r="P59" s="514"/>
      <c r="Q59" s="2">
        <v>19.809999999999999</v>
      </c>
      <c r="R59" s="175"/>
      <c r="S59" s="185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</row>
    <row r="60" spans="1:50" s="11" customFormat="1" ht="14.4" x14ac:dyDescent="0.3">
      <c r="A60" s="206"/>
      <c r="B60" s="223"/>
      <c r="C60" s="223"/>
      <c r="D60" s="224"/>
      <c r="E60" s="223"/>
      <c r="F60" s="46"/>
      <c r="G60" s="46"/>
      <c r="H60" s="46"/>
      <c r="L60" s="14"/>
      <c r="M60" s="14"/>
      <c r="N60" s="14"/>
      <c r="O60" s="514" t="s">
        <v>457</v>
      </c>
      <c r="P60" s="514"/>
      <c r="Q60" s="2">
        <v>21.48</v>
      </c>
      <c r="R60" s="175"/>
      <c r="S60" s="185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</row>
    <row r="61" spans="1:50" s="11" customFormat="1" ht="14.4" x14ac:dyDescent="0.3">
      <c r="A61" s="206"/>
      <c r="B61" s="223"/>
      <c r="C61" s="223"/>
      <c r="D61" s="224"/>
      <c r="E61" s="223"/>
      <c r="F61" s="46"/>
      <c r="G61" s="46"/>
      <c r="H61" s="46"/>
      <c r="L61" s="63"/>
      <c r="M61" s="63"/>
      <c r="N61" s="63"/>
      <c r="O61" s="514" t="s">
        <v>953</v>
      </c>
      <c r="P61" s="514"/>
      <c r="Q61" s="2">
        <v>126.81</v>
      </c>
      <c r="R61" s="175"/>
      <c r="S61" s="178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</row>
    <row r="62" spans="1:50" s="11" customFormat="1" ht="14.4" x14ac:dyDescent="0.3">
      <c r="A62" s="206"/>
      <c r="B62" s="223"/>
      <c r="C62" s="223"/>
      <c r="D62" s="224"/>
      <c r="E62" s="223"/>
      <c r="F62" s="46"/>
      <c r="G62" s="46"/>
      <c r="H62" s="46"/>
      <c r="L62" s="14"/>
      <c r="M62" s="14"/>
      <c r="N62" s="14"/>
      <c r="O62" s="514" t="s">
        <v>126</v>
      </c>
      <c r="P62" s="514"/>
      <c r="Q62" s="137">
        <v>103.72</v>
      </c>
      <c r="R62" s="175"/>
      <c r="S62" s="178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</row>
    <row r="63" spans="1:50" s="11" customFormat="1" ht="15" customHeight="1" x14ac:dyDescent="0.3">
      <c r="A63" s="206"/>
      <c r="B63" s="223"/>
      <c r="C63" s="223"/>
      <c r="D63" s="224"/>
      <c r="E63" s="223"/>
      <c r="F63" s="46"/>
      <c r="G63" s="46"/>
      <c r="H63" s="46"/>
      <c r="L63" s="63"/>
      <c r="M63" s="63"/>
      <c r="N63" s="63"/>
      <c r="O63" s="583" t="s">
        <v>127</v>
      </c>
      <c r="P63" s="583"/>
      <c r="Q63" s="137">
        <v>1541.7</v>
      </c>
      <c r="S63" s="14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</row>
    <row r="64" spans="1:50" s="11" customFormat="1" ht="14.4" x14ac:dyDescent="0.3">
      <c r="A64" s="206"/>
      <c r="B64" s="223"/>
      <c r="C64" s="223"/>
      <c r="D64" s="224"/>
      <c r="E64" s="223"/>
      <c r="F64" s="46"/>
      <c r="G64" s="46"/>
      <c r="H64" s="46"/>
      <c r="L64" s="14"/>
      <c r="M64" s="14"/>
      <c r="N64" s="14"/>
      <c r="O64" s="514" t="s">
        <v>467</v>
      </c>
      <c r="P64" s="514"/>
      <c r="Q64" s="137">
        <v>450</v>
      </c>
      <c r="R64" s="190"/>
      <c r="S64" s="178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</row>
    <row r="65" spans="1:49" s="11" customFormat="1" ht="14.4" x14ac:dyDescent="0.3">
      <c r="A65" s="206"/>
      <c r="B65" s="223"/>
      <c r="C65" s="223"/>
      <c r="D65" s="224"/>
      <c r="E65" s="223"/>
      <c r="F65" s="46"/>
      <c r="G65" s="46"/>
      <c r="H65" s="46"/>
      <c r="L65" s="63"/>
      <c r="M65" s="63"/>
      <c r="N65" s="63"/>
      <c r="O65" s="514" t="s">
        <v>956</v>
      </c>
      <c r="P65" s="514"/>
      <c r="Q65" s="5">
        <v>30</v>
      </c>
      <c r="R65" s="175"/>
      <c r="S65" s="178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</row>
    <row r="66" spans="1:49" s="11" customFormat="1" ht="14.4" x14ac:dyDescent="0.3">
      <c r="A66" s="206"/>
      <c r="B66" s="223"/>
      <c r="C66" s="223"/>
      <c r="D66" s="224"/>
      <c r="E66" s="223"/>
      <c r="F66" s="46"/>
      <c r="G66" s="46"/>
      <c r="H66" s="46"/>
      <c r="O66" s="514" t="s">
        <v>955</v>
      </c>
      <c r="P66" s="514"/>
      <c r="Q66" s="5">
        <v>175</v>
      </c>
      <c r="R66" s="175"/>
      <c r="S66" s="178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</row>
    <row r="67" spans="1:49" s="11" customFormat="1" ht="14.4" x14ac:dyDescent="0.3">
      <c r="A67" s="206"/>
      <c r="B67" s="223"/>
      <c r="C67" s="223"/>
      <c r="D67" s="224"/>
      <c r="E67" s="223"/>
      <c r="F67" s="46"/>
      <c r="G67" s="46"/>
      <c r="H67" s="46"/>
      <c r="L67" s="63"/>
      <c r="M67" s="63"/>
      <c r="N67" s="63"/>
      <c r="O67" s="581"/>
      <c r="P67" s="582"/>
      <c r="Q67" s="5"/>
      <c r="R67" s="175"/>
      <c r="S67" s="178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</row>
    <row r="68" spans="1:49" s="11" customFormat="1" ht="14.4" x14ac:dyDescent="0.3">
      <c r="A68" s="206"/>
      <c r="B68" s="223"/>
      <c r="C68" s="223"/>
      <c r="D68" s="224"/>
      <c r="E68" s="223"/>
      <c r="F68" s="46"/>
      <c r="G68" s="46"/>
      <c r="H68" s="46"/>
      <c r="L68" s="14"/>
      <c r="M68" s="14"/>
      <c r="N68" s="14"/>
      <c r="O68" s="581"/>
      <c r="P68" s="582"/>
      <c r="Q68" s="196"/>
      <c r="R68" s="175"/>
      <c r="S68" s="185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</row>
    <row r="69" spans="1:49" s="11" customFormat="1" ht="14.4" x14ac:dyDescent="0.3">
      <c r="A69" s="206"/>
      <c r="B69" s="223"/>
      <c r="C69" s="223"/>
      <c r="D69" s="224"/>
      <c r="E69" s="223"/>
      <c r="F69" s="46"/>
      <c r="G69" s="46"/>
      <c r="H69" s="46"/>
      <c r="O69" s="228"/>
      <c r="P69" s="229"/>
      <c r="Q69" s="196"/>
      <c r="R69" s="175"/>
      <c r="S69" s="176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</row>
    <row r="70" spans="1:49" s="11" customFormat="1" ht="14.4" x14ac:dyDescent="0.3">
      <c r="A70" s="206"/>
      <c r="B70" s="223"/>
      <c r="C70" s="223"/>
      <c r="D70" s="224"/>
      <c r="E70" s="223"/>
      <c r="F70" s="46"/>
      <c r="G70" s="46"/>
      <c r="H70" s="46"/>
      <c r="O70" s="228"/>
      <c r="P70" s="229"/>
      <c r="Q70" s="196"/>
      <c r="R70" s="175"/>
      <c r="S70" s="176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</row>
    <row r="71" spans="1:49" s="11" customFormat="1" ht="14.4" x14ac:dyDescent="0.3">
      <c r="A71" s="206"/>
      <c r="B71" s="223"/>
      <c r="C71" s="223"/>
      <c r="D71" s="224"/>
      <c r="E71" s="223"/>
      <c r="F71" s="46"/>
      <c r="G71" s="46"/>
      <c r="H71" s="46"/>
      <c r="O71" s="581"/>
      <c r="P71" s="582"/>
      <c r="Q71" s="212"/>
      <c r="R71" s="175"/>
      <c r="S71" s="178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</row>
    <row r="72" spans="1:49" s="11" customFormat="1" ht="14.4" x14ac:dyDescent="0.3">
      <c r="A72" s="206"/>
      <c r="B72" s="223"/>
      <c r="C72" s="223"/>
      <c r="D72" s="224"/>
      <c r="E72" s="223"/>
      <c r="F72" s="46"/>
      <c r="G72" s="46"/>
      <c r="H72" s="46"/>
      <c r="L72" s="14"/>
      <c r="M72" s="14"/>
      <c r="N72" s="14"/>
      <c r="O72" s="518" t="s">
        <v>26</v>
      </c>
      <c r="P72" s="518"/>
      <c r="Q72" s="109">
        <f>SUM(Q49:Q71)</f>
        <v>4054.9435401201736</v>
      </c>
      <c r="R72" s="175"/>
      <c r="S72" s="178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</row>
    <row r="73" spans="1:49" s="11" customFormat="1" ht="14.4" x14ac:dyDescent="0.3">
      <c r="A73" s="206"/>
      <c r="B73" s="223"/>
      <c r="C73" s="223"/>
      <c r="D73" s="224"/>
      <c r="E73" s="223"/>
      <c r="F73" s="46"/>
      <c r="G73" s="46"/>
      <c r="H73" s="46"/>
      <c r="L73" s="15"/>
      <c r="M73" s="15"/>
      <c r="N73" s="15"/>
      <c r="O73" s="543"/>
      <c r="P73" s="543"/>
      <c r="Q73" s="135"/>
      <c r="R73" s="175"/>
      <c r="S73" s="178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</row>
    <row r="74" spans="1:49" s="11" customFormat="1" ht="14.4" x14ac:dyDescent="0.3">
      <c r="A74" s="206"/>
      <c r="B74" s="223"/>
      <c r="C74" s="223"/>
      <c r="D74" s="224"/>
      <c r="E74" s="223"/>
      <c r="F74" s="46"/>
      <c r="G74" s="46"/>
      <c r="H74" s="46"/>
      <c r="L74" s="14"/>
      <c r="M74" s="14"/>
      <c r="N74" s="14"/>
      <c r="O74" s="564" t="s">
        <v>11</v>
      </c>
      <c r="P74" s="565"/>
      <c r="Q74" s="153">
        <f>L6+L36+L40</f>
        <v>16231.5451822301</v>
      </c>
      <c r="R74" s="175"/>
      <c r="S74" s="178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</row>
    <row r="75" spans="1:49" s="11" customFormat="1" ht="14.4" x14ac:dyDescent="0.3">
      <c r="A75" s="206"/>
      <c r="B75" s="223"/>
      <c r="C75" s="223"/>
      <c r="D75" s="224"/>
      <c r="E75" s="223"/>
      <c r="F75" s="46"/>
      <c r="G75" s="46"/>
      <c r="H75" s="46"/>
      <c r="L75" s="14"/>
      <c r="M75" s="14"/>
      <c r="N75" s="14"/>
      <c r="O75" s="518"/>
      <c r="P75" s="518"/>
      <c r="Q75" s="519"/>
      <c r="R75" s="175"/>
      <c r="S75" s="178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</row>
    <row r="76" spans="1:49" s="11" customFormat="1" ht="14.4" x14ac:dyDescent="0.3">
      <c r="A76" s="206"/>
      <c r="B76" s="223"/>
      <c r="C76" s="223"/>
      <c r="D76" s="224"/>
      <c r="E76" s="223"/>
      <c r="F76" s="46"/>
      <c r="G76" s="46"/>
      <c r="H76" s="46"/>
      <c r="L76" s="14"/>
      <c r="M76" s="14"/>
      <c r="N76" s="14"/>
      <c r="O76" s="513" t="s">
        <v>13</v>
      </c>
      <c r="P76" s="513"/>
      <c r="Q76" s="151">
        <f>Q74-Q72</f>
        <v>12176.601642109927</v>
      </c>
      <c r="R76" s="175"/>
      <c r="S76" s="178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</row>
    <row r="77" spans="1:49" s="11" customFormat="1" x14ac:dyDescent="0.3">
      <c r="A77" s="206"/>
      <c r="B77" s="223"/>
      <c r="C77" s="223"/>
      <c r="D77" s="224"/>
      <c r="E77" s="223"/>
      <c r="F77" s="46"/>
      <c r="G77" s="46"/>
      <c r="H77" s="46"/>
      <c r="L77" s="14"/>
      <c r="M77" s="14"/>
      <c r="N77" s="14"/>
      <c r="O77" s="124"/>
      <c r="P77" s="124"/>
      <c r="Q77" s="57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</row>
    <row r="78" spans="1:49" s="69" customFormat="1" x14ac:dyDescent="0.3">
      <c r="A78" s="206"/>
      <c r="B78" s="223"/>
      <c r="C78" s="223"/>
      <c r="D78" s="224"/>
      <c r="E78" s="223"/>
      <c r="F78" s="46"/>
      <c r="G78" s="46"/>
      <c r="H78" s="46"/>
      <c r="I78" s="11"/>
      <c r="J78" s="11"/>
      <c r="K78" s="11"/>
      <c r="L78" s="14"/>
      <c r="M78" s="14"/>
      <c r="N78" s="14"/>
      <c r="O78" s="124"/>
      <c r="P78" s="124"/>
      <c r="Q78" s="57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s="69" customFormat="1" x14ac:dyDescent="0.3">
      <c r="A79" s="206"/>
      <c r="B79" s="223"/>
      <c r="C79" s="223"/>
      <c r="D79" s="224"/>
      <c r="E79" s="223"/>
      <c r="F79" s="46"/>
      <c r="G79" s="46"/>
      <c r="H79" s="46"/>
      <c r="I79" s="11"/>
      <c r="J79" s="11"/>
      <c r="K79" s="11"/>
      <c r="L79" s="14"/>
      <c r="M79" s="14"/>
      <c r="N79" s="14"/>
      <c r="O79" s="124"/>
      <c r="P79" s="124"/>
      <c r="Q79" s="57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s="69" customFormat="1" x14ac:dyDescent="0.3">
      <c r="A80" s="206"/>
      <c r="B80" s="223"/>
      <c r="C80" s="223"/>
      <c r="D80" s="224"/>
      <c r="E80" s="223"/>
      <c r="F80" s="46"/>
      <c r="G80" s="46"/>
      <c r="H80" s="46"/>
      <c r="I80" s="11"/>
      <c r="J80" s="11"/>
      <c r="K80" s="11"/>
      <c r="L80" s="14"/>
      <c r="M80" s="14"/>
      <c r="N80" s="14"/>
      <c r="O80" s="124"/>
      <c r="P80" s="124"/>
      <c r="Q80" s="57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s="69" customFormat="1" x14ac:dyDescent="0.3">
      <c r="A81" s="206"/>
      <c r="B81" s="223"/>
      <c r="C81" s="223"/>
      <c r="D81" s="224"/>
      <c r="E81" s="223"/>
      <c r="F81" s="46"/>
      <c r="G81" s="46"/>
      <c r="H81" s="46"/>
      <c r="I81" s="11"/>
      <c r="J81" s="11"/>
      <c r="K81" s="11"/>
      <c r="L81" s="14"/>
      <c r="M81" s="14"/>
      <c r="N81" s="14"/>
      <c r="O81" s="15"/>
      <c r="P81" s="14"/>
      <c r="Q81" s="57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s="69" customFormat="1" x14ac:dyDescent="0.3">
      <c r="A82" s="206"/>
      <c r="B82" s="223"/>
      <c r="C82" s="223"/>
      <c r="D82" s="224"/>
      <c r="E82" s="223"/>
      <c r="F82" s="46"/>
      <c r="G82" s="46"/>
      <c r="H82" s="46"/>
      <c r="I82" s="11"/>
      <c r="J82" s="11"/>
      <c r="K82" s="11"/>
      <c r="L82" s="14"/>
      <c r="M82" s="14"/>
      <c r="N82" s="14"/>
      <c r="O82" s="11"/>
      <c r="P82" s="15"/>
      <c r="Q82" s="57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s="69" customFormat="1" x14ac:dyDescent="0.3">
      <c r="A83" s="206"/>
      <c r="B83" s="223"/>
      <c r="C83" s="223"/>
      <c r="D83" s="224"/>
      <c r="E83" s="223"/>
      <c r="F83" s="46"/>
      <c r="G83" s="46"/>
      <c r="H83" s="46"/>
      <c r="I83" s="11"/>
      <c r="J83" s="11"/>
      <c r="K83" s="11"/>
      <c r="L83" s="14"/>
      <c r="M83" s="14"/>
      <c r="N83" s="14"/>
      <c r="O83" s="11"/>
      <c r="P83" s="11"/>
      <c r="Q83" s="57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s="69" customFormat="1" x14ac:dyDescent="0.3">
      <c r="A84" s="206"/>
      <c r="B84" s="223"/>
      <c r="C84" s="223"/>
      <c r="D84" s="224"/>
      <c r="E84" s="223"/>
      <c r="F84" s="46"/>
      <c r="G84" s="46"/>
      <c r="H84" s="46"/>
      <c r="I84" s="11"/>
      <c r="J84" s="11"/>
      <c r="K84" s="11"/>
      <c r="L84" s="14"/>
      <c r="M84" s="14"/>
      <c r="N84" s="14"/>
      <c r="O84" s="14"/>
      <c r="P84" s="14"/>
      <c r="Q84" s="57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s="69" customFormat="1" x14ac:dyDescent="0.3">
      <c r="A85" s="206"/>
      <c r="B85" s="223"/>
      <c r="C85" s="223"/>
      <c r="D85" s="224"/>
      <c r="E85" s="223"/>
      <c r="F85" s="46"/>
      <c r="G85" s="46"/>
      <c r="H85" s="46"/>
      <c r="I85" s="11"/>
      <c r="J85" s="11"/>
      <c r="K85" s="11"/>
      <c r="L85" s="14"/>
      <c r="M85" s="14"/>
      <c r="N85" s="14"/>
      <c r="O85" s="14"/>
      <c r="P85" s="15"/>
      <c r="Q85" s="57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s="69" customFormat="1" x14ac:dyDescent="0.3">
      <c r="A86" s="206"/>
      <c r="B86" s="223"/>
      <c r="C86" s="223"/>
      <c r="D86" s="224"/>
      <c r="E86" s="223"/>
      <c r="F86" s="46"/>
      <c r="G86" s="46"/>
      <c r="H86" s="46"/>
      <c r="I86" s="11"/>
      <c r="J86" s="11"/>
      <c r="K86" s="11"/>
      <c r="L86" s="14"/>
      <c r="M86" s="14"/>
      <c r="N86" s="14"/>
      <c r="O86" s="14"/>
      <c r="P86" s="11"/>
      <c r="Q86" s="57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s="69" customFormat="1" x14ac:dyDescent="0.3">
      <c r="A87" s="206"/>
      <c r="B87" s="223"/>
      <c r="C87" s="223"/>
      <c r="D87" s="224"/>
      <c r="E87" s="223"/>
      <c r="F87" s="46"/>
      <c r="G87" s="46"/>
      <c r="H87" s="46"/>
      <c r="I87" s="11"/>
      <c r="J87" s="11"/>
      <c r="K87" s="11"/>
      <c r="L87" s="14"/>
      <c r="M87" s="14"/>
      <c r="N87" s="14"/>
      <c r="O87" s="14"/>
      <c r="P87" s="11"/>
      <c r="Q87" s="57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s="69" customFormat="1" x14ac:dyDescent="0.3">
      <c r="A88" s="206"/>
      <c r="B88" s="223"/>
      <c r="C88" s="223"/>
      <c r="D88" s="224"/>
      <c r="E88" s="223"/>
      <c r="F88" s="46"/>
      <c r="G88" s="46"/>
      <c r="H88" s="46"/>
      <c r="I88" s="11"/>
      <c r="J88" s="11"/>
      <c r="K88" s="11"/>
      <c r="L88" s="14"/>
      <c r="M88" s="14"/>
      <c r="N88" s="14"/>
      <c r="O88" s="11"/>
      <c r="P88" s="11"/>
      <c r="Q88" s="57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69" customFormat="1" x14ac:dyDescent="0.3">
      <c r="A89" s="206"/>
      <c r="B89" s="223"/>
      <c r="C89" s="223"/>
      <c r="D89" s="224"/>
      <c r="E89" s="223"/>
      <c r="F89" s="46"/>
      <c r="G89" s="46"/>
      <c r="H89" s="46"/>
      <c r="L89" s="142"/>
      <c r="M89" s="142"/>
      <c r="N89" s="142"/>
      <c r="O89" s="11"/>
      <c r="P89" s="14"/>
      <c r="Q89" s="57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s="70" customFormat="1" x14ac:dyDescent="0.3">
      <c r="A90" s="206"/>
      <c r="B90" s="223"/>
      <c r="C90" s="223"/>
      <c r="D90" s="224"/>
      <c r="E90" s="223"/>
      <c r="F90" s="46"/>
      <c r="G90" s="46"/>
      <c r="H90" s="46"/>
      <c r="I90" s="63"/>
      <c r="J90" s="63"/>
      <c r="K90" s="63"/>
      <c r="L90" s="69"/>
      <c r="M90" s="69"/>
      <c r="N90" s="69"/>
      <c r="O90" s="11"/>
      <c r="P90" s="14"/>
      <c r="Q90" s="57"/>
    </row>
    <row r="91" spans="1:49" s="70" customFormat="1" ht="15" customHeight="1" x14ac:dyDescent="0.3">
      <c r="A91" s="206"/>
      <c r="B91" s="223"/>
      <c r="C91" s="223"/>
      <c r="D91" s="224"/>
      <c r="E91" s="223"/>
      <c r="F91" s="46"/>
      <c r="G91" s="46"/>
      <c r="H91" s="46"/>
      <c r="I91" s="11"/>
      <c r="J91" s="11"/>
      <c r="K91" s="63"/>
      <c r="L91" s="142"/>
      <c r="M91" s="142"/>
      <c r="N91" s="142"/>
      <c r="O91" s="11"/>
      <c r="P91" s="14"/>
      <c r="Q91" s="57"/>
      <c r="AW91" s="69"/>
    </row>
    <row r="92" spans="1:49" s="70" customFormat="1" x14ac:dyDescent="0.3">
      <c r="A92" s="206"/>
      <c r="B92" s="223"/>
      <c r="C92" s="223"/>
      <c r="D92" s="224"/>
      <c r="E92" s="223"/>
      <c r="F92" s="46"/>
      <c r="G92" s="46"/>
      <c r="H92" s="46"/>
      <c r="I92" s="142"/>
      <c r="J92" s="142"/>
      <c r="K92" s="142"/>
      <c r="L92" s="142"/>
      <c r="M92" s="142"/>
      <c r="N92" s="142"/>
      <c r="O92" s="11"/>
      <c r="P92" s="14"/>
      <c r="Q92" s="57"/>
      <c r="AW92" s="69"/>
    </row>
    <row r="93" spans="1:49" s="70" customFormat="1" x14ac:dyDescent="0.3">
      <c r="A93" s="206"/>
      <c r="B93" s="223"/>
      <c r="C93" s="223"/>
      <c r="D93" s="224"/>
      <c r="E93" s="223"/>
      <c r="F93" s="46"/>
      <c r="G93" s="46"/>
      <c r="H93" s="46"/>
      <c r="I93" s="11"/>
      <c r="J93" s="11"/>
      <c r="K93" s="63"/>
      <c r="L93" s="142"/>
      <c r="M93" s="142"/>
      <c r="N93" s="142"/>
      <c r="O93" s="11"/>
      <c r="P93" s="11"/>
      <c r="Q93" s="57"/>
      <c r="AW93" s="69"/>
    </row>
    <row r="94" spans="1:49" s="70" customFormat="1" x14ac:dyDescent="0.3">
      <c r="A94" s="206"/>
      <c r="B94" s="223"/>
      <c r="C94" s="223"/>
      <c r="D94" s="224"/>
      <c r="E94" s="223"/>
      <c r="F94" s="46"/>
      <c r="G94" s="46"/>
      <c r="H94" s="46"/>
      <c r="I94" s="142"/>
      <c r="J94" s="142"/>
      <c r="K94" s="142"/>
      <c r="L94" s="142"/>
      <c r="M94" s="142"/>
      <c r="N94" s="142"/>
      <c r="O94" s="11"/>
      <c r="P94" s="11"/>
      <c r="Q94" s="57"/>
      <c r="AW94" s="69"/>
    </row>
    <row r="95" spans="1:49" s="70" customFormat="1" x14ac:dyDescent="0.3">
      <c r="A95" s="206"/>
      <c r="B95" s="223"/>
      <c r="C95" s="223"/>
      <c r="D95" s="224"/>
      <c r="E95" s="223"/>
      <c r="F95" s="46"/>
      <c r="G95" s="46"/>
      <c r="H95" s="46"/>
      <c r="I95" s="11"/>
      <c r="J95" s="11"/>
      <c r="K95" s="63"/>
      <c r="L95" s="142"/>
      <c r="M95" s="142"/>
      <c r="N95" s="142"/>
      <c r="O95" s="69"/>
      <c r="P95" s="69"/>
      <c r="Q95" s="69"/>
      <c r="AW95" s="69"/>
    </row>
    <row r="96" spans="1:49" s="70" customFormat="1" x14ac:dyDescent="0.3">
      <c r="A96" s="206"/>
      <c r="B96" s="223"/>
      <c r="C96" s="223"/>
      <c r="D96" s="224"/>
      <c r="E96" s="223"/>
      <c r="F96" s="46"/>
      <c r="G96" s="46"/>
      <c r="H96" s="46"/>
      <c r="I96" s="142"/>
      <c r="J96" s="142"/>
      <c r="K96" s="142"/>
      <c r="L96" s="142"/>
      <c r="M96" s="142"/>
      <c r="N96" s="142"/>
      <c r="O96" s="69"/>
      <c r="P96" s="69"/>
      <c r="Q96" s="69"/>
      <c r="AW96" s="69"/>
    </row>
    <row r="97" spans="1:49" s="70" customFormat="1" x14ac:dyDescent="0.3">
      <c r="A97" s="206"/>
      <c r="B97" s="223"/>
      <c r="C97" s="223"/>
      <c r="D97" s="224"/>
      <c r="E97" s="223"/>
      <c r="F97" s="46"/>
      <c r="G97" s="46"/>
      <c r="H97" s="46"/>
      <c r="I97" s="11"/>
      <c r="J97" s="11"/>
      <c r="K97" s="63"/>
      <c r="L97" s="142"/>
      <c r="M97" s="142"/>
      <c r="N97" s="142"/>
      <c r="O97" s="69"/>
      <c r="P97" s="69"/>
      <c r="Q97" s="69"/>
      <c r="AW97" s="69"/>
    </row>
    <row r="98" spans="1:49" s="70" customFormat="1" x14ac:dyDescent="0.3">
      <c r="A98" s="206"/>
      <c r="B98" s="223"/>
      <c r="C98" s="223"/>
      <c r="D98" s="224"/>
      <c r="E98" s="223"/>
      <c r="F98" s="46"/>
      <c r="G98" s="46"/>
      <c r="H98" s="46"/>
      <c r="I98" s="142"/>
      <c r="J98" s="142"/>
      <c r="K98" s="142"/>
      <c r="L98" s="142"/>
      <c r="M98" s="142"/>
      <c r="N98" s="142"/>
      <c r="O98" s="69"/>
      <c r="P98" s="69"/>
      <c r="Q98" s="69"/>
      <c r="AW98" s="69"/>
    </row>
    <row r="99" spans="1:49" s="70" customFormat="1" x14ac:dyDescent="0.3">
      <c r="A99" s="206"/>
      <c r="B99" s="223"/>
      <c r="C99" s="223"/>
      <c r="D99" s="224"/>
      <c r="E99" s="223"/>
      <c r="F99" s="46"/>
      <c r="G99" s="46"/>
      <c r="H99" s="46"/>
      <c r="I99" s="11"/>
      <c r="J99" s="11"/>
      <c r="K99" s="63"/>
      <c r="L99" s="142"/>
      <c r="M99" s="142"/>
      <c r="N99" s="142"/>
      <c r="O99" s="69"/>
      <c r="P99" s="69"/>
      <c r="Q99" s="69"/>
      <c r="AW99" s="69"/>
    </row>
    <row r="100" spans="1:49" s="70" customFormat="1" x14ac:dyDescent="0.3">
      <c r="A100" s="148"/>
      <c r="B100" s="225"/>
      <c r="C100" s="225"/>
      <c r="D100" s="225"/>
      <c r="E100" s="225"/>
      <c r="F100" s="46"/>
      <c r="G100" s="46"/>
      <c r="H100" s="46"/>
      <c r="I100" s="142"/>
      <c r="J100" s="142"/>
      <c r="K100" s="142"/>
      <c r="L100" s="142"/>
      <c r="M100" s="142"/>
      <c r="N100" s="142"/>
      <c r="O100" s="69"/>
      <c r="P100" s="69"/>
      <c r="Q100" s="69"/>
      <c r="AW100" s="69"/>
    </row>
    <row r="101" spans="1:49" s="70" customFormat="1" x14ac:dyDescent="0.3">
      <c r="A101" s="69"/>
      <c r="B101" s="69"/>
      <c r="C101" s="69"/>
      <c r="D101" s="69"/>
      <c r="E101" s="69"/>
      <c r="F101" s="69"/>
      <c r="G101" s="69"/>
      <c r="H101" s="69"/>
      <c r="I101" s="142"/>
      <c r="J101" s="142"/>
      <c r="K101" s="142"/>
      <c r="L101" s="142"/>
      <c r="M101" s="142"/>
      <c r="N101" s="142"/>
      <c r="O101" s="69"/>
      <c r="P101" s="69"/>
      <c r="Q101" s="69"/>
      <c r="AW101" s="69"/>
    </row>
    <row r="102" spans="1:49" s="70" customFormat="1" x14ac:dyDescent="0.3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142"/>
      <c r="M102" s="142"/>
      <c r="N102" s="142"/>
      <c r="O102" s="144"/>
      <c r="P102" s="69"/>
      <c r="Q102" s="69"/>
      <c r="AW102" s="69"/>
    </row>
    <row r="103" spans="1:49" s="70" customFormat="1" x14ac:dyDescent="0.3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142"/>
      <c r="M103" s="142"/>
      <c r="N103" s="142"/>
      <c r="O103" s="144"/>
      <c r="P103" s="69"/>
      <c r="Q103" s="69"/>
      <c r="AW103" s="69"/>
    </row>
    <row r="104" spans="1:49" s="70" customFormat="1" x14ac:dyDescent="0.3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142"/>
      <c r="M104" s="142"/>
      <c r="N104" s="142"/>
      <c r="O104" s="144"/>
      <c r="P104" s="69"/>
      <c r="AW104" s="69"/>
    </row>
    <row r="105" spans="1:49" s="70" customFormat="1" x14ac:dyDescent="0.3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142"/>
      <c r="M105" s="142"/>
      <c r="N105" s="142"/>
      <c r="O105" s="144"/>
      <c r="P105" s="69"/>
      <c r="AW105" s="69"/>
    </row>
    <row r="106" spans="1:49" s="70" customFormat="1" x14ac:dyDescent="0.3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142"/>
      <c r="M106" s="142"/>
      <c r="N106" s="142"/>
      <c r="O106" s="144"/>
      <c r="P106" s="69"/>
      <c r="AW106" s="69"/>
    </row>
    <row r="107" spans="1:49" s="70" customFormat="1" x14ac:dyDescent="0.3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142"/>
      <c r="M107" s="142"/>
      <c r="N107" s="142"/>
      <c r="O107" s="144"/>
      <c r="P107" s="144"/>
      <c r="AW107" s="69"/>
    </row>
    <row r="108" spans="1:49" s="70" customFormat="1" x14ac:dyDescent="0.3">
      <c r="F108" s="69"/>
      <c r="G108" s="69"/>
      <c r="H108" s="69"/>
      <c r="I108" s="69"/>
      <c r="J108" s="69"/>
      <c r="K108" s="69"/>
      <c r="L108" s="142"/>
      <c r="M108" s="142"/>
      <c r="N108" s="142"/>
      <c r="O108" s="144"/>
      <c r="P108" s="144"/>
      <c r="AW108" s="69"/>
    </row>
    <row r="109" spans="1:49" s="70" customFormat="1" x14ac:dyDescent="0.3">
      <c r="I109" s="69"/>
      <c r="J109" s="69"/>
      <c r="K109" s="69"/>
      <c r="L109" s="142"/>
      <c r="M109" s="142"/>
      <c r="N109" s="142"/>
      <c r="O109" s="144"/>
      <c r="P109" s="144"/>
      <c r="AW109" s="69"/>
    </row>
    <row r="110" spans="1:49" s="70" customFormat="1" x14ac:dyDescent="0.3">
      <c r="L110" s="142"/>
      <c r="M110" s="142"/>
      <c r="N110" s="142"/>
      <c r="O110" s="144"/>
      <c r="P110" s="144"/>
      <c r="AW110" s="69"/>
    </row>
    <row r="111" spans="1:49" s="70" customFormat="1" x14ac:dyDescent="0.3">
      <c r="L111" s="142"/>
      <c r="M111" s="142"/>
      <c r="N111" s="142"/>
      <c r="O111" s="144"/>
      <c r="P111" s="144"/>
      <c r="AW111" s="69"/>
    </row>
    <row r="112" spans="1:49" s="70" customFormat="1" x14ac:dyDescent="0.3">
      <c r="L112" s="142"/>
      <c r="M112" s="142"/>
      <c r="N112" s="142"/>
      <c r="O112" s="144"/>
      <c r="P112" s="144"/>
      <c r="AW112" s="69"/>
    </row>
    <row r="113" spans="12:49" s="70" customFormat="1" x14ac:dyDescent="0.3">
      <c r="L113" s="142"/>
      <c r="M113" s="142"/>
      <c r="N113" s="142"/>
      <c r="O113" s="144"/>
      <c r="P113" s="144"/>
      <c r="AW113" s="69"/>
    </row>
    <row r="114" spans="12:49" s="70" customFormat="1" x14ac:dyDescent="0.3">
      <c r="L114" s="142"/>
      <c r="M114" s="142"/>
      <c r="N114" s="142"/>
      <c r="O114" s="144"/>
      <c r="P114" s="144"/>
      <c r="AW114" s="69"/>
    </row>
    <row r="115" spans="12:49" s="70" customFormat="1" x14ac:dyDescent="0.3">
      <c r="L115" s="142"/>
      <c r="M115" s="142"/>
      <c r="N115" s="142"/>
      <c r="O115" s="144"/>
      <c r="P115" s="144"/>
      <c r="AW115" s="69"/>
    </row>
    <row r="116" spans="12:49" s="70" customFormat="1" x14ac:dyDescent="0.3">
      <c r="L116" s="142"/>
      <c r="M116" s="142"/>
      <c r="N116" s="142"/>
      <c r="O116" s="144"/>
      <c r="P116" s="144"/>
      <c r="AW116" s="69"/>
    </row>
    <row r="117" spans="12:49" s="70" customFormat="1" x14ac:dyDescent="0.3">
      <c r="L117" s="142"/>
      <c r="M117" s="142"/>
      <c r="N117" s="142"/>
      <c r="O117" s="144"/>
      <c r="P117" s="144"/>
      <c r="AW117" s="69"/>
    </row>
    <row r="118" spans="12:49" s="70" customFormat="1" x14ac:dyDescent="0.3">
      <c r="L118" s="142"/>
      <c r="M118" s="142"/>
      <c r="N118" s="142"/>
      <c r="O118" s="144"/>
      <c r="P118" s="144"/>
      <c r="AW118" s="69"/>
    </row>
    <row r="119" spans="12:49" s="70" customFormat="1" x14ac:dyDescent="0.3">
      <c r="L119" s="142"/>
      <c r="M119" s="142"/>
      <c r="N119" s="142"/>
      <c r="O119" s="144"/>
      <c r="P119" s="144"/>
      <c r="AW119" s="69"/>
    </row>
    <row r="120" spans="12:49" s="70" customFormat="1" x14ac:dyDescent="0.3">
      <c r="L120" s="142"/>
      <c r="M120" s="142"/>
      <c r="N120" s="142"/>
      <c r="O120" s="144"/>
      <c r="P120" s="144"/>
      <c r="AW120" s="69"/>
    </row>
    <row r="121" spans="12:49" s="70" customFormat="1" x14ac:dyDescent="0.3">
      <c r="L121" s="142"/>
      <c r="M121" s="142"/>
      <c r="N121" s="142"/>
      <c r="O121" s="144"/>
      <c r="P121" s="144"/>
      <c r="AW121" s="69"/>
    </row>
    <row r="122" spans="12:49" s="70" customFormat="1" x14ac:dyDescent="0.3">
      <c r="L122" s="142"/>
      <c r="M122" s="142"/>
      <c r="N122" s="142"/>
      <c r="O122" s="144"/>
      <c r="P122" s="144"/>
      <c r="AW122" s="69"/>
    </row>
    <row r="123" spans="12:49" s="70" customFormat="1" x14ac:dyDescent="0.3">
      <c r="L123" s="142"/>
      <c r="M123" s="142"/>
      <c r="N123" s="142"/>
      <c r="O123" s="144"/>
      <c r="P123" s="144"/>
      <c r="AW123" s="69"/>
    </row>
    <row r="124" spans="12:49" s="70" customFormat="1" x14ac:dyDescent="0.3">
      <c r="L124" s="142"/>
      <c r="M124" s="142"/>
      <c r="N124" s="142"/>
      <c r="O124" s="144"/>
      <c r="P124" s="144"/>
      <c r="AW124" s="69"/>
    </row>
    <row r="125" spans="12:49" s="70" customFormat="1" x14ac:dyDescent="0.3">
      <c r="L125" s="142"/>
      <c r="M125" s="142"/>
      <c r="N125" s="142"/>
      <c r="O125" s="144"/>
      <c r="P125" s="144"/>
      <c r="AW125" s="69"/>
    </row>
    <row r="126" spans="12:49" s="70" customFormat="1" x14ac:dyDescent="0.3">
      <c r="L126" s="142"/>
      <c r="M126" s="142"/>
      <c r="N126" s="142"/>
      <c r="O126" s="144"/>
      <c r="P126" s="144"/>
      <c r="AW126" s="69"/>
    </row>
    <row r="127" spans="12:49" s="70" customFormat="1" x14ac:dyDescent="0.3">
      <c r="L127" s="142"/>
      <c r="M127" s="142"/>
      <c r="N127" s="142"/>
      <c r="O127" s="144"/>
      <c r="P127" s="144"/>
      <c r="AW127" s="69"/>
    </row>
    <row r="128" spans="12:49" s="70" customFormat="1" x14ac:dyDescent="0.3">
      <c r="L128" s="142"/>
      <c r="M128" s="142"/>
      <c r="N128" s="142"/>
      <c r="O128" s="144"/>
      <c r="P128" s="144"/>
      <c r="AW128" s="69"/>
    </row>
    <row r="129" spans="12:49" s="70" customFormat="1" x14ac:dyDescent="0.3">
      <c r="L129" s="142"/>
      <c r="M129" s="142"/>
      <c r="N129" s="142"/>
      <c r="O129" s="144"/>
      <c r="P129" s="144"/>
      <c r="AW129" s="69"/>
    </row>
    <row r="130" spans="12:49" s="70" customFormat="1" x14ac:dyDescent="0.3">
      <c r="L130" s="142"/>
      <c r="M130" s="142"/>
      <c r="N130" s="142"/>
      <c r="O130" s="144"/>
      <c r="P130" s="144"/>
      <c r="AW130" s="69"/>
    </row>
    <row r="131" spans="12:49" s="70" customFormat="1" x14ac:dyDescent="0.3">
      <c r="L131" s="142"/>
      <c r="M131" s="142"/>
      <c r="N131" s="142"/>
      <c r="O131" s="144"/>
      <c r="P131" s="144"/>
      <c r="AW131" s="69"/>
    </row>
    <row r="132" spans="12:49" s="70" customFormat="1" x14ac:dyDescent="0.3">
      <c r="L132" s="142"/>
      <c r="M132" s="142"/>
      <c r="N132" s="142"/>
      <c r="O132" s="144"/>
      <c r="P132" s="144"/>
      <c r="AW132" s="69"/>
    </row>
    <row r="133" spans="12:49" s="70" customFormat="1" x14ac:dyDescent="0.3">
      <c r="L133" s="142"/>
      <c r="M133" s="142"/>
      <c r="N133" s="142"/>
      <c r="O133" s="144"/>
      <c r="P133" s="144"/>
      <c r="AW133" s="69"/>
    </row>
    <row r="134" spans="12:49" s="70" customFormat="1" x14ac:dyDescent="0.3">
      <c r="L134" s="142"/>
      <c r="M134" s="142"/>
      <c r="N134" s="142"/>
      <c r="O134" s="144"/>
      <c r="P134" s="144"/>
      <c r="AW134" s="69"/>
    </row>
    <row r="135" spans="12:49" s="70" customFormat="1" x14ac:dyDescent="0.3">
      <c r="L135" s="142"/>
      <c r="M135" s="142"/>
      <c r="N135" s="142"/>
      <c r="O135" s="144"/>
      <c r="P135" s="144"/>
      <c r="AW135" s="69"/>
    </row>
    <row r="136" spans="12:49" s="70" customFormat="1" x14ac:dyDescent="0.3">
      <c r="L136" s="142"/>
      <c r="M136" s="142"/>
      <c r="N136" s="142"/>
      <c r="O136" s="144"/>
      <c r="P136" s="144"/>
      <c r="AW136" s="69"/>
    </row>
    <row r="137" spans="12:49" s="70" customFormat="1" x14ac:dyDescent="0.3">
      <c r="L137" s="142"/>
      <c r="M137" s="142"/>
      <c r="N137" s="142"/>
      <c r="O137" s="144"/>
      <c r="P137" s="144"/>
      <c r="AW137" s="69"/>
    </row>
    <row r="138" spans="12:49" s="70" customFormat="1" x14ac:dyDescent="0.3">
      <c r="L138" s="142"/>
      <c r="M138" s="142"/>
      <c r="N138" s="142"/>
      <c r="O138" s="144"/>
      <c r="P138" s="144"/>
      <c r="AW138" s="69"/>
    </row>
    <row r="139" spans="12:49" s="70" customFormat="1" x14ac:dyDescent="0.3">
      <c r="L139" s="142"/>
      <c r="M139" s="142"/>
      <c r="N139" s="142"/>
      <c r="O139" s="144"/>
      <c r="P139" s="144"/>
      <c r="AW139" s="69"/>
    </row>
    <row r="140" spans="12:49" s="70" customFormat="1" x14ac:dyDescent="0.3">
      <c r="L140" s="142"/>
      <c r="M140" s="142"/>
      <c r="N140" s="142"/>
      <c r="O140" s="144"/>
      <c r="P140" s="144"/>
      <c r="AW140" s="69"/>
    </row>
    <row r="141" spans="12:49" s="70" customFormat="1" x14ac:dyDescent="0.3">
      <c r="L141" s="142"/>
      <c r="M141" s="142"/>
      <c r="N141" s="142"/>
      <c r="O141" s="144"/>
      <c r="P141" s="144"/>
      <c r="AW141" s="69"/>
    </row>
    <row r="142" spans="12:49" s="70" customFormat="1" x14ac:dyDescent="0.3">
      <c r="L142" s="142"/>
      <c r="M142" s="142"/>
      <c r="N142" s="142"/>
      <c r="O142" s="144"/>
      <c r="P142" s="144"/>
      <c r="AW142" s="69"/>
    </row>
    <row r="143" spans="12:49" s="70" customFormat="1" x14ac:dyDescent="0.3">
      <c r="L143" s="142"/>
      <c r="M143" s="142"/>
      <c r="N143" s="142"/>
      <c r="O143" s="144"/>
      <c r="P143" s="144"/>
      <c r="AW143" s="69"/>
    </row>
    <row r="144" spans="12:49" s="70" customFormat="1" x14ac:dyDescent="0.3">
      <c r="L144" s="142"/>
      <c r="M144" s="142"/>
      <c r="N144" s="142"/>
      <c r="O144" s="144"/>
      <c r="P144" s="144"/>
      <c r="AW144" s="69"/>
    </row>
    <row r="145" spans="12:49" s="70" customFormat="1" x14ac:dyDescent="0.3">
      <c r="L145" s="142"/>
      <c r="M145" s="142"/>
      <c r="N145" s="142"/>
      <c r="O145" s="144"/>
      <c r="P145" s="144"/>
      <c r="AW145" s="69"/>
    </row>
    <row r="146" spans="12:49" s="70" customFormat="1" x14ac:dyDescent="0.3">
      <c r="L146" s="142"/>
      <c r="M146" s="142"/>
      <c r="N146" s="142"/>
      <c r="O146" s="144"/>
      <c r="P146" s="144"/>
      <c r="AW146" s="69"/>
    </row>
    <row r="147" spans="12:49" s="70" customFormat="1" x14ac:dyDescent="0.3">
      <c r="L147" s="142"/>
      <c r="M147" s="142"/>
      <c r="N147" s="142"/>
      <c r="O147" s="144"/>
      <c r="P147" s="144"/>
      <c r="AW147" s="69"/>
    </row>
    <row r="148" spans="12:49" s="70" customFormat="1" x14ac:dyDescent="0.3">
      <c r="L148" s="142"/>
      <c r="M148" s="142"/>
      <c r="N148" s="142"/>
      <c r="O148" s="144"/>
      <c r="P148" s="144"/>
      <c r="AW148" s="69"/>
    </row>
    <row r="149" spans="12:49" s="70" customFormat="1" x14ac:dyDescent="0.3">
      <c r="L149" s="142"/>
      <c r="M149" s="142"/>
      <c r="N149" s="142"/>
      <c r="O149" s="144"/>
      <c r="P149" s="144"/>
      <c r="AW149" s="69"/>
    </row>
    <row r="150" spans="12:49" s="70" customFormat="1" x14ac:dyDescent="0.3">
      <c r="L150" s="142"/>
      <c r="M150" s="142"/>
      <c r="N150" s="142"/>
      <c r="O150" s="144"/>
      <c r="P150" s="144"/>
      <c r="AW150" s="69"/>
    </row>
    <row r="151" spans="12:49" s="70" customFormat="1" x14ac:dyDescent="0.3">
      <c r="L151" s="142"/>
      <c r="M151" s="142"/>
      <c r="N151" s="142"/>
      <c r="O151" s="144"/>
      <c r="P151" s="144"/>
      <c r="AW151" s="69"/>
    </row>
    <row r="152" spans="12:49" s="70" customFormat="1" x14ac:dyDescent="0.3">
      <c r="L152" s="142"/>
      <c r="M152" s="142"/>
      <c r="N152" s="142"/>
      <c r="O152" s="144"/>
      <c r="P152" s="144"/>
      <c r="AW152" s="69"/>
    </row>
    <row r="153" spans="12:49" s="70" customFormat="1" x14ac:dyDescent="0.3">
      <c r="L153" s="142"/>
      <c r="M153" s="142"/>
      <c r="N153" s="142"/>
      <c r="O153" s="144"/>
      <c r="P153" s="144"/>
      <c r="AW153" s="69"/>
    </row>
    <row r="154" spans="12:49" s="70" customFormat="1" x14ac:dyDescent="0.3">
      <c r="L154" s="142"/>
      <c r="M154" s="142"/>
      <c r="N154" s="142"/>
      <c r="O154" s="144"/>
      <c r="P154" s="144"/>
      <c r="AW154" s="69"/>
    </row>
    <row r="155" spans="12:49" s="70" customFormat="1" x14ac:dyDescent="0.3">
      <c r="L155" s="142"/>
      <c r="M155" s="142"/>
      <c r="N155" s="142"/>
      <c r="O155" s="144"/>
      <c r="P155" s="144"/>
      <c r="AW155" s="69"/>
    </row>
    <row r="156" spans="12:49" s="70" customFormat="1" x14ac:dyDescent="0.3">
      <c r="L156" s="142"/>
      <c r="M156" s="142"/>
      <c r="N156" s="142"/>
      <c r="O156" s="144"/>
      <c r="P156" s="144"/>
      <c r="AW156" s="69"/>
    </row>
    <row r="157" spans="12:49" s="70" customFormat="1" x14ac:dyDescent="0.3">
      <c r="L157" s="142"/>
      <c r="M157" s="142"/>
      <c r="N157" s="142"/>
      <c r="O157" s="144"/>
      <c r="P157" s="144"/>
      <c r="AW157" s="69"/>
    </row>
    <row r="158" spans="12:49" s="70" customFormat="1" x14ac:dyDescent="0.3">
      <c r="L158" s="142"/>
      <c r="M158" s="142"/>
      <c r="N158" s="142"/>
      <c r="O158" s="144"/>
      <c r="P158" s="144"/>
      <c r="AW158" s="69"/>
    </row>
    <row r="159" spans="12:49" s="70" customFormat="1" x14ac:dyDescent="0.3">
      <c r="L159" s="142"/>
      <c r="M159" s="142"/>
      <c r="N159" s="142"/>
      <c r="O159" s="144"/>
      <c r="P159" s="144"/>
      <c r="AW159" s="69"/>
    </row>
    <row r="160" spans="12:49" s="70" customFormat="1" x14ac:dyDescent="0.3">
      <c r="L160" s="142"/>
      <c r="M160" s="142"/>
      <c r="N160" s="142"/>
      <c r="O160" s="144"/>
      <c r="P160" s="144"/>
      <c r="AW160" s="69"/>
    </row>
    <row r="161" spans="1:50" s="70" customFormat="1" x14ac:dyDescent="0.3">
      <c r="L161" s="142"/>
      <c r="M161" s="142"/>
      <c r="N161" s="142"/>
      <c r="O161" s="144"/>
      <c r="P161" s="144"/>
      <c r="AW161" s="69"/>
    </row>
    <row r="162" spans="1:50" s="70" customFormat="1" x14ac:dyDescent="0.3">
      <c r="L162" s="142"/>
      <c r="M162" s="142"/>
      <c r="N162" s="142"/>
      <c r="O162" s="144"/>
      <c r="P162" s="144"/>
      <c r="AW162" s="69"/>
    </row>
    <row r="163" spans="1:50" s="70" customFormat="1" x14ac:dyDescent="0.3">
      <c r="L163" s="142"/>
      <c r="M163" s="142"/>
      <c r="N163" s="142"/>
      <c r="O163" s="144"/>
      <c r="P163" s="144"/>
      <c r="AW163" s="69"/>
    </row>
    <row r="164" spans="1:50" s="70" customFormat="1" x14ac:dyDescent="0.3">
      <c r="L164" s="142"/>
      <c r="M164" s="142"/>
      <c r="N164" s="142"/>
      <c r="O164" s="144"/>
      <c r="P164" s="144"/>
      <c r="AW164" s="69"/>
    </row>
    <row r="165" spans="1:50" s="145" customFormat="1" x14ac:dyDescent="0.3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142"/>
      <c r="M165" s="142"/>
      <c r="N165" s="142"/>
      <c r="O165" s="144"/>
      <c r="P165" s="144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 s="69"/>
      <c r="AX165" s="70"/>
    </row>
    <row r="166" spans="1:50" s="145" customFormat="1" x14ac:dyDescent="0.3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142"/>
      <c r="M166" s="142"/>
      <c r="N166" s="142"/>
      <c r="O166" s="144"/>
      <c r="P166" s="144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69"/>
      <c r="AX166" s="70"/>
    </row>
    <row r="167" spans="1:50" s="145" customFormat="1" x14ac:dyDescent="0.3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142"/>
      <c r="M167" s="142"/>
      <c r="N167" s="142"/>
      <c r="O167" s="144"/>
      <c r="P167" s="144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69"/>
      <c r="AX167" s="70"/>
    </row>
    <row r="168" spans="1:50" s="145" customFormat="1" x14ac:dyDescent="0.3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142"/>
      <c r="M168" s="142"/>
      <c r="N168" s="142"/>
      <c r="O168" s="144"/>
      <c r="P168" s="144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69"/>
      <c r="AX168" s="70"/>
    </row>
    <row r="169" spans="1:50" s="145" customFormat="1" x14ac:dyDescent="0.3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142"/>
      <c r="M169" s="142"/>
      <c r="N169" s="142"/>
      <c r="O169" s="144"/>
      <c r="P169" s="144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69"/>
      <c r="AX169" s="70"/>
    </row>
    <row r="170" spans="1:50" s="145" customFormat="1" x14ac:dyDescent="0.3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142"/>
      <c r="M170" s="142"/>
      <c r="N170" s="142"/>
      <c r="O170" s="144"/>
      <c r="P170" s="144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69"/>
      <c r="AX170" s="70"/>
    </row>
    <row r="171" spans="1:50" s="145" customFormat="1" x14ac:dyDescent="0.3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142"/>
      <c r="M171" s="142"/>
      <c r="N171" s="142"/>
      <c r="O171" s="144"/>
      <c r="P171" s="144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69"/>
      <c r="AX171" s="70"/>
    </row>
    <row r="172" spans="1:50" s="145" customFormat="1" x14ac:dyDescent="0.3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142"/>
      <c r="M172" s="142"/>
      <c r="N172" s="142"/>
      <c r="O172" s="144"/>
      <c r="P172" s="144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69"/>
      <c r="AX172" s="70"/>
    </row>
    <row r="173" spans="1:50" s="145" customFormat="1" x14ac:dyDescent="0.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142"/>
      <c r="M173" s="142"/>
      <c r="N173" s="142"/>
      <c r="O173" s="144"/>
      <c r="P173" s="144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69"/>
      <c r="AX173" s="70"/>
    </row>
    <row r="174" spans="1:50" s="145" customFormat="1" x14ac:dyDescent="0.3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142"/>
      <c r="M174" s="142"/>
      <c r="N174" s="142"/>
      <c r="O174" s="144"/>
      <c r="P174" s="144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69"/>
      <c r="AX174" s="70"/>
    </row>
    <row r="175" spans="1:50" s="145" customFormat="1" x14ac:dyDescent="0.3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142"/>
      <c r="M175" s="142"/>
      <c r="N175" s="142"/>
      <c r="O175" s="144"/>
      <c r="P175" s="144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69"/>
      <c r="AX175" s="70"/>
    </row>
    <row r="176" spans="1:50" s="145" customFormat="1" x14ac:dyDescent="0.3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142"/>
      <c r="M176" s="142"/>
      <c r="N176" s="142"/>
      <c r="O176" s="144"/>
      <c r="P176" s="144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69"/>
      <c r="AX176" s="70"/>
    </row>
    <row r="177" spans="1:50" s="145" customFormat="1" x14ac:dyDescent="0.3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146"/>
      <c r="M177" s="146"/>
      <c r="N177" s="146"/>
      <c r="O177" s="144"/>
      <c r="P177" s="144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69"/>
      <c r="AX177" s="70"/>
    </row>
    <row r="178" spans="1:50" s="145" customFormat="1" x14ac:dyDescent="0.3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146"/>
      <c r="M178" s="146"/>
      <c r="N178" s="146"/>
      <c r="O178" s="144"/>
      <c r="P178" s="144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69"/>
      <c r="AX178" s="70"/>
    </row>
    <row r="179" spans="1:50" s="145" customFormat="1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146"/>
      <c r="M179" s="146"/>
      <c r="N179" s="146"/>
      <c r="O179" s="147"/>
      <c r="P179" s="144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69"/>
      <c r="AX179" s="70"/>
    </row>
    <row r="180" spans="1:50" s="145" customFormat="1" x14ac:dyDescent="0.3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146"/>
      <c r="M180" s="146"/>
      <c r="N180" s="146"/>
      <c r="O180" s="147"/>
      <c r="P180" s="144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69"/>
      <c r="AX180" s="70"/>
    </row>
    <row r="181" spans="1:50" s="145" customFormat="1" x14ac:dyDescent="0.3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146"/>
      <c r="M181" s="146"/>
      <c r="N181" s="146"/>
      <c r="O181" s="147"/>
      <c r="P181" s="144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69"/>
      <c r="AX181" s="70"/>
    </row>
    <row r="182" spans="1:50" x14ac:dyDescent="0.3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146"/>
      <c r="M182" s="146"/>
      <c r="N182" s="146"/>
      <c r="O182" s="147"/>
      <c r="P182" s="144"/>
      <c r="Q182" s="149"/>
      <c r="AW182" s="148"/>
      <c r="AX182" s="148"/>
    </row>
    <row r="183" spans="1:50" x14ac:dyDescent="0.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146"/>
      <c r="M183" s="146"/>
      <c r="N183" s="146"/>
      <c r="O183" s="147"/>
      <c r="P183" s="144"/>
      <c r="Q183" s="149"/>
      <c r="AW183" s="148"/>
      <c r="AX183" s="148"/>
    </row>
    <row r="184" spans="1:50" x14ac:dyDescent="0.3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146"/>
      <c r="M184" s="146"/>
      <c r="N184" s="146"/>
      <c r="O184" s="147"/>
      <c r="P184" s="147"/>
      <c r="Q184" s="149"/>
      <c r="AW184" s="148"/>
      <c r="AX184" s="148"/>
    </row>
    <row r="185" spans="1:50" x14ac:dyDescent="0.3">
      <c r="A185" s="149"/>
      <c r="B185" s="149"/>
      <c r="C185" s="149"/>
      <c r="D185" s="149"/>
      <c r="E185" s="149"/>
      <c r="F185" s="70"/>
      <c r="G185" s="70"/>
      <c r="H185" s="70"/>
      <c r="I185" s="70"/>
      <c r="J185" s="70"/>
      <c r="K185" s="70"/>
      <c r="L185" s="146"/>
      <c r="M185" s="146"/>
      <c r="N185" s="146"/>
      <c r="O185" s="147"/>
      <c r="P185" s="147"/>
      <c r="Q185" s="149"/>
      <c r="AW185" s="148"/>
      <c r="AX185" s="148"/>
    </row>
    <row r="186" spans="1:50" x14ac:dyDescent="0.3">
      <c r="A186" s="149"/>
      <c r="B186" s="149"/>
      <c r="C186" s="149"/>
      <c r="D186" s="149"/>
      <c r="E186" s="149"/>
      <c r="F186" s="149"/>
      <c r="G186" s="149"/>
      <c r="H186" s="149"/>
      <c r="I186" s="70"/>
      <c r="J186" s="70"/>
      <c r="K186" s="70"/>
      <c r="L186" s="146"/>
      <c r="M186" s="146"/>
      <c r="N186" s="146"/>
      <c r="O186" s="147"/>
      <c r="P186" s="147"/>
      <c r="Q186" s="149"/>
      <c r="AW186" s="148"/>
      <c r="AX186" s="148"/>
    </row>
    <row r="187" spans="1:50" x14ac:dyDescent="0.3">
      <c r="A187" s="149"/>
      <c r="B187" s="149"/>
      <c r="C187" s="149"/>
      <c r="D187" s="149"/>
      <c r="E187" s="149"/>
      <c r="F187" s="149"/>
      <c r="G187" s="149"/>
      <c r="H187" s="149"/>
      <c r="I187" s="149"/>
      <c r="J187" s="149"/>
      <c r="K187" s="149"/>
      <c r="L187" s="146"/>
      <c r="M187" s="146"/>
      <c r="N187" s="146"/>
      <c r="O187" s="147"/>
      <c r="P187" s="147"/>
      <c r="Q187" s="149"/>
      <c r="AW187" s="148"/>
      <c r="AX187" s="148"/>
    </row>
    <row r="188" spans="1:50" x14ac:dyDescent="0.3">
      <c r="A188" s="149"/>
      <c r="B188" s="149"/>
      <c r="C188" s="149"/>
      <c r="D188" s="149"/>
      <c r="E188" s="149"/>
      <c r="F188" s="149"/>
      <c r="G188" s="149"/>
      <c r="H188" s="149"/>
      <c r="I188" s="149"/>
      <c r="J188" s="149"/>
      <c r="K188" s="149"/>
      <c r="L188" s="146"/>
      <c r="M188" s="146"/>
      <c r="N188" s="146"/>
      <c r="O188" s="147"/>
      <c r="P188" s="147"/>
      <c r="Q188" s="149"/>
      <c r="AW188" s="148"/>
      <c r="AX188" s="148"/>
    </row>
    <row r="189" spans="1:50" x14ac:dyDescent="0.3">
      <c r="A189" s="149"/>
      <c r="B189" s="149"/>
      <c r="C189" s="149"/>
      <c r="D189" s="149"/>
      <c r="E189" s="149"/>
      <c r="F189" s="149"/>
      <c r="G189" s="149"/>
      <c r="H189" s="149"/>
      <c r="I189" s="149"/>
      <c r="J189" s="149"/>
      <c r="K189" s="149"/>
      <c r="L189" s="146"/>
      <c r="M189" s="146"/>
      <c r="N189" s="146"/>
      <c r="O189" s="147"/>
      <c r="P189" s="147"/>
      <c r="Q189" s="149"/>
      <c r="AW189" s="148"/>
      <c r="AX189" s="148"/>
    </row>
    <row r="190" spans="1:50" x14ac:dyDescent="0.3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6"/>
      <c r="M190" s="146"/>
      <c r="N190" s="146"/>
      <c r="O190" s="147"/>
      <c r="P190" s="147"/>
      <c r="Q190" s="149"/>
      <c r="AW190" s="148"/>
      <c r="AX190" s="148"/>
    </row>
    <row r="191" spans="1:50" x14ac:dyDescent="0.3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6"/>
      <c r="M191" s="146"/>
      <c r="N191" s="146"/>
      <c r="O191" s="147"/>
      <c r="P191" s="147"/>
      <c r="Q191" s="149"/>
      <c r="AW191" s="148"/>
      <c r="AX191" s="148"/>
    </row>
    <row r="192" spans="1:50" x14ac:dyDescent="0.3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6"/>
      <c r="M192" s="146"/>
      <c r="N192" s="146"/>
      <c r="O192" s="147"/>
      <c r="P192" s="147"/>
      <c r="Q192" s="149"/>
      <c r="AW192" s="148"/>
      <c r="AX192" s="148"/>
    </row>
    <row r="193" spans="1:50" x14ac:dyDescent="0.3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6"/>
      <c r="M193" s="146"/>
      <c r="N193" s="146"/>
      <c r="O193" s="147"/>
      <c r="P193" s="147"/>
      <c r="Q193" s="149"/>
      <c r="AW193" s="148"/>
      <c r="AX193" s="148"/>
    </row>
    <row r="194" spans="1:50" x14ac:dyDescent="0.3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O194" s="147"/>
      <c r="P194" s="147"/>
    </row>
    <row r="195" spans="1:50" x14ac:dyDescent="0.3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O195" s="147"/>
      <c r="P195" s="147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/>
      <c r="AO195" s="69"/>
      <c r="AP195" s="69"/>
      <c r="AQ195" s="69"/>
      <c r="AR195" s="69"/>
      <c r="AS195" s="69"/>
      <c r="AT195" s="69"/>
      <c r="AU195" s="69"/>
      <c r="AV195" s="69"/>
      <c r="AW195" s="148"/>
      <c r="AX195" s="148"/>
    </row>
    <row r="196" spans="1:50" x14ac:dyDescent="0.3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P196" s="147"/>
    </row>
    <row r="197" spans="1:50" x14ac:dyDescent="0.3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P197" s="147"/>
    </row>
    <row r="198" spans="1:50" x14ac:dyDescent="0.3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P198" s="147"/>
    </row>
    <row r="199" spans="1:50" x14ac:dyDescent="0.3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P199" s="147"/>
    </row>
    <row r="200" spans="1:50" x14ac:dyDescent="0.3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  <c r="O200" s="148"/>
      <c r="P200" s="147"/>
    </row>
    <row r="201" spans="1:50" x14ac:dyDescent="0.3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</row>
    <row r="202" spans="1:50" x14ac:dyDescent="0.3">
      <c r="F202" s="149"/>
      <c r="G202" s="149"/>
      <c r="H202" s="149"/>
      <c r="I202" s="149"/>
      <c r="J202" s="149"/>
      <c r="K202" s="149"/>
    </row>
    <row r="203" spans="1:50" x14ac:dyDescent="0.3">
      <c r="I203" s="149"/>
      <c r="J203" s="149"/>
      <c r="K203" s="149"/>
    </row>
    <row r="207" spans="1:50" x14ac:dyDescent="0.3">
      <c r="L207" s="148"/>
      <c r="M207" s="148"/>
      <c r="N207" s="148"/>
    </row>
    <row r="1048538" spans="1:61" x14ac:dyDescent="0.3">
      <c r="Q1048538" s="57"/>
    </row>
    <row r="1048539" spans="1:61" s="70" customFormat="1" x14ac:dyDescent="0.3">
      <c r="A1048539" s="148"/>
      <c r="B1048539" s="148"/>
      <c r="C1048539" s="148"/>
      <c r="D1048539" s="148"/>
      <c r="E1048539" s="148"/>
      <c r="F1048539" s="148"/>
      <c r="G1048539" s="148"/>
      <c r="H1048539" s="148"/>
      <c r="I1048539" s="148"/>
      <c r="J1048539" s="148"/>
      <c r="K1048539" s="148"/>
      <c r="L1048539" s="150"/>
      <c r="M1048539" s="150"/>
      <c r="N1048539" s="150"/>
      <c r="O1048539" s="150"/>
      <c r="P1048539" s="150"/>
      <c r="Q1048539" s="148"/>
      <c r="AW1048539" s="69"/>
      <c r="AX1048539" s="69"/>
      <c r="AY1048539" s="148"/>
      <c r="AZ1048539" s="148"/>
      <c r="BA1048539" s="148"/>
      <c r="BB1048539" s="148"/>
      <c r="BC1048539" s="148"/>
      <c r="BD1048539" s="148"/>
      <c r="BE1048539" s="148"/>
      <c r="BF1048539" s="148"/>
      <c r="BG1048539" s="148"/>
      <c r="BH1048539" s="148"/>
      <c r="BI1048539" s="148"/>
    </row>
  </sheetData>
  <mergeCells count="43">
    <mergeCell ref="O73:P73"/>
    <mergeCell ref="O74:P74"/>
    <mergeCell ref="O75:Q75"/>
    <mergeCell ref="O76:P76"/>
    <mergeCell ref="O65:P65"/>
    <mergeCell ref="O66:P66"/>
    <mergeCell ref="O67:P67"/>
    <mergeCell ref="O68:P68"/>
    <mergeCell ref="O71:P71"/>
    <mergeCell ref="O72:P72"/>
    <mergeCell ref="O64:P6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49:P49"/>
    <mergeCell ref="O50:P50"/>
    <mergeCell ref="O51:Q52"/>
    <mergeCell ref="O53:Q53"/>
    <mergeCell ref="O54:P54"/>
    <mergeCell ref="O48:Q48"/>
    <mergeCell ref="E38:K38"/>
    <mergeCell ref="E39:K39"/>
    <mergeCell ref="A40:K40"/>
    <mergeCell ref="O40:Q40"/>
    <mergeCell ref="A41:O41"/>
    <mergeCell ref="A42:Q42"/>
    <mergeCell ref="E43:K43"/>
    <mergeCell ref="E44:K44"/>
    <mergeCell ref="E45:K45"/>
    <mergeCell ref="A46:K46"/>
    <mergeCell ref="A48:E48"/>
    <mergeCell ref="A37:Q37"/>
    <mergeCell ref="A1:Q1"/>
    <mergeCell ref="A2:Q2"/>
    <mergeCell ref="A6:B6"/>
    <mergeCell ref="A7:Q7"/>
    <mergeCell ref="A36:B36"/>
  </mergeCells>
  <pageMargins left="0" right="0" top="0" bottom="0" header="0.31496062992125984" footer="0.31496062992125984"/>
  <pageSetup paperSize="9" scale="3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4847C-C157-45C9-851C-654E9B66E26C}">
  <sheetPr>
    <pageSetUpPr fitToPage="1"/>
  </sheetPr>
  <dimension ref="A1:BI1048544"/>
  <sheetViews>
    <sheetView zoomScale="70" zoomScaleNormal="70" workbookViewId="0">
      <selection sqref="A1:XFD1048576"/>
    </sheetView>
  </sheetViews>
  <sheetFormatPr defaultColWidth="9.109375" defaultRowHeight="13.8" x14ac:dyDescent="0.3"/>
  <cols>
    <col min="1" max="1" width="50.6640625" style="148" bestFit="1" customWidth="1"/>
    <col min="2" max="2" width="8.33203125" style="148" bestFit="1" customWidth="1"/>
    <col min="3" max="3" width="19" style="148" customWidth="1"/>
    <col min="4" max="4" width="19" style="148" bestFit="1" customWidth="1"/>
    <col min="5" max="5" width="17.109375" style="148" customWidth="1"/>
    <col min="6" max="6" width="19" style="148" bestFit="1" customWidth="1"/>
    <col min="7" max="7" width="16" style="148" customWidth="1"/>
    <col min="8" max="8" width="16.6640625" style="148" bestFit="1" customWidth="1"/>
    <col min="9" max="10" width="14.109375" style="148" bestFit="1" customWidth="1"/>
    <col min="11" max="11" width="15.109375" style="148" bestFit="1" customWidth="1"/>
    <col min="12" max="12" width="18.44140625" style="150" bestFit="1" customWidth="1"/>
    <col min="13" max="13" width="17.5546875" style="150" bestFit="1" customWidth="1"/>
    <col min="14" max="14" width="19" style="150" bestFit="1" customWidth="1"/>
    <col min="15" max="15" width="109.109375" style="150" bestFit="1" customWidth="1"/>
    <col min="16" max="16" width="12" style="150" customWidth="1"/>
    <col min="17" max="17" width="18.109375" style="148" bestFit="1" customWidth="1"/>
    <col min="18" max="19" width="13.109375" style="70" bestFit="1" customWidth="1"/>
    <col min="20" max="48" width="9.109375" style="70"/>
    <col min="49" max="50" width="9.109375" style="69"/>
    <col min="51" max="16384" width="9.109375" style="148"/>
  </cols>
  <sheetData>
    <row r="1" spans="1:43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</row>
    <row r="2" spans="1:43" s="10" customFormat="1" ht="28.5" customHeight="1" x14ac:dyDescent="0.3">
      <c r="A2" s="571" t="s">
        <v>957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3"/>
    </row>
    <row r="3" spans="1:43" s="10" customFormat="1" ht="30.75" customHeight="1" x14ac:dyDescent="0.3">
      <c r="A3" s="83" t="s">
        <v>3</v>
      </c>
      <c r="B3" s="83" t="s">
        <v>0</v>
      </c>
      <c r="C3" s="83" t="s">
        <v>821</v>
      </c>
      <c r="D3" s="84" t="s">
        <v>1</v>
      </c>
      <c r="E3" s="84" t="s">
        <v>68</v>
      </c>
      <c r="F3" s="84" t="s">
        <v>69</v>
      </c>
      <c r="G3" s="85" t="s">
        <v>2</v>
      </c>
      <c r="H3" s="85" t="s">
        <v>592</v>
      </c>
      <c r="I3" s="84" t="s">
        <v>6</v>
      </c>
      <c r="J3" s="84" t="s">
        <v>764</v>
      </c>
      <c r="K3" s="84" t="s">
        <v>7</v>
      </c>
      <c r="L3" s="84" t="s">
        <v>4</v>
      </c>
      <c r="M3" s="84" t="s">
        <v>5</v>
      </c>
      <c r="N3" s="84" t="s">
        <v>70</v>
      </c>
      <c r="O3" s="83" t="s">
        <v>59</v>
      </c>
      <c r="P3" s="86" t="s">
        <v>8</v>
      </c>
      <c r="Q3" s="86" t="s">
        <v>10</v>
      </c>
    </row>
    <row r="4" spans="1:43" s="199" customFormat="1" x14ac:dyDescent="0.3">
      <c r="A4" s="193" t="s">
        <v>950</v>
      </c>
      <c r="B4" s="193">
        <v>22</v>
      </c>
      <c r="C4" s="193" t="s">
        <v>951</v>
      </c>
      <c r="D4" s="196">
        <f>'GERAL 2024'!G38</f>
        <v>610</v>
      </c>
      <c r="E4" s="196">
        <v>0</v>
      </c>
      <c r="F4" s="196">
        <f>D4-E4</f>
        <v>610</v>
      </c>
      <c r="G4" s="192">
        <v>0</v>
      </c>
      <c r="H4" s="192">
        <f>(1541.7/27)</f>
        <v>57.1</v>
      </c>
      <c r="I4" s="192">
        <f>'GERAL 2024'!I36</f>
        <v>1.3105200945626476</v>
      </c>
      <c r="J4" s="192">
        <f>'GERAL 2024'!K36</f>
        <v>0.79837470449172576</v>
      </c>
      <c r="K4" s="192">
        <v>0</v>
      </c>
      <c r="L4" s="191">
        <f>SUM(F4:K4)</f>
        <v>669.20889479905441</v>
      </c>
      <c r="M4" s="192">
        <f>60%*(D4+G4)</f>
        <v>366</v>
      </c>
      <c r="N4" s="192">
        <f>L4-M4</f>
        <v>303.20889479905441</v>
      </c>
      <c r="O4" s="196" t="s">
        <v>961</v>
      </c>
      <c r="P4" s="197">
        <v>10</v>
      </c>
      <c r="Q4" s="194">
        <v>11</v>
      </c>
      <c r="R4" s="198"/>
      <c r="S4" s="198"/>
      <c r="T4" s="198"/>
      <c r="U4" s="198"/>
      <c r="V4" s="198"/>
      <c r="W4" s="198"/>
      <c r="X4" s="198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8"/>
      <c r="AK4" s="198"/>
      <c r="AL4" s="198"/>
      <c r="AM4" s="198"/>
      <c r="AN4" s="198"/>
      <c r="AO4" s="198"/>
      <c r="AP4" s="198"/>
      <c r="AQ4" s="198"/>
    </row>
    <row r="5" spans="1:43" s="199" customFormat="1" ht="15" customHeight="1" x14ac:dyDescent="0.3">
      <c r="A5" s="193"/>
      <c r="B5" s="193"/>
      <c r="C5" s="193"/>
      <c r="D5" s="196">
        <v>0</v>
      </c>
      <c r="E5" s="196">
        <v>0</v>
      </c>
      <c r="F5" s="196">
        <f>D5-E5</f>
        <v>0</v>
      </c>
      <c r="G5" s="192">
        <v>0</v>
      </c>
      <c r="H5" s="192">
        <v>0</v>
      </c>
      <c r="I5" s="192">
        <v>0</v>
      </c>
      <c r="J5" s="192">
        <v>0</v>
      </c>
      <c r="K5" s="192">
        <v>0</v>
      </c>
      <c r="L5" s="191">
        <f>SUM(F5:K5)</f>
        <v>0</v>
      </c>
      <c r="M5" s="192">
        <f>60%*(D5+G5)</f>
        <v>0</v>
      </c>
      <c r="N5" s="192">
        <f>L5-M5</f>
        <v>0</v>
      </c>
      <c r="O5" s="193"/>
      <c r="P5" s="197"/>
      <c r="Q5" s="194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8"/>
      <c r="AK5" s="198"/>
      <c r="AL5" s="198"/>
      <c r="AM5" s="198"/>
      <c r="AN5" s="198"/>
      <c r="AO5" s="198"/>
      <c r="AP5" s="198"/>
      <c r="AQ5" s="198"/>
    </row>
    <row r="6" spans="1:43" s="10" customFormat="1" x14ac:dyDescent="0.3">
      <c r="A6" s="518" t="s">
        <v>4</v>
      </c>
      <c r="B6" s="518"/>
      <c r="C6" s="95"/>
      <c r="D6" s="109">
        <f>SUM(D4:D5)</f>
        <v>610</v>
      </c>
      <c r="E6" s="109">
        <f t="shared" ref="E6:N6" si="0">SUM(E4:E5)</f>
        <v>0</v>
      </c>
      <c r="F6" s="109">
        <f>SUM(F4:F5)</f>
        <v>610</v>
      </c>
      <c r="G6" s="109">
        <f>SUM(G4:G5)</f>
        <v>0</v>
      </c>
      <c r="H6" s="109">
        <f t="shared" si="0"/>
        <v>57.1</v>
      </c>
      <c r="I6" s="109">
        <f t="shared" si="0"/>
        <v>1.3105200945626476</v>
      </c>
      <c r="J6" s="109">
        <f t="shared" si="0"/>
        <v>0.79837470449172576</v>
      </c>
      <c r="K6" s="109">
        <f t="shared" si="0"/>
        <v>0</v>
      </c>
      <c r="L6" s="109">
        <f t="shared" si="0"/>
        <v>669.20889479905441</v>
      </c>
      <c r="M6" s="109">
        <f t="shared" si="0"/>
        <v>366</v>
      </c>
      <c r="N6" s="109">
        <f t="shared" si="0"/>
        <v>303.20889479905441</v>
      </c>
      <c r="O6" s="90"/>
      <c r="P6" s="3"/>
      <c r="Q6" s="3"/>
    </row>
    <row r="7" spans="1:43" s="10" customFormat="1" ht="28.5" customHeight="1" x14ac:dyDescent="0.3">
      <c r="A7" s="571" t="s">
        <v>958</v>
      </c>
      <c r="B7" s="572"/>
      <c r="C7" s="572"/>
      <c r="D7" s="572"/>
      <c r="E7" s="572"/>
      <c r="F7" s="572"/>
      <c r="G7" s="572"/>
      <c r="H7" s="572"/>
      <c r="I7" s="572"/>
      <c r="J7" s="572"/>
      <c r="K7" s="572"/>
      <c r="L7" s="572"/>
      <c r="M7" s="572"/>
      <c r="N7" s="572"/>
      <c r="O7" s="572"/>
      <c r="P7" s="572"/>
      <c r="Q7" s="573"/>
    </row>
    <row r="8" spans="1:43" s="11" customFormat="1" ht="34.5" customHeight="1" x14ac:dyDescent="0.3">
      <c r="A8" s="83" t="s">
        <v>3</v>
      </c>
      <c r="B8" s="83" t="s">
        <v>0</v>
      </c>
      <c r="C8" s="83" t="s">
        <v>821</v>
      </c>
      <c r="D8" s="84" t="s">
        <v>1</v>
      </c>
      <c r="E8" s="84" t="s">
        <v>68</v>
      </c>
      <c r="F8" s="84" t="s">
        <v>69</v>
      </c>
      <c r="G8" s="85" t="s">
        <v>2</v>
      </c>
      <c r="H8" s="85" t="s">
        <v>592</v>
      </c>
      <c r="I8" s="84" t="s">
        <v>6</v>
      </c>
      <c r="J8" s="84" t="s">
        <v>764</v>
      </c>
      <c r="K8" s="84" t="s">
        <v>7</v>
      </c>
      <c r="L8" s="84" t="s">
        <v>4</v>
      </c>
      <c r="M8" s="84" t="s">
        <v>5</v>
      </c>
      <c r="N8" s="84" t="s">
        <v>70</v>
      </c>
      <c r="O8" s="83" t="s">
        <v>59</v>
      </c>
      <c r="P8" s="86" t="s">
        <v>8</v>
      </c>
      <c r="Q8" s="86" t="s">
        <v>10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</row>
    <row r="9" spans="1:43" s="199" customFormat="1" x14ac:dyDescent="0.3">
      <c r="A9" s="195" t="s">
        <v>766</v>
      </c>
      <c r="B9" s="193">
        <v>1</v>
      </c>
      <c r="C9" s="193" t="s">
        <v>822</v>
      </c>
      <c r="D9" s="196">
        <v>0</v>
      </c>
      <c r="E9" s="192">
        <v>0</v>
      </c>
      <c r="F9" s="192">
        <f t="shared" ref="F9:F26" si="1">D9-E9</f>
        <v>0</v>
      </c>
      <c r="G9" s="196">
        <v>0</v>
      </c>
      <c r="H9" s="192">
        <f>(1541.7/27)</f>
        <v>57.1</v>
      </c>
      <c r="I9" s="192">
        <f>'GERAL 2024'!I3</f>
        <v>1.3105200945626476</v>
      </c>
      <c r="J9" s="192">
        <f>'GERAL 2024'!K3</f>
        <v>0.79837470449172576</v>
      </c>
      <c r="K9" s="192">
        <v>0</v>
      </c>
      <c r="L9" s="191">
        <f t="shared" ref="L9:L36" si="2">SUM(F9:K9)</f>
        <v>59.208894799054377</v>
      </c>
      <c r="M9" s="192">
        <f>7%*L9</f>
        <v>4.144622635933807</v>
      </c>
      <c r="N9" s="192">
        <f>L9-M9</f>
        <v>55.06427216312057</v>
      </c>
      <c r="O9" s="196" t="s">
        <v>960</v>
      </c>
      <c r="P9" s="197">
        <v>10</v>
      </c>
      <c r="Q9" s="197">
        <v>11</v>
      </c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  <c r="AQ9" s="198"/>
    </row>
    <row r="10" spans="1:43" s="203" customFormat="1" x14ac:dyDescent="0.3">
      <c r="A10" s="193"/>
      <c r="B10" s="194">
        <v>2</v>
      </c>
      <c r="C10" s="194"/>
      <c r="D10" s="196">
        <v>0</v>
      </c>
      <c r="E10" s="196">
        <v>0</v>
      </c>
      <c r="F10" s="196">
        <f t="shared" si="1"/>
        <v>0</v>
      </c>
      <c r="G10" s="196">
        <v>0</v>
      </c>
      <c r="H10" s="192">
        <v>0</v>
      </c>
      <c r="I10" s="192">
        <v>0</v>
      </c>
      <c r="J10" s="192">
        <v>0</v>
      </c>
      <c r="K10" s="196">
        <v>0</v>
      </c>
      <c r="L10" s="191">
        <f t="shared" si="2"/>
        <v>0</v>
      </c>
      <c r="M10" s="192">
        <f>7%*L10</f>
        <v>0</v>
      </c>
      <c r="N10" s="192">
        <f t="shared" ref="N10:N35" si="3">L10-M10</f>
        <v>0</v>
      </c>
      <c r="O10" s="193" t="s">
        <v>525</v>
      </c>
      <c r="P10" s="197"/>
      <c r="Q10" s="197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0"/>
      <c r="AM10" s="201"/>
      <c r="AN10" s="202"/>
      <c r="AO10" s="202"/>
      <c r="AP10" s="202"/>
      <c r="AQ10" s="202"/>
    </row>
    <row r="11" spans="1:43" s="204" customFormat="1" x14ac:dyDescent="0.3">
      <c r="A11" s="193" t="s">
        <v>753</v>
      </c>
      <c r="B11" s="194">
        <v>3</v>
      </c>
      <c r="C11" s="194" t="s">
        <v>822</v>
      </c>
      <c r="D11" s="196">
        <f>'GERAL 2022'!G5</f>
        <v>550</v>
      </c>
      <c r="E11" s="196">
        <v>0</v>
      </c>
      <c r="F11" s="196">
        <f t="shared" si="1"/>
        <v>550</v>
      </c>
      <c r="G11" s="196">
        <v>0</v>
      </c>
      <c r="H11" s="192">
        <f t="shared" ref="H11:H36" si="4">(1541.7/27)</f>
        <v>57.1</v>
      </c>
      <c r="I11" s="192">
        <f>'GERAL 2024'!I5</f>
        <v>1.3105200945626476</v>
      </c>
      <c r="J11" s="192">
        <f>'GERAL 2024'!K5</f>
        <v>0.79837470449172576</v>
      </c>
      <c r="K11" s="196">
        <v>0</v>
      </c>
      <c r="L11" s="191">
        <f t="shared" si="2"/>
        <v>609.20889479905441</v>
      </c>
      <c r="M11" s="192">
        <f t="shared" ref="M11:M36" si="5">7%*L11</f>
        <v>42.644622635933814</v>
      </c>
      <c r="N11" s="192">
        <f t="shared" si="3"/>
        <v>566.56427216312056</v>
      </c>
      <c r="O11" s="193" t="s">
        <v>961</v>
      </c>
      <c r="P11" s="197">
        <v>10</v>
      </c>
      <c r="Q11" s="197">
        <v>11</v>
      </c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  <c r="AQ11" s="200"/>
    </row>
    <row r="12" spans="1:43" s="199" customFormat="1" ht="15" customHeight="1" x14ac:dyDescent="0.3">
      <c r="A12" s="193" t="s">
        <v>842</v>
      </c>
      <c r="B12" s="193">
        <v>4</v>
      </c>
      <c r="C12" s="193" t="s">
        <v>832</v>
      </c>
      <c r="D12" s="196">
        <f>'GERAL 2023'!G40</f>
        <v>610</v>
      </c>
      <c r="E12" s="196">
        <v>0</v>
      </c>
      <c r="F12" s="196">
        <f t="shared" si="1"/>
        <v>610</v>
      </c>
      <c r="G12" s="192">
        <v>50</v>
      </c>
      <c r="H12" s="192">
        <f t="shared" si="4"/>
        <v>57.1</v>
      </c>
      <c r="I12" s="192">
        <f>'GERAL 2024'!I6</f>
        <v>1.3105200945626476</v>
      </c>
      <c r="J12" s="192">
        <f>'GERAL 2024'!K6</f>
        <v>0.79837470449172576</v>
      </c>
      <c r="K12" s="192">
        <v>0</v>
      </c>
      <c r="L12" s="191">
        <f t="shared" si="2"/>
        <v>719.20889479905441</v>
      </c>
      <c r="M12" s="192">
        <f>7%*L12</f>
        <v>50.34462263593381</v>
      </c>
      <c r="N12" s="192">
        <f t="shared" si="3"/>
        <v>668.86427216312063</v>
      </c>
      <c r="O12" s="193" t="s">
        <v>961</v>
      </c>
      <c r="P12" s="197">
        <v>10</v>
      </c>
      <c r="Q12" s="194">
        <v>11</v>
      </c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</row>
    <row r="13" spans="1:43" s="199" customFormat="1" x14ac:dyDescent="0.3">
      <c r="A13" s="193" t="s">
        <v>744</v>
      </c>
      <c r="B13" s="193">
        <v>5</v>
      </c>
      <c r="C13" s="193" t="s">
        <v>823</v>
      </c>
      <c r="D13" s="196">
        <f>'GERAL 2023'!G7</f>
        <v>580</v>
      </c>
      <c r="E13" s="192">
        <v>0</v>
      </c>
      <c r="F13" s="192">
        <f t="shared" si="1"/>
        <v>580</v>
      </c>
      <c r="G13" s="192">
        <f>50</f>
        <v>50</v>
      </c>
      <c r="H13" s="192">
        <f t="shared" si="4"/>
        <v>57.1</v>
      </c>
      <c r="I13" s="192">
        <f>'GERAL 2024'!I7</f>
        <v>1.3105200945626476</v>
      </c>
      <c r="J13" s="192">
        <f>'GERAL 2024'!K7</f>
        <v>0.79837470449172576</v>
      </c>
      <c r="K13" s="192">
        <v>21.07</v>
      </c>
      <c r="L13" s="191">
        <f t="shared" si="2"/>
        <v>710.27889479905446</v>
      </c>
      <c r="M13" s="192">
        <f>7%*L13</f>
        <v>49.719522635933814</v>
      </c>
      <c r="N13" s="192">
        <f t="shared" si="3"/>
        <v>660.55937216312066</v>
      </c>
      <c r="O13" s="193" t="s">
        <v>962</v>
      </c>
      <c r="P13" s="197">
        <v>10</v>
      </c>
      <c r="Q13" s="197">
        <v>11</v>
      </c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</row>
    <row r="14" spans="1:43" s="206" customFormat="1" x14ac:dyDescent="0.3">
      <c r="A14" s="193" t="s">
        <v>745</v>
      </c>
      <c r="B14" s="193">
        <v>6</v>
      </c>
      <c r="C14" s="193" t="s">
        <v>823</v>
      </c>
      <c r="D14" s="196">
        <f>'GERAL 2023'!G8</f>
        <v>680</v>
      </c>
      <c r="E14" s="196">
        <v>0</v>
      </c>
      <c r="F14" s="192">
        <f t="shared" si="1"/>
        <v>680</v>
      </c>
      <c r="G14" s="192">
        <v>50</v>
      </c>
      <c r="H14" s="192">
        <f t="shared" si="4"/>
        <v>57.1</v>
      </c>
      <c r="I14" s="192">
        <f>'GERAL 2024'!I8</f>
        <v>1.8347281323877069</v>
      </c>
      <c r="J14" s="192">
        <f>'GERAL 2024'!K8</f>
        <v>1.1177245862884162</v>
      </c>
      <c r="K14" s="192">
        <v>21.28</v>
      </c>
      <c r="L14" s="191">
        <f t="shared" si="2"/>
        <v>811.33245271867611</v>
      </c>
      <c r="M14" s="192">
        <f t="shared" si="5"/>
        <v>56.793271690307336</v>
      </c>
      <c r="N14" s="192">
        <f>L14-M14</f>
        <v>754.53918102836883</v>
      </c>
      <c r="O14" s="193" t="s">
        <v>962</v>
      </c>
      <c r="P14" s="197">
        <v>10</v>
      </c>
      <c r="Q14" s="197">
        <v>11</v>
      </c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  <c r="AQ14" s="205"/>
    </row>
    <row r="15" spans="1:43" s="199" customFormat="1" x14ac:dyDescent="0.3">
      <c r="A15" s="193" t="s">
        <v>791</v>
      </c>
      <c r="B15" s="193">
        <v>7</v>
      </c>
      <c r="C15" s="193" t="s">
        <v>822</v>
      </c>
      <c r="D15" s="196">
        <f>'GERAL 2023'!G35</f>
        <v>610</v>
      </c>
      <c r="E15" s="192">
        <v>0</v>
      </c>
      <c r="F15" s="196">
        <f t="shared" si="1"/>
        <v>610</v>
      </c>
      <c r="G15" s="192">
        <v>50</v>
      </c>
      <c r="H15" s="192">
        <f t="shared" si="4"/>
        <v>57.1</v>
      </c>
      <c r="I15" s="192">
        <f>'GERAL 2024'!I9</f>
        <v>1.3105200945626476</v>
      </c>
      <c r="J15" s="192">
        <f>'GERAL 2024'!K9</f>
        <v>0.79837470449172576</v>
      </c>
      <c r="K15" s="192">
        <v>0</v>
      </c>
      <c r="L15" s="191">
        <f t="shared" si="2"/>
        <v>719.20889479905441</v>
      </c>
      <c r="M15" s="192">
        <f t="shared" si="5"/>
        <v>50.34462263593381</v>
      </c>
      <c r="N15" s="192">
        <f t="shared" si="3"/>
        <v>668.86427216312063</v>
      </c>
      <c r="O15" s="193" t="s">
        <v>961</v>
      </c>
      <c r="P15" s="197">
        <v>10</v>
      </c>
      <c r="Q15" s="197">
        <v>11</v>
      </c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</row>
    <row r="16" spans="1:43" s="199" customFormat="1" x14ac:dyDescent="0.3">
      <c r="A16" s="193"/>
      <c r="B16" s="193">
        <v>8</v>
      </c>
      <c r="C16" s="193"/>
      <c r="D16" s="196">
        <v>0</v>
      </c>
      <c r="E16" s="192">
        <v>0</v>
      </c>
      <c r="F16" s="196">
        <f t="shared" si="1"/>
        <v>0</v>
      </c>
      <c r="G16" s="192">
        <v>0</v>
      </c>
      <c r="H16" s="192">
        <v>0</v>
      </c>
      <c r="I16" s="192">
        <v>0</v>
      </c>
      <c r="J16" s="192">
        <v>0</v>
      </c>
      <c r="K16" s="192">
        <v>0</v>
      </c>
      <c r="L16" s="191">
        <f t="shared" si="2"/>
        <v>0</v>
      </c>
      <c r="M16" s="192">
        <f>7%*L16</f>
        <v>0</v>
      </c>
      <c r="N16" s="192">
        <f>L16-M16</f>
        <v>0</v>
      </c>
      <c r="O16" s="193" t="s">
        <v>525</v>
      </c>
      <c r="P16" s="207"/>
      <c r="Q16" s="197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  <c r="AQ16" s="198"/>
    </row>
    <row r="17" spans="1:48" s="199" customFormat="1" x14ac:dyDescent="0.3">
      <c r="A17" s="193" t="s">
        <v>852</v>
      </c>
      <c r="B17" s="193">
        <v>9</v>
      </c>
      <c r="C17" s="193" t="s">
        <v>828</v>
      </c>
      <c r="D17" s="196">
        <f>'GERAL 2024'!G11</f>
        <v>640</v>
      </c>
      <c r="E17" s="192">
        <v>0</v>
      </c>
      <c r="F17" s="196">
        <f t="shared" si="1"/>
        <v>640</v>
      </c>
      <c r="G17" s="192">
        <v>0</v>
      </c>
      <c r="H17" s="192">
        <f>(1541.7/27)</f>
        <v>57.1</v>
      </c>
      <c r="I17" s="192">
        <f>'GERAL 2024'!I11</f>
        <v>1.3105200945626476</v>
      </c>
      <c r="J17" s="192">
        <f>'GERAL 2024'!K11</f>
        <v>0.79837470449172576</v>
      </c>
      <c r="K17" s="192">
        <v>0</v>
      </c>
      <c r="L17" s="191">
        <f t="shared" si="2"/>
        <v>699.20889479905441</v>
      </c>
      <c r="M17" s="192">
        <f>7%*L17</f>
        <v>48.944622635933811</v>
      </c>
      <c r="N17" s="192">
        <f>L17-M17</f>
        <v>650.26427216312061</v>
      </c>
      <c r="O17" s="193" t="s">
        <v>961</v>
      </c>
      <c r="P17" s="207">
        <v>10</v>
      </c>
      <c r="Q17" s="197">
        <v>11</v>
      </c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  <c r="AQ17" s="198"/>
    </row>
    <row r="18" spans="1:48" s="148" customFormat="1" x14ac:dyDescent="0.3">
      <c r="A18" s="194" t="s">
        <v>739</v>
      </c>
      <c r="B18" s="194">
        <v>10</v>
      </c>
      <c r="C18" s="194" t="s">
        <v>825</v>
      </c>
      <c r="D18" s="196">
        <f>'GERAL 2022'!G38</f>
        <v>550</v>
      </c>
      <c r="E18" s="192">
        <v>0</v>
      </c>
      <c r="F18" s="196">
        <f t="shared" si="1"/>
        <v>550</v>
      </c>
      <c r="G18" s="192">
        <v>50</v>
      </c>
      <c r="H18" s="192">
        <f t="shared" si="4"/>
        <v>57.1</v>
      </c>
      <c r="I18" s="192">
        <f>'GERAL 2024'!I12</f>
        <v>1.3105200945626476</v>
      </c>
      <c r="J18" s="192">
        <f>'GERAL 2024'!K12</f>
        <v>0.79837470449172576</v>
      </c>
      <c r="K18" s="192">
        <v>0</v>
      </c>
      <c r="L18" s="191">
        <f t="shared" si="2"/>
        <v>659.20889479905441</v>
      </c>
      <c r="M18" s="192">
        <f t="shared" si="5"/>
        <v>46.144622635933814</v>
      </c>
      <c r="N18" s="192">
        <f t="shared" si="3"/>
        <v>613.06427216312056</v>
      </c>
      <c r="O18" s="193" t="s">
        <v>961</v>
      </c>
      <c r="P18" s="197">
        <v>10</v>
      </c>
      <c r="Q18" s="194">
        <v>11</v>
      </c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  <c r="AI18" s="208"/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  <c r="AT18" s="208"/>
      <c r="AU18" s="208"/>
      <c r="AV18" s="208"/>
    </row>
    <row r="19" spans="1:48" s="148" customFormat="1" ht="15.75" customHeight="1" x14ac:dyDescent="0.3">
      <c r="A19" s="203" t="s">
        <v>965</v>
      </c>
      <c r="B19" s="194">
        <v>11</v>
      </c>
      <c r="C19" s="203" t="s">
        <v>827</v>
      </c>
      <c r="D19" s="192">
        <f>'GERAL 2024'!G39/31*24</f>
        <v>472.25806451612902</v>
      </c>
      <c r="E19" s="192">
        <v>0</v>
      </c>
      <c r="F19" s="196">
        <f t="shared" si="1"/>
        <v>472.25806451612902</v>
      </c>
      <c r="G19" s="192">
        <v>0</v>
      </c>
      <c r="H19" s="192">
        <f>(1541.7/27)/31*24</f>
        <v>44.20645161290323</v>
      </c>
      <c r="I19" s="192">
        <f>'GERAL 2024'!I39/31*24</f>
        <v>1.0145962022420498</v>
      </c>
      <c r="J19" s="192">
        <f>'GERAL 2024'!K39/31*24</f>
        <v>0.61809654541294901</v>
      </c>
      <c r="K19" s="192">
        <f>'GERAL 2024'!L39</f>
        <v>126.81</v>
      </c>
      <c r="L19" s="191">
        <f t="shared" si="2"/>
        <v>644.90720887668726</v>
      </c>
      <c r="M19" s="192">
        <f>7%*L19</f>
        <v>45.143504621368116</v>
      </c>
      <c r="N19" s="192">
        <f t="shared" si="3"/>
        <v>599.76370425531911</v>
      </c>
      <c r="O19" s="196" t="s">
        <v>967</v>
      </c>
      <c r="P19" s="197">
        <v>10</v>
      </c>
      <c r="Q19" s="194">
        <v>11</v>
      </c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8"/>
      <c r="AR19" s="208"/>
      <c r="AS19" s="208"/>
      <c r="AT19" s="208"/>
      <c r="AU19" s="208"/>
      <c r="AV19" s="208"/>
    </row>
    <row r="20" spans="1:48" s="199" customFormat="1" x14ac:dyDescent="0.3">
      <c r="A20" s="193" t="s">
        <v>929</v>
      </c>
      <c r="B20" s="193">
        <v>12</v>
      </c>
      <c r="C20" s="193" t="s">
        <v>829</v>
      </c>
      <c r="D20" s="196">
        <v>610</v>
      </c>
      <c r="E20" s="192">
        <v>0</v>
      </c>
      <c r="F20" s="196">
        <f t="shared" si="1"/>
        <v>610</v>
      </c>
      <c r="G20" s="196">
        <v>50</v>
      </c>
      <c r="H20" s="192">
        <f t="shared" si="4"/>
        <v>57.1</v>
      </c>
      <c r="I20" s="192">
        <f>'GERAL 2024'!I37</f>
        <v>1.3105200945626476</v>
      </c>
      <c r="J20" s="192">
        <f>'GERAL 2024'!K37</f>
        <v>0.79837470449172576</v>
      </c>
      <c r="K20" s="196">
        <v>0</v>
      </c>
      <c r="L20" s="191">
        <f t="shared" si="2"/>
        <v>719.20889479905441</v>
      </c>
      <c r="M20" s="192">
        <f t="shared" si="5"/>
        <v>50.34462263593381</v>
      </c>
      <c r="N20" s="192">
        <f t="shared" si="3"/>
        <v>668.86427216312063</v>
      </c>
      <c r="O20" s="196" t="s">
        <v>961</v>
      </c>
      <c r="P20" s="197">
        <v>10</v>
      </c>
      <c r="Q20" s="197">
        <v>11</v>
      </c>
      <c r="R20" s="198"/>
      <c r="S20" s="198"/>
      <c r="T20" s="198"/>
      <c r="U20" s="198"/>
      <c r="V20" s="198"/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  <c r="AQ20" s="198"/>
    </row>
    <row r="21" spans="1:48" s="206" customFormat="1" ht="16.5" customHeight="1" x14ac:dyDescent="0.3">
      <c r="A21" s="193" t="s">
        <v>756</v>
      </c>
      <c r="B21" s="193">
        <v>13</v>
      </c>
      <c r="C21" s="209" t="s">
        <v>827</v>
      </c>
      <c r="D21" s="196">
        <f>'GERAL 2022'!G15</f>
        <v>550</v>
      </c>
      <c r="E21" s="196">
        <v>0</v>
      </c>
      <c r="F21" s="196">
        <f t="shared" si="1"/>
        <v>550</v>
      </c>
      <c r="G21" s="192">
        <v>0</v>
      </c>
      <c r="H21" s="192">
        <f t="shared" si="4"/>
        <v>57.1</v>
      </c>
      <c r="I21" s="192">
        <f>'GERAL 2024'!I15</f>
        <v>1.3105200945626476</v>
      </c>
      <c r="J21" s="192">
        <f>'GERAL 2024'!K15</f>
        <v>0.79837470449172576</v>
      </c>
      <c r="K21" s="192">
        <v>126.09</v>
      </c>
      <c r="L21" s="191">
        <f t="shared" si="2"/>
        <v>735.29889479905444</v>
      </c>
      <c r="M21" s="192">
        <f t="shared" si="5"/>
        <v>51.470922635933817</v>
      </c>
      <c r="N21" s="192">
        <f t="shared" si="3"/>
        <v>683.82797216312065</v>
      </c>
      <c r="O21" s="193" t="s">
        <v>970</v>
      </c>
      <c r="P21" s="197">
        <v>10</v>
      </c>
      <c r="Q21" s="197">
        <v>11</v>
      </c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  <c r="AQ21" s="205"/>
    </row>
    <row r="22" spans="1:48" s="148" customFormat="1" x14ac:dyDescent="0.3">
      <c r="A22" s="194" t="s">
        <v>747</v>
      </c>
      <c r="B22" s="194">
        <v>14</v>
      </c>
      <c r="C22" s="193" t="s">
        <v>832</v>
      </c>
      <c r="D22" s="196">
        <f>'GERAL 2022'!G39</f>
        <v>580</v>
      </c>
      <c r="E22" s="192">
        <v>0</v>
      </c>
      <c r="F22" s="196">
        <f t="shared" si="1"/>
        <v>580</v>
      </c>
      <c r="G22" s="192">
        <f>50</f>
        <v>50</v>
      </c>
      <c r="H22" s="192">
        <f t="shared" si="4"/>
        <v>57.1</v>
      </c>
      <c r="I22" s="192">
        <f>'GERAL 2024'!I16</f>
        <v>1.3105200945626476</v>
      </c>
      <c r="J22" s="192">
        <f>'GERAL 2024'!K16</f>
        <v>0.79837470449172576</v>
      </c>
      <c r="K22" s="192">
        <v>0</v>
      </c>
      <c r="L22" s="191">
        <f t="shared" si="2"/>
        <v>689.20889479905441</v>
      </c>
      <c r="M22" s="192">
        <f t="shared" si="5"/>
        <v>48.244622635933816</v>
      </c>
      <c r="N22" s="192">
        <f t="shared" si="3"/>
        <v>640.96427216312054</v>
      </c>
      <c r="O22" s="193" t="s">
        <v>961</v>
      </c>
      <c r="P22" s="197">
        <v>10</v>
      </c>
      <c r="Q22" s="194">
        <v>11</v>
      </c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  <c r="AD22" s="208"/>
      <c r="AE22" s="208"/>
      <c r="AF22" s="208"/>
      <c r="AG22" s="208"/>
      <c r="AH22" s="208"/>
      <c r="AI22" s="208"/>
      <c r="AJ22" s="208"/>
      <c r="AK22" s="208"/>
      <c r="AL22" s="208"/>
      <c r="AM22" s="208"/>
      <c r="AN22" s="208"/>
      <c r="AO22" s="208"/>
      <c r="AP22" s="208"/>
      <c r="AQ22" s="208"/>
      <c r="AR22" s="208"/>
      <c r="AS22" s="208"/>
      <c r="AT22" s="208"/>
      <c r="AU22" s="208"/>
      <c r="AV22" s="208"/>
    </row>
    <row r="23" spans="1:48" s="204" customFormat="1" x14ac:dyDescent="0.3">
      <c r="A23" s="193" t="s">
        <v>748</v>
      </c>
      <c r="B23" s="193">
        <v>15</v>
      </c>
      <c r="C23" s="209" t="s">
        <v>827</v>
      </c>
      <c r="D23" s="196">
        <f>'GERAL 2023'!G36</f>
        <v>680</v>
      </c>
      <c r="E23" s="192">
        <v>0</v>
      </c>
      <c r="F23" s="196">
        <f t="shared" si="1"/>
        <v>680</v>
      </c>
      <c r="G23" s="192">
        <v>25</v>
      </c>
      <c r="H23" s="192">
        <f t="shared" si="4"/>
        <v>57.1</v>
      </c>
      <c r="I23" s="192">
        <f>'GERAL 2024'!I17</f>
        <v>1.8347281323877069</v>
      </c>
      <c r="J23" s="192">
        <f>'GERAL 2024'!K17</f>
        <v>1.1177245862884162</v>
      </c>
      <c r="K23" s="192">
        <v>127.34</v>
      </c>
      <c r="L23" s="191">
        <f t="shared" si="2"/>
        <v>892.39245271867617</v>
      </c>
      <c r="M23" s="192">
        <f t="shared" si="5"/>
        <v>62.467471690307335</v>
      </c>
      <c r="N23" s="192">
        <f t="shared" si="3"/>
        <v>829.92498102836885</v>
      </c>
      <c r="O23" s="193" t="s">
        <v>970</v>
      </c>
      <c r="P23" s="197">
        <v>10</v>
      </c>
      <c r="Q23" s="194">
        <v>11</v>
      </c>
      <c r="R23" s="200"/>
      <c r="S23" s="200"/>
      <c r="T23" s="200"/>
      <c r="U23" s="200"/>
      <c r="V23" s="200"/>
      <c r="W23" s="200"/>
      <c r="X23" s="200"/>
      <c r="Y23" s="200"/>
      <c r="Z23" s="200"/>
    </row>
    <row r="24" spans="1:48" s="206" customFormat="1" x14ac:dyDescent="0.3">
      <c r="A24" s="197" t="s">
        <v>894</v>
      </c>
      <c r="B24" s="197">
        <v>16</v>
      </c>
      <c r="C24" s="193" t="s">
        <v>823</v>
      </c>
      <c r="D24" s="196">
        <v>0</v>
      </c>
      <c r="E24" s="192">
        <v>0</v>
      </c>
      <c r="F24" s="196">
        <f>D24-E24</f>
        <v>0</v>
      </c>
      <c r="G24" s="192">
        <v>0</v>
      </c>
      <c r="H24" s="192">
        <v>0</v>
      </c>
      <c r="I24" s="192">
        <v>0</v>
      </c>
      <c r="J24" s="192">
        <v>0</v>
      </c>
      <c r="K24" s="192"/>
      <c r="L24" s="191">
        <f t="shared" si="2"/>
        <v>0</v>
      </c>
      <c r="M24" s="192">
        <f t="shared" si="5"/>
        <v>0</v>
      </c>
      <c r="N24" s="192">
        <f t="shared" si="3"/>
        <v>0</v>
      </c>
      <c r="O24" s="193" t="s">
        <v>981</v>
      </c>
      <c r="P24" s="197">
        <v>10</v>
      </c>
      <c r="Q24" s="197">
        <v>11</v>
      </c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  <c r="AP24" s="205"/>
      <c r="AQ24" s="205"/>
    </row>
    <row r="25" spans="1:48" s="206" customFormat="1" x14ac:dyDescent="0.3">
      <c r="A25" s="226" t="s">
        <v>977</v>
      </c>
      <c r="B25" s="197">
        <v>16</v>
      </c>
      <c r="C25" s="209" t="s">
        <v>827</v>
      </c>
      <c r="D25" s="196">
        <f>640/31*3</f>
        <v>61.935483870967744</v>
      </c>
      <c r="E25" s="192">
        <v>0</v>
      </c>
      <c r="F25" s="196">
        <f>D25-E25</f>
        <v>61.935483870967744</v>
      </c>
      <c r="G25" s="192">
        <v>0</v>
      </c>
      <c r="H25" s="192">
        <f>(1541.7/27)/31*3</f>
        <v>5.5258064516129037</v>
      </c>
      <c r="I25" s="192">
        <f>'GERAL 2024'!I40/31*3</f>
        <v>0.12682452528025623</v>
      </c>
      <c r="J25" s="192">
        <f>'GERAL 2024'!K40/31*3</f>
        <v>7.7262068176618626E-2</v>
      </c>
      <c r="K25" s="192">
        <v>127.18</v>
      </c>
      <c r="L25" s="191">
        <f t="shared" si="2"/>
        <v>194.84537691603754</v>
      </c>
      <c r="M25" s="192">
        <f t="shared" si="5"/>
        <v>13.63917638412263</v>
      </c>
      <c r="N25" s="192">
        <f t="shared" si="3"/>
        <v>181.2062005319149</v>
      </c>
      <c r="O25" s="193" t="s">
        <v>978</v>
      </c>
      <c r="P25" s="197">
        <v>10</v>
      </c>
      <c r="Q25" s="197">
        <v>11</v>
      </c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  <c r="AQ25" s="205"/>
    </row>
    <row r="26" spans="1:48" s="206" customFormat="1" x14ac:dyDescent="0.3">
      <c r="A26" s="195" t="s">
        <v>902</v>
      </c>
      <c r="B26" s="195">
        <v>17</v>
      </c>
      <c r="C26" s="195" t="s">
        <v>823</v>
      </c>
      <c r="D26" s="196">
        <f>'GERAL 2024'!G35</f>
        <v>640</v>
      </c>
      <c r="E26" s="192">
        <v>0</v>
      </c>
      <c r="F26" s="196">
        <f t="shared" si="1"/>
        <v>640</v>
      </c>
      <c r="G26" s="192">
        <v>50</v>
      </c>
      <c r="H26" s="192">
        <f>(1541.7/27)</f>
        <v>57.1</v>
      </c>
      <c r="I26" s="192">
        <f>'GERAL 2024'!I35</f>
        <v>1.3105200945626476</v>
      </c>
      <c r="J26" s="192">
        <f>'GERAL 2024'!K35</f>
        <v>0.79837470449172576</v>
      </c>
      <c r="K26" s="192">
        <v>21.2</v>
      </c>
      <c r="L26" s="191">
        <f t="shared" si="2"/>
        <v>770.40889479905445</v>
      </c>
      <c r="M26" s="192">
        <f>7%*L26</f>
        <v>53.92862263593382</v>
      </c>
      <c r="N26" s="192">
        <f>L26-M26</f>
        <v>716.48027216312062</v>
      </c>
      <c r="O26" s="193" t="s">
        <v>962</v>
      </c>
      <c r="P26" s="197">
        <v>10</v>
      </c>
      <c r="Q26" s="197">
        <v>11</v>
      </c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  <c r="AQ26" s="205"/>
    </row>
    <row r="27" spans="1:48" s="206" customFormat="1" x14ac:dyDescent="0.3">
      <c r="A27" s="195" t="s">
        <v>749</v>
      </c>
      <c r="B27" s="193">
        <v>18</v>
      </c>
      <c r="C27" s="193" t="s">
        <v>830</v>
      </c>
      <c r="D27" s="196">
        <f>'GERAL 2023'!G20</f>
        <v>640</v>
      </c>
      <c r="E27" s="192">
        <v>0</v>
      </c>
      <c r="F27" s="196">
        <f>D27-E27</f>
        <v>640</v>
      </c>
      <c r="G27" s="192">
        <v>50</v>
      </c>
      <c r="H27" s="192">
        <f t="shared" si="4"/>
        <v>57.1</v>
      </c>
      <c r="I27" s="192">
        <f>'GERAL 2024'!I20</f>
        <v>1.3105200945626476</v>
      </c>
      <c r="J27" s="192">
        <f>'GERAL 2024'!K20</f>
        <v>0.79837470449172576</v>
      </c>
      <c r="K27" s="192">
        <v>19.809999999999999</v>
      </c>
      <c r="L27" s="191">
        <f t="shared" si="2"/>
        <v>769.01889479905435</v>
      </c>
      <c r="M27" s="192">
        <f t="shared" si="5"/>
        <v>53.831322635933809</v>
      </c>
      <c r="N27" s="192">
        <f t="shared" si="3"/>
        <v>715.18757216312054</v>
      </c>
      <c r="O27" s="193" t="s">
        <v>963</v>
      </c>
      <c r="P27" s="197">
        <v>10</v>
      </c>
      <c r="Q27" s="197">
        <v>11</v>
      </c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  <c r="AQ27" s="205"/>
    </row>
    <row r="28" spans="1:48" s="206" customFormat="1" x14ac:dyDescent="0.3">
      <c r="A28" s="193" t="s">
        <v>738</v>
      </c>
      <c r="B28" s="193">
        <v>19</v>
      </c>
      <c r="C28" s="193" t="s">
        <v>825</v>
      </c>
      <c r="D28" s="196">
        <f>'GERAL 2023'!G38</f>
        <v>610</v>
      </c>
      <c r="E28" s="192">
        <v>0</v>
      </c>
      <c r="F28" s="196">
        <f>(D28-E28)</f>
        <v>610</v>
      </c>
      <c r="G28" s="192">
        <v>25</v>
      </c>
      <c r="H28" s="192">
        <f t="shared" si="4"/>
        <v>57.1</v>
      </c>
      <c r="I28" s="192">
        <f>'GERAL 2024'!I21</f>
        <v>1.3105200945626476</v>
      </c>
      <c r="J28" s="192">
        <f>'GERAL 2024'!K21</f>
        <v>0.79837470449172576</v>
      </c>
      <c r="K28" s="192">
        <v>0</v>
      </c>
      <c r="L28" s="191">
        <f t="shared" si="2"/>
        <v>694.20889479905441</v>
      </c>
      <c r="M28" s="192">
        <f t="shared" si="5"/>
        <v>48.59462263593381</v>
      </c>
      <c r="N28" s="192">
        <f t="shared" si="3"/>
        <v>645.61427216312063</v>
      </c>
      <c r="O28" s="193" t="s">
        <v>961</v>
      </c>
      <c r="P28" s="197">
        <v>10</v>
      </c>
      <c r="Q28" s="197">
        <v>11</v>
      </c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  <c r="AQ28" s="205"/>
    </row>
    <row r="29" spans="1:48" s="206" customFormat="1" x14ac:dyDescent="0.3">
      <c r="A29" s="195" t="s">
        <v>919</v>
      </c>
      <c r="B29" s="193">
        <v>20</v>
      </c>
      <c r="C29" s="193" t="s">
        <v>917</v>
      </c>
      <c r="D29" s="196">
        <f>'GERAL 2024'!G36</f>
        <v>780</v>
      </c>
      <c r="E29" s="192">
        <v>0</v>
      </c>
      <c r="F29" s="196">
        <f t="shared" ref="F29:F36" si="6">D29-E29</f>
        <v>780</v>
      </c>
      <c r="G29" s="192">
        <v>25</v>
      </c>
      <c r="H29" s="192">
        <f>(1541.7/27)</f>
        <v>57.1</v>
      </c>
      <c r="I29" s="192">
        <f>'GERAL 2024'!I36</f>
        <v>1.3105200945626476</v>
      </c>
      <c r="J29" s="192">
        <f>'GERAL 2024'!K36</f>
        <v>0.79837470449172576</v>
      </c>
      <c r="K29" s="192">
        <v>21.48</v>
      </c>
      <c r="L29" s="191">
        <f t="shared" si="2"/>
        <v>885.68889479905442</v>
      </c>
      <c r="M29" s="192">
        <f t="shared" si="5"/>
        <v>61.998222635933814</v>
      </c>
      <c r="N29" s="192">
        <f t="shared" si="3"/>
        <v>823.69067216312055</v>
      </c>
      <c r="O29" s="193" t="s">
        <v>964</v>
      </c>
      <c r="P29" s="207">
        <v>10</v>
      </c>
      <c r="Q29" s="197">
        <v>11</v>
      </c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  <c r="AQ29" s="205"/>
    </row>
    <row r="30" spans="1:48" s="206" customFormat="1" x14ac:dyDescent="0.3">
      <c r="A30" s="195" t="s">
        <v>788</v>
      </c>
      <c r="B30" s="193">
        <v>21</v>
      </c>
      <c r="C30" s="193" t="s">
        <v>822</v>
      </c>
      <c r="D30" s="196">
        <f>'GERAL 2023'!G39</f>
        <v>580</v>
      </c>
      <c r="E30" s="192">
        <v>0</v>
      </c>
      <c r="F30" s="196">
        <f t="shared" si="6"/>
        <v>580</v>
      </c>
      <c r="G30" s="192">
        <v>25</v>
      </c>
      <c r="H30" s="192">
        <f t="shared" si="4"/>
        <v>57.1</v>
      </c>
      <c r="I30" s="192">
        <f>'GERAL 2024'!I23</f>
        <v>1.3105200945626476</v>
      </c>
      <c r="J30" s="192">
        <f>'GERAL 2024'!K23</f>
        <v>0.79837470449172576</v>
      </c>
      <c r="K30" s="192">
        <v>0</v>
      </c>
      <c r="L30" s="191">
        <f t="shared" si="2"/>
        <v>664.20889479905441</v>
      </c>
      <c r="M30" s="192">
        <f t="shared" si="5"/>
        <v>46.494622635933816</v>
      </c>
      <c r="N30" s="192">
        <f t="shared" si="3"/>
        <v>617.71427216312054</v>
      </c>
      <c r="O30" s="193" t="s">
        <v>961</v>
      </c>
      <c r="P30" s="207">
        <v>10</v>
      </c>
      <c r="Q30" s="197">
        <v>11</v>
      </c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  <c r="AQ30" s="205"/>
    </row>
    <row r="31" spans="1:48" s="206" customFormat="1" x14ac:dyDescent="0.3">
      <c r="A31" s="195" t="s">
        <v>950</v>
      </c>
      <c r="B31" s="193">
        <v>22</v>
      </c>
      <c r="C31" s="193" t="s">
        <v>951</v>
      </c>
      <c r="D31" s="196">
        <v>0</v>
      </c>
      <c r="E31" s="192">
        <v>0</v>
      </c>
      <c r="F31" s="196">
        <f t="shared" si="6"/>
        <v>0</v>
      </c>
      <c r="G31" s="192">
        <v>0</v>
      </c>
      <c r="H31" s="192">
        <v>0</v>
      </c>
      <c r="I31" s="192">
        <v>0</v>
      </c>
      <c r="J31" s="192">
        <v>0</v>
      </c>
      <c r="K31" s="192">
        <v>0</v>
      </c>
      <c r="L31" s="191">
        <f t="shared" si="2"/>
        <v>0</v>
      </c>
      <c r="M31" s="192">
        <f>7%*L31</f>
        <v>0</v>
      </c>
      <c r="N31" s="192">
        <f>L31-M31</f>
        <v>0</v>
      </c>
      <c r="O31" s="193" t="s">
        <v>108</v>
      </c>
      <c r="P31" s="207">
        <v>10</v>
      </c>
      <c r="Q31" s="197">
        <v>11</v>
      </c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  <c r="AC31" s="205"/>
      <c r="AD31" s="205"/>
      <c r="AE31" s="205"/>
      <c r="AF31" s="205"/>
      <c r="AG31" s="205"/>
      <c r="AH31" s="205"/>
      <c r="AI31" s="205"/>
      <c r="AJ31" s="205"/>
      <c r="AK31" s="205"/>
      <c r="AL31" s="205"/>
      <c r="AM31" s="205"/>
      <c r="AN31" s="205"/>
      <c r="AO31" s="205"/>
      <c r="AP31" s="205"/>
      <c r="AQ31" s="205"/>
    </row>
    <row r="32" spans="1:48" s="206" customFormat="1" x14ac:dyDescent="0.3">
      <c r="A32" s="195" t="s">
        <v>750</v>
      </c>
      <c r="B32" s="193">
        <v>23</v>
      </c>
      <c r="C32" s="209" t="s">
        <v>827</v>
      </c>
      <c r="D32" s="196">
        <f>'GERAL 2022'!G25</f>
        <v>550</v>
      </c>
      <c r="E32" s="192">
        <v>0</v>
      </c>
      <c r="F32" s="196">
        <f t="shared" si="6"/>
        <v>550</v>
      </c>
      <c r="G32" s="192">
        <v>0</v>
      </c>
      <c r="H32" s="192">
        <f t="shared" si="4"/>
        <v>57.1</v>
      </c>
      <c r="I32" s="192">
        <f>'GERAL 2024'!I25</f>
        <v>1.3105200945626476</v>
      </c>
      <c r="J32" s="192">
        <f>'GERAL 2024'!K25</f>
        <v>0.79837470449172576</v>
      </c>
      <c r="K32" s="192">
        <v>126.09</v>
      </c>
      <c r="L32" s="191">
        <f t="shared" si="2"/>
        <v>735.29889479905444</v>
      </c>
      <c r="M32" s="192">
        <f t="shared" si="5"/>
        <v>51.470922635933817</v>
      </c>
      <c r="N32" s="192">
        <f t="shared" si="3"/>
        <v>683.82797216312065</v>
      </c>
      <c r="O32" s="193" t="s">
        <v>970</v>
      </c>
      <c r="P32" s="197">
        <v>10</v>
      </c>
      <c r="Q32" s="197">
        <v>11</v>
      </c>
      <c r="R32" s="205"/>
      <c r="S32" s="205"/>
      <c r="T32" s="205"/>
      <c r="U32" s="205"/>
      <c r="V32" s="205"/>
      <c r="W32" s="205"/>
      <c r="X32" s="205"/>
      <c r="Y32" s="205"/>
      <c r="Z32" s="205"/>
      <c r="AA32" s="205"/>
      <c r="AB32" s="205"/>
      <c r="AC32" s="205"/>
      <c r="AD32" s="205"/>
      <c r="AE32" s="205"/>
      <c r="AF32" s="205"/>
      <c r="AG32" s="205"/>
      <c r="AH32" s="205"/>
      <c r="AI32" s="205"/>
      <c r="AJ32" s="205"/>
      <c r="AK32" s="205"/>
      <c r="AL32" s="205"/>
      <c r="AM32" s="205"/>
      <c r="AN32" s="205"/>
      <c r="AO32" s="205"/>
      <c r="AP32" s="205"/>
      <c r="AQ32" s="205"/>
    </row>
    <row r="33" spans="1:50" s="204" customFormat="1" ht="15.75" customHeight="1" x14ac:dyDescent="0.3">
      <c r="A33" s="193"/>
      <c r="B33" s="193">
        <v>24</v>
      </c>
      <c r="C33" s="193"/>
      <c r="D33" s="196">
        <v>0</v>
      </c>
      <c r="E33" s="192">
        <v>0</v>
      </c>
      <c r="F33" s="196">
        <f>D33-E33</f>
        <v>0</v>
      </c>
      <c r="G33" s="192">
        <v>0</v>
      </c>
      <c r="H33" s="192">
        <v>0</v>
      </c>
      <c r="I33" s="192">
        <v>0</v>
      </c>
      <c r="J33" s="192">
        <v>0</v>
      </c>
      <c r="K33" s="192">
        <v>0</v>
      </c>
      <c r="L33" s="191">
        <f t="shared" si="2"/>
        <v>0</v>
      </c>
      <c r="M33" s="192">
        <f t="shared" si="5"/>
        <v>0</v>
      </c>
      <c r="N33" s="192">
        <f t="shared" si="3"/>
        <v>0</v>
      </c>
      <c r="O33" s="193" t="s">
        <v>525</v>
      </c>
      <c r="P33" s="207"/>
      <c r="Q33" s="197"/>
      <c r="R33" s="200"/>
      <c r="S33" s="200"/>
      <c r="T33" s="200"/>
      <c r="U33" s="200"/>
      <c r="V33" s="200"/>
      <c r="W33" s="200"/>
      <c r="X33" s="200"/>
      <c r="Y33" s="200"/>
      <c r="Z33" s="200"/>
    </row>
    <row r="34" spans="1:50" s="204" customFormat="1" ht="15" customHeight="1" x14ac:dyDescent="0.3">
      <c r="A34" s="206" t="s">
        <v>809</v>
      </c>
      <c r="B34" s="193">
        <v>25</v>
      </c>
      <c r="C34" s="193" t="s">
        <v>832</v>
      </c>
      <c r="D34" s="196">
        <f>'GERAL 2022'!G44/31*11</f>
        <v>216.45161290322579</v>
      </c>
      <c r="E34" s="192">
        <v>0</v>
      </c>
      <c r="F34" s="196">
        <f t="shared" si="6"/>
        <v>216.45161290322579</v>
      </c>
      <c r="G34" s="192">
        <v>0</v>
      </c>
      <c r="H34" s="192">
        <f>(1541.7/27)/31*11</f>
        <v>20.261290322580646</v>
      </c>
      <c r="I34" s="192">
        <f>'GERAL 2024'!I27/31*11</f>
        <v>0.46502325936093947</v>
      </c>
      <c r="J34" s="192">
        <f>'GERAL 2024'!K27/31*11</f>
        <v>0.28329424998093494</v>
      </c>
      <c r="K34" s="192">
        <v>0</v>
      </c>
      <c r="L34" s="191">
        <f t="shared" si="2"/>
        <v>237.46122073514832</v>
      </c>
      <c r="M34" s="192">
        <f t="shared" si="5"/>
        <v>16.622285451460385</v>
      </c>
      <c r="N34" s="192">
        <f t="shared" si="3"/>
        <v>220.83893528368793</v>
      </c>
      <c r="O34" s="193" t="s">
        <v>968</v>
      </c>
      <c r="P34" s="207">
        <v>10</v>
      </c>
      <c r="Q34" s="197">
        <v>11</v>
      </c>
      <c r="R34" s="200"/>
      <c r="S34" s="200"/>
      <c r="T34" s="200"/>
      <c r="U34" s="200"/>
      <c r="V34" s="200"/>
      <c r="W34" s="200"/>
      <c r="X34" s="200"/>
      <c r="Y34" s="200"/>
      <c r="Z34" s="200"/>
    </row>
    <row r="35" spans="1:50" s="206" customFormat="1" x14ac:dyDescent="0.3">
      <c r="A35" s="195" t="s">
        <v>751</v>
      </c>
      <c r="B35" s="193">
        <v>26</v>
      </c>
      <c r="C35" s="209" t="s">
        <v>827</v>
      </c>
      <c r="D35" s="196">
        <f>'GERAL 2022'!G28</f>
        <v>560</v>
      </c>
      <c r="E35" s="192">
        <v>0</v>
      </c>
      <c r="F35" s="196">
        <f t="shared" si="6"/>
        <v>560</v>
      </c>
      <c r="G35" s="192">
        <v>25</v>
      </c>
      <c r="H35" s="192">
        <f t="shared" si="4"/>
        <v>57.1</v>
      </c>
      <c r="I35" s="192">
        <f>'GERAL 2024'!I28</f>
        <v>1.3105200945626476</v>
      </c>
      <c r="J35" s="192">
        <f>'GERAL 2024'!K29</f>
        <v>0.79837470449172576</v>
      </c>
      <c r="K35" s="192">
        <v>126.19</v>
      </c>
      <c r="L35" s="191">
        <f t="shared" si="2"/>
        <v>770.39889479905446</v>
      </c>
      <c r="M35" s="192">
        <f t="shared" si="5"/>
        <v>53.927922635933818</v>
      </c>
      <c r="N35" s="192">
        <f t="shared" si="3"/>
        <v>716.47097216312068</v>
      </c>
      <c r="O35" s="193" t="s">
        <v>970</v>
      </c>
      <c r="P35" s="197">
        <v>10</v>
      </c>
      <c r="Q35" s="197">
        <v>11</v>
      </c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  <c r="AQ35" s="205"/>
    </row>
    <row r="36" spans="1:50" s="206" customFormat="1" x14ac:dyDescent="0.3">
      <c r="A36" s="195" t="s">
        <v>752</v>
      </c>
      <c r="B36" s="193">
        <v>27</v>
      </c>
      <c r="C36" s="231" t="s">
        <v>827</v>
      </c>
      <c r="D36" s="217">
        <f>'GERAL 2022'!G45</f>
        <v>580</v>
      </c>
      <c r="E36" s="210">
        <v>0</v>
      </c>
      <c r="F36" s="196">
        <f t="shared" si="6"/>
        <v>580</v>
      </c>
      <c r="G36" s="210">
        <v>0</v>
      </c>
      <c r="H36" s="192">
        <f t="shared" si="4"/>
        <v>57.1</v>
      </c>
      <c r="I36" s="210">
        <f>'GERAL 2024'!I29</f>
        <v>1.3105200945626476</v>
      </c>
      <c r="J36" s="192">
        <f>'GERAL 2024'!K29</f>
        <v>0.79837470449172576</v>
      </c>
      <c r="K36" s="210">
        <v>126.44</v>
      </c>
      <c r="L36" s="191">
        <f t="shared" si="2"/>
        <v>765.64889479905446</v>
      </c>
      <c r="M36" s="192">
        <f t="shared" si="5"/>
        <v>53.595422635933815</v>
      </c>
      <c r="N36" s="192">
        <f>L36-M36</f>
        <v>712.05347216312066</v>
      </c>
      <c r="O36" s="193" t="s">
        <v>970</v>
      </c>
      <c r="P36" s="197">
        <v>10</v>
      </c>
      <c r="Q36" s="197">
        <v>11</v>
      </c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  <c r="AQ36" s="205"/>
    </row>
    <row r="37" spans="1:50" s="206" customFormat="1" x14ac:dyDescent="0.3">
      <c r="A37" s="584" t="s">
        <v>4</v>
      </c>
      <c r="B37" s="584"/>
      <c r="C37" s="209"/>
      <c r="D37" s="191">
        <f>SUM(D9:D36)</f>
        <v>12330.645161290322</v>
      </c>
      <c r="E37" s="191">
        <f t="shared" ref="E37:N37" si="7">SUM(E9:E36)</f>
        <v>0</v>
      </c>
      <c r="F37" s="191">
        <f>SUM(F9:F36)</f>
        <v>12330.645161290322</v>
      </c>
      <c r="G37" s="191">
        <f t="shared" si="7"/>
        <v>575</v>
      </c>
      <c r="H37" s="191">
        <f>SUM(H9:H36)</f>
        <v>1211.9935483870968</v>
      </c>
      <c r="I37" s="191">
        <f t="shared" si="7"/>
        <v>28.86526195378632</v>
      </c>
      <c r="J37" s="191">
        <f t="shared" si="7"/>
        <v>17.584846716998403</v>
      </c>
      <c r="K37" s="191">
        <f>SUM(K9:K36)</f>
        <v>990.98</v>
      </c>
      <c r="L37" s="191">
        <f>SUM(L9:L36)</f>
        <v>15155.068818348202</v>
      </c>
      <c r="M37" s="191">
        <f t="shared" si="7"/>
        <v>1060.8548172843746</v>
      </c>
      <c r="N37" s="191">
        <f t="shared" si="7"/>
        <v>14094.21400106383</v>
      </c>
      <c r="O37" s="193"/>
      <c r="P37" s="197"/>
      <c r="Q37" s="197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  <c r="AC37" s="205"/>
      <c r="AD37" s="205"/>
      <c r="AE37" s="205"/>
      <c r="AF37" s="205"/>
      <c r="AG37" s="205"/>
      <c r="AH37" s="205"/>
      <c r="AI37" s="205"/>
      <c r="AJ37" s="205"/>
      <c r="AK37" s="205"/>
      <c r="AL37" s="205"/>
      <c r="AM37" s="205"/>
      <c r="AN37" s="205"/>
      <c r="AO37" s="205"/>
      <c r="AP37" s="205"/>
      <c r="AQ37" s="205"/>
    </row>
    <row r="38" spans="1:50" s="11" customFormat="1" ht="28.5" customHeight="1" x14ac:dyDescent="0.3">
      <c r="A38" s="521" t="s">
        <v>959</v>
      </c>
      <c r="B38" s="521"/>
      <c r="C38" s="521"/>
      <c r="D38" s="521"/>
      <c r="E38" s="521"/>
      <c r="F38" s="521"/>
      <c r="G38" s="521"/>
      <c r="H38" s="521"/>
      <c r="I38" s="521"/>
      <c r="J38" s="521"/>
      <c r="K38" s="521"/>
      <c r="L38" s="521"/>
      <c r="M38" s="521"/>
      <c r="N38" s="521"/>
      <c r="O38" s="521"/>
      <c r="P38" s="521"/>
      <c r="Q38" s="521"/>
      <c r="R38" s="10"/>
      <c r="S38" s="10"/>
      <c r="T38" s="10"/>
      <c r="U38" s="10"/>
      <c r="V38" s="10"/>
      <c r="W38" s="10"/>
      <c r="X38" s="10"/>
      <c r="Y38" s="10"/>
      <c r="Z38" s="10"/>
    </row>
    <row r="39" spans="1:50" s="11" customFormat="1" ht="27.75" customHeight="1" x14ac:dyDescent="0.3">
      <c r="A39" s="127" t="s">
        <v>3</v>
      </c>
      <c r="B39" s="127" t="s">
        <v>0</v>
      </c>
      <c r="C39" s="127" t="s">
        <v>821</v>
      </c>
      <c r="D39" s="128" t="s">
        <v>174</v>
      </c>
      <c r="E39" s="555" t="s">
        <v>175</v>
      </c>
      <c r="F39" s="556"/>
      <c r="G39" s="556"/>
      <c r="H39" s="556"/>
      <c r="I39" s="556"/>
      <c r="J39" s="556"/>
      <c r="K39" s="557"/>
      <c r="L39" s="128" t="s">
        <v>4</v>
      </c>
      <c r="M39" s="128" t="s">
        <v>5</v>
      </c>
      <c r="N39" s="128" t="s">
        <v>70</v>
      </c>
      <c r="O39" s="127" t="s">
        <v>59</v>
      </c>
      <c r="P39" s="130" t="s">
        <v>8</v>
      </c>
      <c r="Q39" s="130" t="s">
        <v>10</v>
      </c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spans="1:50" s="204" customFormat="1" ht="15.75" customHeight="1" x14ac:dyDescent="0.3">
      <c r="A40" s="193"/>
      <c r="B40" s="193"/>
      <c r="C40" s="193"/>
      <c r="D40" s="196"/>
      <c r="E40" s="551"/>
      <c r="F40" s="580"/>
      <c r="G40" s="580"/>
      <c r="H40" s="580"/>
      <c r="I40" s="580"/>
      <c r="J40" s="580"/>
      <c r="K40" s="552"/>
      <c r="L40" s="191"/>
      <c r="M40" s="192"/>
      <c r="N40" s="192"/>
      <c r="O40" s="193"/>
      <c r="P40" s="207"/>
      <c r="Q40" s="197"/>
      <c r="R40" s="200"/>
      <c r="S40" s="200"/>
      <c r="T40" s="200"/>
      <c r="U40" s="200"/>
      <c r="V40" s="200"/>
      <c r="W40" s="200"/>
      <c r="X40" s="200"/>
      <c r="Y40" s="200"/>
      <c r="Z40" s="200"/>
    </row>
    <row r="41" spans="1:50" s="11" customFormat="1" x14ac:dyDescent="0.3">
      <c r="A41" s="518" t="s">
        <v>4</v>
      </c>
      <c r="B41" s="518"/>
      <c r="C41" s="518"/>
      <c r="D41" s="518"/>
      <c r="E41" s="518"/>
      <c r="F41" s="518"/>
      <c r="G41" s="518"/>
      <c r="H41" s="518"/>
      <c r="I41" s="518"/>
      <c r="J41" s="518"/>
      <c r="K41" s="518"/>
      <c r="L41" s="109">
        <f>SUM(L40:L40)</f>
        <v>0</v>
      </c>
      <c r="M41" s="109">
        <f>SUM(M40:M40)</f>
        <v>0</v>
      </c>
      <c r="N41" s="109">
        <f>SUM(N40:N40)</f>
        <v>0</v>
      </c>
      <c r="O41" s="527"/>
      <c r="P41" s="527"/>
      <c r="Q41" s="527"/>
      <c r="R41" s="10"/>
      <c r="S41" s="10"/>
      <c r="T41" s="10"/>
      <c r="U41" s="10"/>
      <c r="V41" s="10"/>
      <c r="W41" s="10"/>
      <c r="X41" s="10"/>
      <c r="Y41" s="10"/>
      <c r="Z41" s="10"/>
    </row>
    <row r="42" spans="1:50" s="11" customFormat="1" x14ac:dyDescent="0.3">
      <c r="A42" s="518"/>
      <c r="B42" s="518"/>
      <c r="C42" s="518"/>
      <c r="D42" s="518"/>
      <c r="E42" s="518"/>
      <c r="F42" s="518"/>
      <c r="G42" s="518"/>
      <c r="H42" s="518"/>
      <c r="I42" s="518"/>
      <c r="J42" s="518"/>
      <c r="K42" s="518"/>
      <c r="L42" s="518"/>
      <c r="M42" s="518"/>
      <c r="N42" s="518"/>
      <c r="O42" s="518"/>
      <c r="P42" s="109"/>
      <c r="Q42" s="109"/>
      <c r="R42" s="10"/>
      <c r="S42" s="10"/>
      <c r="T42" s="10"/>
      <c r="U42" s="10"/>
      <c r="V42" s="10"/>
      <c r="W42" s="10"/>
      <c r="X42" s="10"/>
      <c r="Y42" s="10"/>
      <c r="Z42" s="10"/>
    </row>
    <row r="43" spans="1:50" s="11" customFormat="1" ht="28.5" customHeight="1" x14ac:dyDescent="0.3">
      <c r="A43" s="521" t="s">
        <v>177</v>
      </c>
      <c r="B43" s="521"/>
      <c r="C43" s="521"/>
      <c r="D43" s="521"/>
      <c r="E43" s="521"/>
      <c r="F43" s="521"/>
      <c r="G43" s="521"/>
      <c r="H43" s="521"/>
      <c r="I43" s="521"/>
      <c r="J43" s="521"/>
      <c r="K43" s="521"/>
      <c r="L43" s="521"/>
      <c r="M43" s="521"/>
      <c r="N43" s="521"/>
      <c r="O43" s="521"/>
      <c r="P43" s="521"/>
      <c r="Q43" s="521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50" s="11" customFormat="1" ht="25.5" customHeight="1" x14ac:dyDescent="0.3">
      <c r="A44" s="126" t="s">
        <v>173</v>
      </c>
      <c r="B44" s="126" t="s">
        <v>0</v>
      </c>
      <c r="C44" s="126"/>
      <c r="D44" s="126" t="s">
        <v>174</v>
      </c>
      <c r="E44" s="521" t="s">
        <v>175</v>
      </c>
      <c r="F44" s="521"/>
      <c r="G44" s="521"/>
      <c r="H44" s="521"/>
      <c r="I44" s="521"/>
      <c r="J44" s="521"/>
      <c r="K44" s="521"/>
      <c r="L44" s="129" t="s">
        <v>4</v>
      </c>
      <c r="M44" s="128"/>
      <c r="N44" s="128"/>
      <c r="O44" s="127" t="s">
        <v>59</v>
      </c>
      <c r="P44" s="130" t="s">
        <v>8</v>
      </c>
      <c r="Q44" s="130" t="s">
        <v>10</v>
      </c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50" s="69" customFormat="1" ht="15" customHeight="1" x14ac:dyDescent="0.3">
      <c r="A45" s="4" t="s">
        <v>132</v>
      </c>
      <c r="B45" s="4">
        <v>1</v>
      </c>
      <c r="C45" s="4"/>
      <c r="D45" s="5">
        <f>4977.59-1520</f>
        <v>3457.59</v>
      </c>
      <c r="E45" s="546" t="s">
        <v>284</v>
      </c>
      <c r="F45" s="547"/>
      <c r="G45" s="547"/>
      <c r="H45" s="547"/>
      <c r="I45" s="547"/>
      <c r="J45" s="547"/>
      <c r="K45" s="548"/>
      <c r="L45" s="5">
        <f>4977.59-1520</f>
        <v>3457.59</v>
      </c>
      <c r="M45" s="5"/>
      <c r="N45" s="5"/>
      <c r="O45" s="5" t="s">
        <v>510</v>
      </c>
      <c r="P45" s="140">
        <v>10</v>
      </c>
      <c r="Q45" s="4">
        <v>11</v>
      </c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</row>
    <row r="46" spans="1:50" s="11" customFormat="1" x14ac:dyDescent="0.3">
      <c r="A46" s="90" t="s">
        <v>87</v>
      </c>
      <c r="B46" s="90">
        <v>25</v>
      </c>
      <c r="C46" s="90"/>
      <c r="D46" s="5">
        <v>3013.33</v>
      </c>
      <c r="E46" s="546" t="s">
        <v>543</v>
      </c>
      <c r="F46" s="547"/>
      <c r="G46" s="547"/>
      <c r="H46" s="547"/>
      <c r="I46" s="547"/>
      <c r="J46" s="547"/>
      <c r="K46" s="548"/>
      <c r="L46" s="5">
        <v>3040.58</v>
      </c>
      <c r="M46" s="2"/>
      <c r="N46" s="2"/>
      <c r="O46" s="5" t="s">
        <v>545</v>
      </c>
      <c r="P46" s="98">
        <v>10</v>
      </c>
      <c r="Q46" s="3">
        <v>11</v>
      </c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</row>
    <row r="47" spans="1:50" s="11" customFormat="1" ht="15" customHeight="1" x14ac:dyDescent="0.3">
      <c r="A47" s="3" t="s">
        <v>894</v>
      </c>
      <c r="B47" s="90">
        <v>16</v>
      </c>
      <c r="C47" s="90" t="s">
        <v>823</v>
      </c>
      <c r="D47" s="5">
        <f>144.52+11.29+12.89+0.3+0.18+1664</f>
        <v>1833.18</v>
      </c>
      <c r="E47" s="546" t="s">
        <v>969</v>
      </c>
      <c r="F47" s="547"/>
      <c r="G47" s="547"/>
      <c r="H47" s="547"/>
      <c r="I47" s="547"/>
      <c r="J47" s="547"/>
      <c r="K47" s="548"/>
      <c r="L47" s="5">
        <f>144.52+11.29+12.89+0.3+0.18+1664</f>
        <v>1833.18</v>
      </c>
      <c r="M47" s="2"/>
      <c r="N47" s="2"/>
      <c r="O47" s="90" t="s">
        <v>969</v>
      </c>
      <c r="P47" s="98">
        <v>10</v>
      </c>
      <c r="Q47" s="3">
        <v>11</v>
      </c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</row>
    <row r="48" spans="1:50" s="40" customFormat="1" ht="15" customHeight="1" thickBot="1" x14ac:dyDescent="0.35">
      <c r="A48" s="534" t="s">
        <v>4</v>
      </c>
      <c r="B48" s="549"/>
      <c r="C48" s="549"/>
      <c r="D48" s="549"/>
      <c r="E48" s="549"/>
      <c r="F48" s="549"/>
      <c r="G48" s="549"/>
      <c r="H48" s="549"/>
      <c r="I48" s="549"/>
      <c r="J48" s="549"/>
      <c r="K48" s="535"/>
      <c r="L48" s="114">
        <f>SUM(L45:L47)</f>
        <v>8331.35</v>
      </c>
      <c r="M48" s="90"/>
      <c r="N48" s="90"/>
      <c r="O48" s="90"/>
      <c r="P48" s="90"/>
      <c r="Q48" s="9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1"/>
      <c r="AV48" s="11"/>
      <c r="AW48" s="11"/>
      <c r="AX48" s="11"/>
    </row>
    <row r="49" spans="1:61" s="19" customFormat="1" x14ac:dyDescent="0.3">
      <c r="A49" s="179"/>
      <c r="B49" s="180"/>
      <c r="C49" s="180"/>
      <c r="D49" s="180"/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1"/>
      <c r="Q49" s="182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</row>
    <row r="50" spans="1:61" s="40" customFormat="1" x14ac:dyDescent="0.3">
      <c r="A50" s="585"/>
      <c r="B50" s="585"/>
      <c r="C50" s="585"/>
      <c r="D50" s="585"/>
      <c r="E50" s="585"/>
      <c r="F50" s="46"/>
      <c r="G50" s="46"/>
      <c r="H50" s="46"/>
      <c r="I50" s="46"/>
      <c r="J50" s="46"/>
      <c r="K50" s="46"/>
      <c r="L50" s="46"/>
      <c r="M50" s="46"/>
      <c r="N50" s="46"/>
      <c r="O50" s="544" t="s">
        <v>315</v>
      </c>
      <c r="P50" s="544"/>
      <c r="Q50" s="545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1"/>
      <c r="AV50" s="11"/>
      <c r="AW50" s="11"/>
      <c r="AX50" s="11"/>
    </row>
    <row r="51" spans="1:61" s="40" customFormat="1" x14ac:dyDescent="0.3">
      <c r="A51" s="206"/>
      <c r="B51" s="223"/>
      <c r="C51" s="223"/>
      <c r="D51" s="224"/>
      <c r="E51" s="223"/>
      <c r="F51" s="46"/>
      <c r="G51" s="46"/>
      <c r="H51" s="46"/>
      <c r="I51" s="11"/>
      <c r="J51" s="11"/>
      <c r="K51" s="11"/>
      <c r="L51" s="87"/>
      <c r="M51" s="87"/>
      <c r="N51" s="87"/>
      <c r="O51" s="527" t="s">
        <v>94</v>
      </c>
      <c r="P51" s="527"/>
      <c r="Q51" s="114">
        <f>M37+M41</f>
        <v>1060.8548172843746</v>
      </c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1"/>
      <c r="AV51" s="11"/>
      <c r="AW51" s="11"/>
      <c r="AX51" s="11"/>
    </row>
    <row r="52" spans="1:61" s="40" customFormat="1" x14ac:dyDescent="0.3">
      <c r="A52" s="206"/>
      <c r="B52" s="223"/>
      <c r="C52" s="223"/>
      <c r="D52" s="224"/>
      <c r="E52" s="223"/>
      <c r="F52" s="46"/>
      <c r="G52" s="46"/>
      <c r="H52" s="46"/>
      <c r="I52" s="11"/>
      <c r="J52" s="11"/>
      <c r="K52" s="11"/>
      <c r="L52" s="14"/>
      <c r="M52" s="14"/>
      <c r="N52" s="14"/>
      <c r="O52" s="518" t="s">
        <v>260</v>
      </c>
      <c r="P52" s="518"/>
      <c r="Q52" s="114">
        <f>M6</f>
        <v>366</v>
      </c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1"/>
      <c r="AV52" s="11"/>
      <c r="AW52" s="11"/>
      <c r="AX52" s="11"/>
    </row>
    <row r="53" spans="1:61" s="40" customFormat="1" x14ac:dyDescent="0.3">
      <c r="A53" s="206"/>
      <c r="B53" s="223"/>
      <c r="C53" s="223"/>
      <c r="D53" s="224"/>
      <c r="E53" s="223"/>
      <c r="F53" s="46"/>
      <c r="G53" s="46"/>
      <c r="H53" s="46"/>
      <c r="I53" s="11"/>
      <c r="J53" s="11"/>
      <c r="K53" s="11"/>
      <c r="L53" s="14"/>
      <c r="M53" s="14"/>
      <c r="N53" s="14"/>
      <c r="O53" s="520"/>
      <c r="P53" s="520"/>
      <c r="Q53" s="52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1"/>
      <c r="AV53" s="11"/>
      <c r="AW53" s="11"/>
      <c r="AX53" s="11"/>
    </row>
    <row r="54" spans="1:61" s="40" customFormat="1" x14ac:dyDescent="0.3">
      <c r="A54" s="206"/>
      <c r="B54" s="223"/>
      <c r="C54" s="223"/>
      <c r="D54" s="224"/>
      <c r="E54" s="223"/>
      <c r="F54" s="46"/>
      <c r="G54" s="46"/>
      <c r="H54" s="46"/>
      <c r="I54" s="11"/>
      <c r="J54" s="11"/>
      <c r="K54" s="11"/>
      <c r="L54" s="62"/>
      <c r="M54" s="62"/>
      <c r="N54" s="62"/>
      <c r="O54" s="520"/>
      <c r="P54" s="520"/>
      <c r="Q54" s="52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1"/>
      <c r="AV54" s="11"/>
      <c r="AW54" s="11"/>
      <c r="AX54" s="11"/>
    </row>
    <row r="55" spans="1:61" s="40" customFormat="1" ht="14.4" x14ac:dyDescent="0.3">
      <c r="A55" s="206"/>
      <c r="B55" s="223"/>
      <c r="C55" s="223"/>
      <c r="D55" s="224"/>
      <c r="E55" s="223"/>
      <c r="F55" s="46"/>
      <c r="G55" s="46"/>
      <c r="H55" s="46"/>
      <c r="I55" s="11"/>
      <c r="J55" s="11"/>
      <c r="K55" s="11"/>
      <c r="L55" s="14"/>
      <c r="M55" s="14"/>
      <c r="N55" s="14"/>
      <c r="O55" s="529" t="s">
        <v>12</v>
      </c>
      <c r="P55" s="529"/>
      <c r="Q55" s="529"/>
      <c r="R55" s="175"/>
      <c r="S55" s="178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1"/>
      <c r="AV55" s="11"/>
      <c r="AW55" s="11"/>
      <c r="AX55" s="11"/>
    </row>
    <row r="56" spans="1:61" s="11" customFormat="1" ht="15" customHeight="1" x14ac:dyDescent="0.3">
      <c r="A56" s="206"/>
      <c r="B56" s="223"/>
      <c r="C56" s="223"/>
      <c r="D56" s="224"/>
      <c r="E56" s="223"/>
      <c r="F56" s="46"/>
      <c r="G56" s="46"/>
      <c r="H56" s="46"/>
      <c r="L56" s="63"/>
      <c r="M56" s="63"/>
      <c r="N56" s="63"/>
      <c r="O56" s="514" t="s">
        <v>708</v>
      </c>
      <c r="P56" s="514"/>
      <c r="Q56" s="2">
        <v>21.07</v>
      </c>
      <c r="R56" s="190"/>
      <c r="S56" s="178"/>
    </row>
    <row r="57" spans="1:61" s="11" customFormat="1" ht="14.4" x14ac:dyDescent="0.3">
      <c r="A57" s="206"/>
      <c r="B57" s="223"/>
      <c r="C57" s="223"/>
      <c r="D57" s="224"/>
      <c r="E57" s="223"/>
      <c r="F57" s="46"/>
      <c r="G57" s="46"/>
      <c r="H57" s="46"/>
      <c r="L57" s="14"/>
      <c r="M57" s="14"/>
      <c r="N57" s="14"/>
      <c r="O57" s="514" t="s">
        <v>450</v>
      </c>
      <c r="P57" s="514"/>
      <c r="Q57" s="2">
        <v>21.28</v>
      </c>
      <c r="R57" s="175"/>
      <c r="S57" s="178"/>
    </row>
    <row r="58" spans="1:61" s="11" customFormat="1" ht="15" customHeight="1" x14ac:dyDescent="0.3">
      <c r="A58" s="206"/>
      <c r="B58" s="223"/>
      <c r="C58" s="223"/>
      <c r="D58" s="224"/>
      <c r="E58" s="223"/>
      <c r="F58" s="46"/>
      <c r="G58" s="46"/>
      <c r="H58" s="46"/>
      <c r="L58" s="63"/>
      <c r="M58" s="63"/>
      <c r="N58" s="63"/>
      <c r="O58" s="514" t="s">
        <v>976</v>
      </c>
      <c r="P58" s="514"/>
      <c r="Q58" s="2">
        <v>126.81</v>
      </c>
      <c r="R58" s="190"/>
      <c r="S58" s="178"/>
    </row>
    <row r="59" spans="1:61" s="11" customFormat="1" ht="14.4" x14ac:dyDescent="0.3">
      <c r="A59" s="206"/>
      <c r="B59" s="223"/>
      <c r="C59" s="223"/>
      <c r="D59" s="224"/>
      <c r="E59" s="223"/>
      <c r="F59" s="46"/>
      <c r="G59" s="46"/>
      <c r="H59" s="46"/>
      <c r="L59" s="14"/>
      <c r="M59" s="14"/>
      <c r="N59" s="14"/>
      <c r="O59" s="514" t="s">
        <v>971</v>
      </c>
      <c r="P59" s="514"/>
      <c r="Q59" s="2">
        <v>126.09</v>
      </c>
      <c r="R59" s="222"/>
      <c r="S59" s="178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</row>
    <row r="60" spans="1:61" s="11" customFormat="1" ht="14.4" x14ac:dyDescent="0.3">
      <c r="A60" s="206"/>
      <c r="B60" s="223"/>
      <c r="C60" s="223"/>
      <c r="D60" s="224"/>
      <c r="E60" s="223"/>
      <c r="F60" s="46"/>
      <c r="G60" s="46"/>
      <c r="H60" s="46"/>
      <c r="L60" s="63"/>
      <c r="M60" s="63"/>
      <c r="N60" s="63"/>
      <c r="O60" s="514" t="s">
        <v>972</v>
      </c>
      <c r="P60" s="514"/>
      <c r="Q60" s="2">
        <v>127.34</v>
      </c>
      <c r="R60" s="175"/>
      <c r="S60" s="178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</row>
    <row r="61" spans="1:61" s="11" customFormat="1" ht="14.4" x14ac:dyDescent="0.3">
      <c r="A61" s="206"/>
      <c r="B61" s="223"/>
      <c r="C61" s="223"/>
      <c r="D61" s="224"/>
      <c r="E61" s="223"/>
      <c r="F61" s="46"/>
      <c r="G61" s="46"/>
      <c r="H61" s="46"/>
      <c r="L61" s="14"/>
      <c r="M61" s="14"/>
      <c r="N61" s="14"/>
      <c r="O61" s="514" t="s">
        <v>979</v>
      </c>
      <c r="P61" s="514"/>
      <c r="Q61" s="2">
        <v>127.18</v>
      </c>
      <c r="R61" s="175"/>
      <c r="S61" s="185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</row>
    <row r="62" spans="1:61" s="11" customFormat="1" ht="14.4" x14ac:dyDescent="0.3">
      <c r="A62" s="206"/>
      <c r="B62" s="223"/>
      <c r="C62" s="223"/>
      <c r="D62" s="224"/>
      <c r="E62" s="223"/>
      <c r="F62" s="46"/>
      <c r="G62" s="46"/>
      <c r="H62" s="46"/>
      <c r="L62" s="14"/>
      <c r="M62" s="14"/>
      <c r="N62" s="14"/>
      <c r="O62" s="514" t="s">
        <v>204</v>
      </c>
      <c r="P62" s="514"/>
      <c r="Q62" s="2">
        <v>21.2</v>
      </c>
      <c r="R62" s="175"/>
      <c r="S62" s="185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</row>
    <row r="63" spans="1:61" s="11" customFormat="1" ht="14.4" x14ac:dyDescent="0.3">
      <c r="A63" s="206"/>
      <c r="B63" s="223"/>
      <c r="C63" s="223"/>
      <c r="D63" s="224"/>
      <c r="E63" s="223"/>
      <c r="F63" s="46"/>
      <c r="G63" s="46"/>
      <c r="H63" s="46"/>
      <c r="L63" s="63"/>
      <c r="M63" s="63"/>
      <c r="N63" s="63"/>
      <c r="O63" s="514" t="s">
        <v>205</v>
      </c>
      <c r="P63" s="514"/>
      <c r="Q63" s="2">
        <v>19.809999999999999</v>
      </c>
      <c r="R63" s="175"/>
      <c r="S63" s="178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</row>
    <row r="64" spans="1:61" s="11" customFormat="1" ht="14.4" x14ac:dyDescent="0.3">
      <c r="A64" s="206"/>
      <c r="B64" s="223"/>
      <c r="C64" s="223"/>
      <c r="D64" s="224"/>
      <c r="E64" s="223"/>
      <c r="F64" s="46"/>
      <c r="G64" s="46"/>
      <c r="H64" s="46"/>
      <c r="L64" s="14"/>
      <c r="M64" s="14"/>
      <c r="N64" s="14"/>
      <c r="O64" s="514" t="s">
        <v>484</v>
      </c>
      <c r="P64" s="514"/>
      <c r="Q64" s="2">
        <v>21.48</v>
      </c>
      <c r="R64" s="175"/>
      <c r="S64" s="178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</row>
    <row r="65" spans="1:49" s="11" customFormat="1" ht="15" customHeight="1" x14ac:dyDescent="0.3">
      <c r="A65" s="206"/>
      <c r="B65" s="223"/>
      <c r="C65" s="223"/>
      <c r="D65" s="224"/>
      <c r="E65" s="223"/>
      <c r="F65" s="46"/>
      <c r="G65" s="46"/>
      <c r="H65" s="46"/>
      <c r="L65" s="63"/>
      <c r="M65" s="63"/>
      <c r="N65" s="63"/>
      <c r="O65" s="514" t="s">
        <v>973</v>
      </c>
      <c r="P65" s="514"/>
      <c r="Q65" s="2">
        <v>126.09</v>
      </c>
      <c r="S65" s="14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</row>
    <row r="66" spans="1:49" s="11" customFormat="1" ht="14.4" x14ac:dyDescent="0.3">
      <c r="A66" s="206"/>
      <c r="B66" s="223"/>
      <c r="C66" s="223"/>
      <c r="D66" s="224"/>
      <c r="E66" s="223"/>
      <c r="F66" s="46"/>
      <c r="G66" s="46"/>
      <c r="H66" s="46"/>
      <c r="L66" s="14"/>
      <c r="M66" s="14"/>
      <c r="N66" s="14"/>
      <c r="O66" s="514" t="s">
        <v>974</v>
      </c>
      <c r="P66" s="514"/>
      <c r="Q66" s="2">
        <v>126.19</v>
      </c>
      <c r="R66" s="190"/>
      <c r="S66" s="178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</row>
    <row r="67" spans="1:49" s="11" customFormat="1" ht="14.4" x14ac:dyDescent="0.3">
      <c r="A67" s="206"/>
      <c r="B67" s="223"/>
      <c r="C67" s="223"/>
      <c r="D67" s="224"/>
      <c r="E67" s="223"/>
      <c r="F67" s="46"/>
      <c r="G67" s="46"/>
      <c r="H67" s="46"/>
      <c r="L67" s="63"/>
      <c r="M67" s="63"/>
      <c r="N67" s="63"/>
      <c r="O67" s="514" t="s">
        <v>975</v>
      </c>
      <c r="P67" s="514"/>
      <c r="Q67" s="2">
        <v>126.44</v>
      </c>
      <c r="R67" s="175"/>
      <c r="S67" s="178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</row>
    <row r="68" spans="1:49" s="11" customFormat="1" ht="14.4" x14ac:dyDescent="0.3">
      <c r="A68" s="206"/>
      <c r="B68" s="223"/>
      <c r="C68" s="223"/>
      <c r="D68" s="224"/>
      <c r="E68" s="223"/>
      <c r="F68" s="46"/>
      <c r="G68" s="46"/>
      <c r="H68" s="46"/>
      <c r="O68" s="514" t="s">
        <v>126</v>
      </c>
      <c r="P68" s="514"/>
      <c r="Q68" s="137">
        <v>100.76</v>
      </c>
      <c r="R68" s="175"/>
      <c r="S68" s="178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</row>
    <row r="69" spans="1:49" s="11" customFormat="1" ht="14.4" x14ac:dyDescent="0.3">
      <c r="A69" s="206"/>
      <c r="B69" s="223"/>
      <c r="C69" s="223"/>
      <c r="D69" s="224"/>
      <c r="E69" s="223"/>
      <c r="F69" s="46"/>
      <c r="G69" s="46"/>
      <c r="H69" s="46"/>
      <c r="L69" s="63"/>
      <c r="M69" s="63"/>
      <c r="N69" s="63"/>
      <c r="O69" s="583" t="s">
        <v>127</v>
      </c>
      <c r="P69" s="583"/>
      <c r="Q69" s="137">
        <v>1541.7</v>
      </c>
      <c r="R69" s="175"/>
      <c r="S69" s="178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</row>
    <row r="70" spans="1:49" s="11" customFormat="1" ht="14.4" x14ac:dyDescent="0.3">
      <c r="A70" s="206"/>
      <c r="B70" s="223"/>
      <c r="C70" s="223"/>
      <c r="D70" s="224"/>
      <c r="E70" s="223"/>
      <c r="F70" s="46"/>
      <c r="G70" s="46"/>
      <c r="H70" s="46"/>
      <c r="L70" s="14"/>
      <c r="M70" s="14"/>
      <c r="N70" s="14"/>
      <c r="O70" s="514" t="s">
        <v>673</v>
      </c>
      <c r="P70" s="514"/>
      <c r="Q70" s="137">
        <v>400</v>
      </c>
      <c r="R70" s="175"/>
      <c r="S70" s="185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</row>
    <row r="71" spans="1:49" s="11" customFormat="1" ht="14.4" x14ac:dyDescent="0.3">
      <c r="A71" s="206"/>
      <c r="B71" s="223"/>
      <c r="C71" s="223"/>
      <c r="D71" s="224"/>
      <c r="E71" s="223"/>
      <c r="F71" s="46"/>
      <c r="G71" s="46"/>
      <c r="H71" s="46"/>
      <c r="O71" s="514" t="s">
        <v>980</v>
      </c>
      <c r="P71" s="514"/>
      <c r="Q71" s="5">
        <v>180</v>
      </c>
      <c r="R71" s="175"/>
      <c r="S71" s="176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</row>
    <row r="72" spans="1:49" s="11" customFormat="1" ht="14.4" x14ac:dyDescent="0.3">
      <c r="A72" s="206"/>
      <c r="B72" s="223"/>
      <c r="C72" s="223"/>
      <c r="D72" s="224"/>
      <c r="E72" s="223"/>
      <c r="F72" s="46"/>
      <c r="G72" s="46"/>
      <c r="H72" s="46"/>
      <c r="O72" s="514"/>
      <c r="P72" s="514"/>
      <c r="Q72" s="5"/>
      <c r="R72" s="175"/>
      <c r="S72" s="176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</row>
    <row r="73" spans="1:49" s="11" customFormat="1" ht="14.4" x14ac:dyDescent="0.3">
      <c r="A73" s="206"/>
      <c r="B73" s="223"/>
      <c r="C73" s="223"/>
      <c r="D73" s="224"/>
      <c r="E73" s="223"/>
      <c r="F73" s="46"/>
      <c r="G73" s="46"/>
      <c r="H73" s="46"/>
      <c r="O73" s="581"/>
      <c r="P73" s="582"/>
      <c r="Q73" s="5"/>
      <c r="R73" s="175"/>
      <c r="S73" s="178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</row>
    <row r="74" spans="1:49" s="11" customFormat="1" ht="14.4" x14ac:dyDescent="0.3">
      <c r="A74" s="206"/>
      <c r="B74" s="223"/>
      <c r="C74" s="223"/>
      <c r="D74" s="224"/>
      <c r="E74" s="223"/>
      <c r="F74" s="46"/>
      <c r="G74" s="46"/>
      <c r="H74" s="46"/>
      <c r="L74" s="14"/>
      <c r="M74" s="14"/>
      <c r="N74" s="14"/>
      <c r="O74" s="581"/>
      <c r="P74" s="582"/>
      <c r="Q74" s="196"/>
      <c r="R74" s="175"/>
      <c r="S74" s="178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</row>
    <row r="75" spans="1:49" s="11" customFormat="1" ht="14.4" x14ac:dyDescent="0.3">
      <c r="A75" s="206"/>
      <c r="B75" s="223"/>
      <c r="C75" s="223"/>
      <c r="D75" s="224"/>
      <c r="E75" s="223"/>
      <c r="F75" s="46"/>
      <c r="G75" s="46"/>
      <c r="H75" s="46"/>
      <c r="L75" s="15"/>
      <c r="M75" s="15"/>
      <c r="N75" s="15"/>
      <c r="O75" s="228"/>
      <c r="P75" s="229"/>
      <c r="Q75" s="196"/>
      <c r="R75" s="175"/>
      <c r="S75" s="178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</row>
    <row r="76" spans="1:49" s="11" customFormat="1" ht="14.4" x14ac:dyDescent="0.3">
      <c r="A76" s="206"/>
      <c r="B76" s="223"/>
      <c r="C76" s="223"/>
      <c r="D76" s="224"/>
      <c r="E76" s="223"/>
      <c r="F76" s="46"/>
      <c r="G76" s="46"/>
      <c r="H76" s="46"/>
      <c r="L76" s="14"/>
      <c r="M76" s="14"/>
      <c r="N76" s="14"/>
      <c r="O76" s="228"/>
      <c r="P76" s="229"/>
      <c r="Q76" s="196"/>
      <c r="R76" s="175"/>
      <c r="S76" s="178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</row>
    <row r="77" spans="1:49" s="11" customFormat="1" ht="14.4" x14ac:dyDescent="0.3">
      <c r="A77" s="206"/>
      <c r="B77" s="223"/>
      <c r="C77" s="223"/>
      <c r="D77" s="224"/>
      <c r="E77" s="223"/>
      <c r="F77" s="46"/>
      <c r="G77" s="46"/>
      <c r="H77" s="46"/>
      <c r="L77" s="14"/>
      <c r="M77" s="14"/>
      <c r="N77" s="14"/>
      <c r="O77" s="581"/>
      <c r="P77" s="582"/>
      <c r="Q77" s="212"/>
      <c r="R77" s="175"/>
      <c r="S77" s="178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</row>
    <row r="78" spans="1:49" s="11" customFormat="1" ht="14.4" x14ac:dyDescent="0.3">
      <c r="A78" s="206"/>
      <c r="B78" s="223"/>
      <c r="C78" s="223"/>
      <c r="D78" s="224"/>
      <c r="E78" s="223"/>
      <c r="F78" s="46"/>
      <c r="G78" s="46"/>
      <c r="H78" s="46"/>
      <c r="L78" s="14"/>
      <c r="M78" s="14"/>
      <c r="N78" s="14"/>
      <c r="O78" s="518" t="s">
        <v>26</v>
      </c>
      <c r="P78" s="518"/>
      <c r="Q78" s="109">
        <f>SUM(Q51:Q77)</f>
        <v>4640.2948172843744</v>
      </c>
      <c r="R78" s="175"/>
      <c r="S78" s="178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</row>
    <row r="79" spans="1:49" s="11" customFormat="1" x14ac:dyDescent="0.3">
      <c r="A79" s="206"/>
      <c r="B79" s="223"/>
      <c r="C79" s="223"/>
      <c r="D79" s="224"/>
      <c r="E79" s="223"/>
      <c r="F79" s="46"/>
      <c r="G79" s="46"/>
      <c r="H79" s="46"/>
      <c r="L79" s="14"/>
      <c r="M79" s="14"/>
      <c r="N79" s="14"/>
      <c r="O79" s="543"/>
      <c r="P79" s="543"/>
      <c r="Q79" s="135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</row>
    <row r="80" spans="1:49" s="69" customFormat="1" x14ac:dyDescent="0.3">
      <c r="A80" s="206"/>
      <c r="B80" s="223"/>
      <c r="C80" s="223"/>
      <c r="D80" s="224"/>
      <c r="E80" s="223"/>
      <c r="F80" s="46"/>
      <c r="G80" s="46"/>
      <c r="H80" s="46"/>
      <c r="I80" s="11"/>
      <c r="J80" s="11"/>
      <c r="K80" s="11"/>
      <c r="L80" s="14"/>
      <c r="M80" s="14"/>
      <c r="N80" s="14"/>
      <c r="O80" s="564" t="s">
        <v>11</v>
      </c>
      <c r="P80" s="565"/>
      <c r="Q80" s="153">
        <f>L6+L37+L41</f>
        <v>15824.277713147256</v>
      </c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s="69" customFormat="1" x14ac:dyDescent="0.3">
      <c r="A81" s="206"/>
      <c r="B81" s="223"/>
      <c r="C81" s="223"/>
      <c r="D81" s="224"/>
      <c r="E81" s="223"/>
      <c r="F81" s="46"/>
      <c r="G81" s="46"/>
      <c r="H81" s="46"/>
      <c r="I81" s="11"/>
      <c r="J81" s="11"/>
      <c r="K81" s="11"/>
      <c r="L81" s="14"/>
      <c r="M81" s="14"/>
      <c r="N81" s="14"/>
      <c r="O81" s="518"/>
      <c r="P81" s="518"/>
      <c r="Q81" s="519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s="69" customFormat="1" x14ac:dyDescent="0.3">
      <c r="A82" s="206"/>
      <c r="B82" s="223"/>
      <c r="C82" s="223"/>
      <c r="D82" s="224"/>
      <c r="E82" s="223"/>
      <c r="F82" s="46"/>
      <c r="G82" s="46"/>
      <c r="H82" s="46"/>
      <c r="I82" s="11"/>
      <c r="J82" s="11"/>
      <c r="K82" s="11"/>
      <c r="L82" s="14"/>
      <c r="M82" s="14"/>
      <c r="N82" s="14"/>
      <c r="O82" s="513" t="s">
        <v>13</v>
      </c>
      <c r="P82" s="513"/>
      <c r="Q82" s="151">
        <f>Q80-Q78</f>
        <v>11183.982895862882</v>
      </c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s="69" customFormat="1" x14ac:dyDescent="0.3">
      <c r="A83" s="206"/>
      <c r="B83" s="223"/>
      <c r="C83" s="223"/>
      <c r="D83" s="224"/>
      <c r="E83" s="223"/>
      <c r="F83" s="46"/>
      <c r="G83" s="46"/>
      <c r="H83" s="46"/>
      <c r="I83" s="11"/>
      <c r="J83" s="11"/>
      <c r="K83" s="11"/>
      <c r="L83" s="14"/>
      <c r="M83" s="14"/>
      <c r="N83" s="14"/>
      <c r="O83" s="124"/>
      <c r="P83" s="124"/>
      <c r="Q83" s="57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s="69" customFormat="1" x14ac:dyDescent="0.3">
      <c r="A84" s="206"/>
      <c r="B84" s="223"/>
      <c r="C84" s="223"/>
      <c r="D84" s="224"/>
      <c r="E84" s="223"/>
      <c r="F84" s="46"/>
      <c r="G84" s="46"/>
      <c r="H84" s="46"/>
      <c r="I84" s="11"/>
      <c r="J84" s="11"/>
      <c r="K84" s="11"/>
      <c r="L84" s="14"/>
      <c r="M84" s="14"/>
      <c r="N84" s="14"/>
      <c r="O84" s="124"/>
      <c r="P84" s="124"/>
      <c r="Q84" s="57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s="69" customFormat="1" x14ac:dyDescent="0.3">
      <c r="A85" s="206"/>
      <c r="B85" s="223"/>
      <c r="C85" s="223"/>
      <c r="D85" s="224"/>
      <c r="E85" s="223"/>
      <c r="F85" s="46"/>
      <c r="G85" s="46"/>
      <c r="H85" s="46"/>
      <c r="I85" s="11"/>
      <c r="J85" s="11"/>
      <c r="K85" s="11"/>
      <c r="L85" s="14"/>
      <c r="M85" s="14"/>
      <c r="N85" s="14"/>
      <c r="O85" s="124"/>
      <c r="P85" s="124"/>
      <c r="Q85" s="57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s="69" customFormat="1" x14ac:dyDescent="0.3">
      <c r="A86" s="206"/>
      <c r="B86" s="223"/>
      <c r="C86" s="223"/>
      <c r="D86" s="224"/>
      <c r="E86" s="223"/>
      <c r="F86" s="46"/>
      <c r="G86" s="46"/>
      <c r="H86" s="46"/>
      <c r="I86" s="11"/>
      <c r="J86" s="11"/>
      <c r="K86" s="11"/>
      <c r="L86" s="14"/>
      <c r="M86" s="14"/>
      <c r="N86" s="14"/>
      <c r="O86" s="124"/>
      <c r="P86" s="124"/>
      <c r="Q86" s="57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s="69" customFormat="1" x14ac:dyDescent="0.3">
      <c r="A87" s="206"/>
      <c r="B87" s="223"/>
      <c r="C87" s="223"/>
      <c r="D87" s="224"/>
      <c r="E87" s="223"/>
      <c r="F87" s="46"/>
      <c r="G87" s="46"/>
      <c r="H87" s="46"/>
      <c r="I87" s="11"/>
      <c r="J87" s="11"/>
      <c r="K87" s="11"/>
      <c r="L87" s="14"/>
      <c r="M87" s="14"/>
      <c r="N87" s="14"/>
      <c r="O87" s="15"/>
      <c r="P87" s="14"/>
      <c r="Q87" s="57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s="69" customFormat="1" x14ac:dyDescent="0.3">
      <c r="A88" s="206"/>
      <c r="B88" s="223"/>
      <c r="C88" s="223"/>
      <c r="D88" s="224"/>
      <c r="E88" s="223"/>
      <c r="F88" s="46"/>
      <c r="G88" s="46"/>
      <c r="H88" s="46"/>
      <c r="I88" s="11"/>
      <c r="J88" s="11"/>
      <c r="K88" s="11"/>
      <c r="L88" s="14"/>
      <c r="M88" s="14"/>
      <c r="N88" s="14"/>
      <c r="O88" s="11"/>
      <c r="P88" s="15"/>
      <c r="Q88" s="57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69" customFormat="1" x14ac:dyDescent="0.3">
      <c r="A89" s="206"/>
      <c r="B89" s="223"/>
      <c r="C89" s="223"/>
      <c r="D89" s="224"/>
      <c r="E89" s="223"/>
      <c r="F89" s="46"/>
      <c r="G89" s="46"/>
      <c r="H89" s="46"/>
      <c r="I89" s="11"/>
      <c r="J89" s="11"/>
      <c r="K89" s="11"/>
      <c r="L89" s="14"/>
      <c r="M89" s="14"/>
      <c r="N89" s="14"/>
      <c r="O89" s="11"/>
      <c r="P89" s="11"/>
      <c r="Q89" s="57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s="69" customFormat="1" x14ac:dyDescent="0.3">
      <c r="A90" s="206"/>
      <c r="B90" s="223"/>
      <c r="C90" s="223"/>
      <c r="D90" s="224"/>
      <c r="E90" s="223"/>
      <c r="F90" s="46"/>
      <c r="G90" s="46"/>
      <c r="H90" s="46"/>
      <c r="I90" s="11"/>
      <c r="J90" s="11"/>
      <c r="K90" s="11"/>
      <c r="L90" s="14"/>
      <c r="M90" s="14"/>
      <c r="N90" s="14"/>
      <c r="O90" s="14"/>
      <c r="P90" s="14"/>
      <c r="Q90" s="57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s="69" customFormat="1" x14ac:dyDescent="0.3">
      <c r="A91" s="206"/>
      <c r="B91" s="223"/>
      <c r="C91" s="223"/>
      <c r="D91" s="224"/>
      <c r="E91" s="223"/>
      <c r="F91" s="46"/>
      <c r="G91" s="46"/>
      <c r="H91" s="46"/>
      <c r="L91" s="142"/>
      <c r="M91" s="142"/>
      <c r="N91" s="142"/>
      <c r="O91" s="14"/>
      <c r="P91" s="15"/>
      <c r="Q91" s="57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</row>
    <row r="92" spans="1:49" s="70" customFormat="1" x14ac:dyDescent="0.3">
      <c r="A92" s="206"/>
      <c r="B92" s="223"/>
      <c r="C92" s="223"/>
      <c r="D92" s="224"/>
      <c r="E92" s="223"/>
      <c r="F92" s="46"/>
      <c r="G92" s="46"/>
      <c r="H92" s="46"/>
      <c r="I92" s="63"/>
      <c r="J92" s="63"/>
      <c r="K92" s="63"/>
      <c r="L92" s="69"/>
      <c r="M92" s="69"/>
      <c r="N92" s="69"/>
      <c r="O92" s="14"/>
      <c r="P92" s="11"/>
      <c r="Q92" s="57"/>
    </row>
    <row r="93" spans="1:49" s="70" customFormat="1" ht="15" customHeight="1" x14ac:dyDescent="0.3">
      <c r="A93" s="206"/>
      <c r="B93" s="223"/>
      <c r="C93" s="223"/>
      <c r="D93" s="224"/>
      <c r="E93" s="223"/>
      <c r="F93" s="46"/>
      <c r="G93" s="46"/>
      <c r="H93" s="46"/>
      <c r="I93" s="11"/>
      <c r="J93" s="11"/>
      <c r="K93" s="63"/>
      <c r="L93" s="142"/>
      <c r="M93" s="142"/>
      <c r="N93" s="142"/>
      <c r="O93" s="14"/>
      <c r="P93" s="11"/>
      <c r="Q93" s="57"/>
      <c r="AW93" s="69"/>
    </row>
    <row r="94" spans="1:49" s="70" customFormat="1" x14ac:dyDescent="0.3">
      <c r="A94" s="206"/>
      <c r="B94" s="223"/>
      <c r="C94" s="223"/>
      <c r="D94" s="224"/>
      <c r="E94" s="223"/>
      <c r="F94" s="46"/>
      <c r="G94" s="46"/>
      <c r="H94" s="46"/>
      <c r="I94" s="142"/>
      <c r="J94" s="142"/>
      <c r="K94" s="142"/>
      <c r="L94" s="142"/>
      <c r="M94" s="142"/>
      <c r="N94" s="142"/>
      <c r="O94" s="11"/>
      <c r="P94" s="11"/>
      <c r="Q94" s="57"/>
      <c r="AW94" s="69"/>
    </row>
    <row r="95" spans="1:49" s="70" customFormat="1" x14ac:dyDescent="0.3">
      <c r="A95" s="206"/>
      <c r="B95" s="223"/>
      <c r="C95" s="223"/>
      <c r="D95" s="224"/>
      <c r="E95" s="223"/>
      <c r="F95" s="46"/>
      <c r="G95" s="46"/>
      <c r="H95" s="46"/>
      <c r="I95" s="11"/>
      <c r="J95" s="11"/>
      <c r="K95" s="63"/>
      <c r="L95" s="142"/>
      <c r="M95" s="142"/>
      <c r="N95" s="142"/>
      <c r="O95" s="11"/>
      <c r="P95" s="14"/>
      <c r="Q95" s="57"/>
      <c r="AW95" s="69"/>
    </row>
    <row r="96" spans="1:49" s="70" customFormat="1" x14ac:dyDescent="0.3">
      <c r="A96" s="206"/>
      <c r="B96" s="223"/>
      <c r="C96" s="223"/>
      <c r="D96" s="224"/>
      <c r="E96" s="223"/>
      <c r="F96" s="46"/>
      <c r="G96" s="46"/>
      <c r="H96" s="46"/>
      <c r="I96" s="142"/>
      <c r="J96" s="142"/>
      <c r="K96" s="142"/>
      <c r="L96" s="142"/>
      <c r="M96" s="142"/>
      <c r="N96" s="142"/>
      <c r="O96" s="11"/>
      <c r="P96" s="14"/>
      <c r="Q96" s="57"/>
      <c r="AW96" s="69"/>
    </row>
    <row r="97" spans="1:49" s="70" customFormat="1" x14ac:dyDescent="0.3">
      <c r="A97" s="206"/>
      <c r="B97" s="223"/>
      <c r="C97" s="223"/>
      <c r="D97" s="224"/>
      <c r="E97" s="223"/>
      <c r="F97" s="46"/>
      <c r="G97" s="46"/>
      <c r="H97" s="46"/>
      <c r="I97" s="11"/>
      <c r="J97" s="11"/>
      <c r="K97" s="63"/>
      <c r="L97" s="142"/>
      <c r="M97" s="142"/>
      <c r="N97" s="142"/>
      <c r="O97" s="11"/>
      <c r="P97" s="14"/>
      <c r="Q97" s="57"/>
      <c r="AW97" s="69"/>
    </row>
    <row r="98" spans="1:49" s="70" customFormat="1" x14ac:dyDescent="0.3">
      <c r="A98" s="206"/>
      <c r="B98" s="223"/>
      <c r="C98" s="223"/>
      <c r="D98" s="224"/>
      <c r="E98" s="223"/>
      <c r="F98" s="46"/>
      <c r="G98" s="46"/>
      <c r="H98" s="46"/>
      <c r="I98" s="142"/>
      <c r="J98" s="142"/>
      <c r="K98" s="142"/>
      <c r="L98" s="142"/>
      <c r="M98" s="142"/>
      <c r="N98" s="142"/>
      <c r="O98" s="11"/>
      <c r="P98" s="14"/>
      <c r="Q98" s="57"/>
      <c r="AW98" s="69"/>
    </row>
    <row r="99" spans="1:49" s="70" customFormat="1" x14ac:dyDescent="0.3">
      <c r="A99" s="206"/>
      <c r="B99" s="223"/>
      <c r="C99" s="223"/>
      <c r="D99" s="224"/>
      <c r="E99" s="223"/>
      <c r="F99" s="46"/>
      <c r="G99" s="46"/>
      <c r="H99" s="46"/>
      <c r="I99" s="11"/>
      <c r="J99" s="11"/>
      <c r="K99" s="63"/>
      <c r="L99" s="142"/>
      <c r="M99" s="142"/>
      <c r="N99" s="142"/>
      <c r="O99" s="11"/>
      <c r="P99" s="11"/>
      <c r="Q99" s="57"/>
      <c r="AW99" s="69"/>
    </row>
    <row r="100" spans="1:49" s="70" customFormat="1" x14ac:dyDescent="0.3">
      <c r="A100" s="206"/>
      <c r="B100" s="223"/>
      <c r="C100" s="223"/>
      <c r="D100" s="224"/>
      <c r="E100" s="223"/>
      <c r="F100" s="46"/>
      <c r="G100" s="46"/>
      <c r="H100" s="46"/>
      <c r="I100" s="142"/>
      <c r="J100" s="142"/>
      <c r="K100" s="142"/>
      <c r="L100" s="142"/>
      <c r="M100" s="142"/>
      <c r="N100" s="142"/>
      <c r="O100" s="11"/>
      <c r="P100" s="11"/>
      <c r="Q100" s="57"/>
      <c r="AW100" s="69"/>
    </row>
    <row r="101" spans="1:49" s="70" customFormat="1" x14ac:dyDescent="0.3">
      <c r="A101" s="206"/>
      <c r="B101" s="223"/>
      <c r="C101" s="223"/>
      <c r="D101" s="224"/>
      <c r="E101" s="223"/>
      <c r="F101" s="46"/>
      <c r="G101" s="46"/>
      <c r="H101" s="46"/>
      <c r="I101" s="11"/>
      <c r="J101" s="11"/>
      <c r="K101" s="63"/>
      <c r="L101" s="142"/>
      <c r="M101" s="142"/>
      <c r="N101" s="142"/>
      <c r="O101" s="69"/>
      <c r="P101" s="69"/>
      <c r="Q101" s="69"/>
      <c r="AW101" s="69"/>
    </row>
    <row r="102" spans="1:49" s="70" customFormat="1" x14ac:dyDescent="0.3">
      <c r="A102" s="148"/>
      <c r="B102" s="225"/>
      <c r="C102" s="225"/>
      <c r="D102" s="225"/>
      <c r="E102" s="225"/>
      <c r="F102" s="46"/>
      <c r="G102" s="46"/>
      <c r="H102" s="46"/>
      <c r="I102" s="142"/>
      <c r="J102" s="142"/>
      <c r="K102" s="142"/>
      <c r="L102" s="142"/>
      <c r="M102" s="142"/>
      <c r="N102" s="142"/>
      <c r="O102" s="69"/>
      <c r="P102" s="69"/>
      <c r="Q102" s="69"/>
      <c r="AW102" s="69"/>
    </row>
    <row r="103" spans="1:49" s="70" customFormat="1" x14ac:dyDescent="0.3">
      <c r="A103" s="69"/>
      <c r="B103" s="69"/>
      <c r="C103" s="69"/>
      <c r="D103" s="69"/>
      <c r="E103" s="69"/>
      <c r="F103" s="69"/>
      <c r="G103" s="69"/>
      <c r="H103" s="69"/>
      <c r="I103" s="142"/>
      <c r="J103" s="142"/>
      <c r="K103" s="142"/>
      <c r="L103" s="142"/>
      <c r="M103" s="142"/>
      <c r="N103" s="142"/>
      <c r="O103" s="69"/>
      <c r="P103" s="69"/>
      <c r="Q103" s="69"/>
      <c r="AW103" s="69"/>
    </row>
    <row r="104" spans="1:49" s="70" customFormat="1" x14ac:dyDescent="0.3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142"/>
      <c r="M104" s="142"/>
      <c r="N104" s="142"/>
      <c r="O104" s="69"/>
      <c r="P104" s="69"/>
      <c r="Q104" s="69"/>
      <c r="AW104" s="69"/>
    </row>
    <row r="105" spans="1:49" s="70" customFormat="1" x14ac:dyDescent="0.3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142"/>
      <c r="M105" s="142"/>
      <c r="N105" s="142"/>
      <c r="O105" s="69"/>
      <c r="P105" s="69"/>
      <c r="Q105" s="69"/>
      <c r="AW105" s="69"/>
    </row>
    <row r="106" spans="1:49" s="70" customFormat="1" x14ac:dyDescent="0.3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142"/>
      <c r="M106" s="142"/>
      <c r="N106" s="142"/>
      <c r="O106" s="69"/>
      <c r="P106" s="69"/>
      <c r="Q106" s="69"/>
      <c r="AW106" s="69"/>
    </row>
    <row r="107" spans="1:49" s="70" customFormat="1" x14ac:dyDescent="0.3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142"/>
      <c r="M107" s="142"/>
      <c r="N107" s="142"/>
      <c r="O107" s="69"/>
      <c r="P107" s="69"/>
      <c r="Q107" s="69"/>
      <c r="AW107" s="69"/>
    </row>
    <row r="108" spans="1:49" s="70" customFormat="1" x14ac:dyDescent="0.3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142"/>
      <c r="M108" s="142"/>
      <c r="N108" s="142"/>
      <c r="O108" s="144"/>
      <c r="P108" s="69"/>
      <c r="Q108" s="69"/>
      <c r="AW108" s="69"/>
    </row>
    <row r="109" spans="1:49" s="70" customFormat="1" x14ac:dyDescent="0.3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142"/>
      <c r="M109" s="142"/>
      <c r="N109" s="142"/>
      <c r="O109" s="144"/>
      <c r="P109" s="69"/>
      <c r="Q109" s="69"/>
      <c r="AW109" s="69"/>
    </row>
    <row r="110" spans="1:49" s="70" customFormat="1" x14ac:dyDescent="0.3">
      <c r="F110" s="69"/>
      <c r="G110" s="69"/>
      <c r="H110" s="69"/>
      <c r="I110" s="69"/>
      <c r="J110" s="69"/>
      <c r="K110" s="69"/>
      <c r="L110" s="142"/>
      <c r="M110" s="142"/>
      <c r="N110" s="142"/>
      <c r="O110" s="144"/>
      <c r="P110" s="69"/>
      <c r="AW110" s="69"/>
    </row>
    <row r="111" spans="1:49" s="70" customFormat="1" x14ac:dyDescent="0.3">
      <c r="I111" s="69"/>
      <c r="J111" s="69"/>
      <c r="K111" s="69"/>
      <c r="L111" s="142"/>
      <c r="M111" s="142"/>
      <c r="N111" s="142"/>
      <c r="O111" s="144"/>
      <c r="P111" s="69"/>
      <c r="AW111" s="69"/>
    </row>
    <row r="112" spans="1:49" s="70" customFormat="1" x14ac:dyDescent="0.3">
      <c r="L112" s="142"/>
      <c r="M112" s="142"/>
      <c r="N112" s="142"/>
      <c r="O112" s="144"/>
      <c r="P112" s="69"/>
      <c r="AW112" s="69"/>
    </row>
    <row r="113" spans="12:49" s="70" customFormat="1" x14ac:dyDescent="0.3">
      <c r="L113" s="142"/>
      <c r="M113" s="142"/>
      <c r="N113" s="142"/>
      <c r="O113" s="144"/>
      <c r="P113" s="144"/>
      <c r="AW113" s="69"/>
    </row>
    <row r="114" spans="12:49" s="70" customFormat="1" x14ac:dyDescent="0.3">
      <c r="L114" s="142"/>
      <c r="M114" s="142"/>
      <c r="N114" s="142"/>
      <c r="O114" s="144"/>
      <c r="P114" s="144"/>
      <c r="AW114" s="69"/>
    </row>
    <row r="115" spans="12:49" s="70" customFormat="1" x14ac:dyDescent="0.3">
      <c r="L115" s="142"/>
      <c r="M115" s="142"/>
      <c r="N115" s="142"/>
      <c r="O115" s="144"/>
      <c r="P115" s="144"/>
      <c r="AW115" s="69"/>
    </row>
    <row r="116" spans="12:49" s="70" customFormat="1" x14ac:dyDescent="0.3">
      <c r="L116" s="142"/>
      <c r="M116" s="142"/>
      <c r="N116" s="142"/>
      <c r="O116" s="144"/>
      <c r="P116" s="144"/>
      <c r="AW116" s="69"/>
    </row>
    <row r="117" spans="12:49" s="70" customFormat="1" x14ac:dyDescent="0.3">
      <c r="L117" s="142"/>
      <c r="M117" s="142"/>
      <c r="N117" s="142"/>
      <c r="O117" s="144"/>
      <c r="P117" s="144"/>
      <c r="AW117" s="69"/>
    </row>
    <row r="118" spans="12:49" s="70" customFormat="1" x14ac:dyDescent="0.3">
      <c r="L118" s="142"/>
      <c r="M118" s="142"/>
      <c r="N118" s="142"/>
      <c r="O118" s="144"/>
      <c r="P118" s="144"/>
      <c r="AW118" s="69"/>
    </row>
    <row r="119" spans="12:49" s="70" customFormat="1" x14ac:dyDescent="0.3">
      <c r="L119" s="142"/>
      <c r="M119" s="142"/>
      <c r="N119" s="142"/>
      <c r="O119" s="144"/>
      <c r="P119" s="144"/>
      <c r="AW119" s="69"/>
    </row>
    <row r="120" spans="12:49" s="70" customFormat="1" x14ac:dyDescent="0.3">
      <c r="L120" s="142"/>
      <c r="M120" s="142"/>
      <c r="N120" s="142"/>
      <c r="O120" s="144"/>
      <c r="P120" s="144"/>
      <c r="AW120" s="69"/>
    </row>
    <row r="121" spans="12:49" s="70" customFormat="1" x14ac:dyDescent="0.3">
      <c r="L121" s="142"/>
      <c r="M121" s="142"/>
      <c r="N121" s="142"/>
      <c r="O121" s="144"/>
      <c r="P121" s="144"/>
      <c r="AW121" s="69"/>
    </row>
    <row r="122" spans="12:49" s="70" customFormat="1" x14ac:dyDescent="0.3">
      <c r="L122" s="142"/>
      <c r="M122" s="142"/>
      <c r="N122" s="142"/>
      <c r="O122" s="144"/>
      <c r="P122" s="144"/>
      <c r="AW122" s="69"/>
    </row>
    <row r="123" spans="12:49" s="70" customFormat="1" x14ac:dyDescent="0.3">
      <c r="L123" s="142"/>
      <c r="M123" s="142"/>
      <c r="N123" s="142"/>
      <c r="O123" s="144"/>
      <c r="P123" s="144"/>
      <c r="AW123" s="69"/>
    </row>
    <row r="124" spans="12:49" s="70" customFormat="1" x14ac:dyDescent="0.3">
      <c r="L124" s="142"/>
      <c r="M124" s="142"/>
      <c r="N124" s="142"/>
      <c r="O124" s="144"/>
      <c r="P124" s="144"/>
      <c r="AW124" s="69"/>
    </row>
    <row r="125" spans="12:49" s="70" customFormat="1" x14ac:dyDescent="0.3">
      <c r="L125" s="142"/>
      <c r="M125" s="142"/>
      <c r="N125" s="142"/>
      <c r="O125" s="144"/>
      <c r="P125" s="144"/>
      <c r="AW125" s="69"/>
    </row>
    <row r="126" spans="12:49" s="70" customFormat="1" x14ac:dyDescent="0.3">
      <c r="L126" s="142"/>
      <c r="M126" s="142"/>
      <c r="N126" s="142"/>
      <c r="O126" s="144"/>
      <c r="P126" s="144"/>
      <c r="AW126" s="69"/>
    </row>
    <row r="127" spans="12:49" s="70" customFormat="1" x14ac:dyDescent="0.3">
      <c r="L127" s="142"/>
      <c r="M127" s="142"/>
      <c r="N127" s="142"/>
      <c r="O127" s="144"/>
      <c r="P127" s="144"/>
      <c r="AW127" s="69"/>
    </row>
    <row r="128" spans="12:49" s="70" customFormat="1" x14ac:dyDescent="0.3">
      <c r="L128" s="142"/>
      <c r="M128" s="142"/>
      <c r="N128" s="142"/>
      <c r="O128" s="144"/>
      <c r="P128" s="144"/>
      <c r="AW128" s="69"/>
    </row>
    <row r="129" spans="12:49" s="70" customFormat="1" x14ac:dyDescent="0.3">
      <c r="L129" s="142"/>
      <c r="M129" s="142"/>
      <c r="N129" s="142"/>
      <c r="O129" s="144"/>
      <c r="P129" s="144"/>
      <c r="AW129" s="69"/>
    </row>
    <row r="130" spans="12:49" s="70" customFormat="1" x14ac:dyDescent="0.3">
      <c r="L130" s="142"/>
      <c r="M130" s="142"/>
      <c r="N130" s="142"/>
      <c r="O130" s="144"/>
      <c r="P130" s="144"/>
      <c r="AW130" s="69"/>
    </row>
    <row r="131" spans="12:49" s="70" customFormat="1" x14ac:dyDescent="0.3">
      <c r="L131" s="142"/>
      <c r="M131" s="142"/>
      <c r="N131" s="142"/>
      <c r="O131" s="144"/>
      <c r="P131" s="144"/>
      <c r="AW131" s="69"/>
    </row>
    <row r="132" spans="12:49" s="70" customFormat="1" x14ac:dyDescent="0.3">
      <c r="L132" s="142"/>
      <c r="M132" s="142"/>
      <c r="N132" s="142"/>
      <c r="O132" s="144"/>
      <c r="P132" s="144"/>
      <c r="AW132" s="69"/>
    </row>
    <row r="133" spans="12:49" s="70" customFormat="1" x14ac:dyDescent="0.3">
      <c r="L133" s="142"/>
      <c r="M133" s="142"/>
      <c r="N133" s="142"/>
      <c r="O133" s="144"/>
      <c r="P133" s="144"/>
      <c r="AW133" s="69"/>
    </row>
    <row r="134" spans="12:49" s="70" customFormat="1" x14ac:dyDescent="0.3">
      <c r="L134" s="142"/>
      <c r="M134" s="142"/>
      <c r="N134" s="142"/>
      <c r="O134" s="144"/>
      <c r="P134" s="144"/>
      <c r="AW134" s="69"/>
    </row>
    <row r="135" spans="12:49" s="70" customFormat="1" x14ac:dyDescent="0.3">
      <c r="L135" s="142"/>
      <c r="M135" s="142"/>
      <c r="N135" s="142"/>
      <c r="O135" s="144"/>
      <c r="P135" s="144"/>
      <c r="AW135" s="69"/>
    </row>
    <row r="136" spans="12:49" s="70" customFormat="1" x14ac:dyDescent="0.3">
      <c r="L136" s="142"/>
      <c r="M136" s="142"/>
      <c r="N136" s="142"/>
      <c r="O136" s="144"/>
      <c r="P136" s="144"/>
      <c r="AW136" s="69"/>
    </row>
    <row r="137" spans="12:49" s="70" customFormat="1" x14ac:dyDescent="0.3">
      <c r="L137" s="142"/>
      <c r="M137" s="142"/>
      <c r="N137" s="142"/>
      <c r="O137" s="144"/>
      <c r="P137" s="144"/>
      <c r="AW137" s="69"/>
    </row>
    <row r="138" spans="12:49" s="70" customFormat="1" x14ac:dyDescent="0.3">
      <c r="L138" s="142"/>
      <c r="M138" s="142"/>
      <c r="N138" s="142"/>
      <c r="O138" s="144"/>
      <c r="P138" s="144"/>
      <c r="AW138" s="69"/>
    </row>
    <row r="139" spans="12:49" s="70" customFormat="1" x14ac:dyDescent="0.3">
      <c r="L139" s="142"/>
      <c r="M139" s="142"/>
      <c r="N139" s="142"/>
      <c r="O139" s="144"/>
      <c r="P139" s="144"/>
      <c r="AW139" s="69"/>
    </row>
    <row r="140" spans="12:49" s="70" customFormat="1" x14ac:dyDescent="0.3">
      <c r="L140" s="142"/>
      <c r="M140" s="142"/>
      <c r="N140" s="142"/>
      <c r="O140" s="144"/>
      <c r="P140" s="144"/>
      <c r="AW140" s="69"/>
    </row>
    <row r="141" spans="12:49" s="70" customFormat="1" x14ac:dyDescent="0.3">
      <c r="L141" s="142"/>
      <c r="M141" s="142"/>
      <c r="N141" s="142"/>
      <c r="O141" s="144"/>
      <c r="P141" s="144"/>
      <c r="AW141" s="69"/>
    </row>
    <row r="142" spans="12:49" s="70" customFormat="1" x14ac:dyDescent="0.3">
      <c r="L142" s="142"/>
      <c r="M142" s="142"/>
      <c r="N142" s="142"/>
      <c r="O142" s="144"/>
      <c r="P142" s="144"/>
      <c r="AW142" s="69"/>
    </row>
    <row r="143" spans="12:49" s="70" customFormat="1" x14ac:dyDescent="0.3">
      <c r="L143" s="142"/>
      <c r="M143" s="142"/>
      <c r="N143" s="142"/>
      <c r="O143" s="144"/>
      <c r="P143" s="144"/>
      <c r="AW143" s="69"/>
    </row>
    <row r="144" spans="12:49" s="70" customFormat="1" x14ac:dyDescent="0.3">
      <c r="L144" s="142"/>
      <c r="M144" s="142"/>
      <c r="N144" s="142"/>
      <c r="O144" s="144"/>
      <c r="P144" s="144"/>
      <c r="AW144" s="69"/>
    </row>
    <row r="145" spans="12:49" s="70" customFormat="1" x14ac:dyDescent="0.3">
      <c r="L145" s="142"/>
      <c r="M145" s="142"/>
      <c r="N145" s="142"/>
      <c r="O145" s="144"/>
      <c r="P145" s="144"/>
      <c r="AW145" s="69"/>
    </row>
    <row r="146" spans="12:49" s="70" customFormat="1" x14ac:dyDescent="0.3">
      <c r="L146" s="142"/>
      <c r="M146" s="142"/>
      <c r="N146" s="142"/>
      <c r="O146" s="144"/>
      <c r="P146" s="144"/>
      <c r="AW146" s="69"/>
    </row>
    <row r="147" spans="12:49" s="70" customFormat="1" x14ac:dyDescent="0.3">
      <c r="L147" s="142"/>
      <c r="M147" s="142"/>
      <c r="N147" s="142"/>
      <c r="O147" s="144"/>
      <c r="P147" s="144"/>
      <c r="AW147" s="69"/>
    </row>
    <row r="148" spans="12:49" s="70" customFormat="1" x14ac:dyDescent="0.3">
      <c r="L148" s="142"/>
      <c r="M148" s="142"/>
      <c r="N148" s="142"/>
      <c r="O148" s="144"/>
      <c r="P148" s="144"/>
      <c r="AW148" s="69"/>
    </row>
    <row r="149" spans="12:49" s="70" customFormat="1" x14ac:dyDescent="0.3">
      <c r="L149" s="142"/>
      <c r="M149" s="142"/>
      <c r="N149" s="142"/>
      <c r="O149" s="144"/>
      <c r="P149" s="144"/>
      <c r="AW149" s="69"/>
    </row>
    <row r="150" spans="12:49" s="70" customFormat="1" x14ac:dyDescent="0.3">
      <c r="L150" s="142"/>
      <c r="M150" s="142"/>
      <c r="N150" s="142"/>
      <c r="O150" s="144"/>
      <c r="P150" s="144"/>
      <c r="AW150" s="69"/>
    </row>
    <row r="151" spans="12:49" s="70" customFormat="1" x14ac:dyDescent="0.3">
      <c r="L151" s="142"/>
      <c r="M151" s="142"/>
      <c r="N151" s="142"/>
      <c r="O151" s="144"/>
      <c r="P151" s="144"/>
      <c r="AW151" s="69"/>
    </row>
    <row r="152" spans="12:49" s="70" customFormat="1" x14ac:dyDescent="0.3">
      <c r="L152" s="142"/>
      <c r="M152" s="142"/>
      <c r="N152" s="142"/>
      <c r="O152" s="144"/>
      <c r="P152" s="144"/>
      <c r="AW152" s="69"/>
    </row>
    <row r="153" spans="12:49" s="70" customFormat="1" x14ac:dyDescent="0.3">
      <c r="L153" s="142"/>
      <c r="M153" s="142"/>
      <c r="N153" s="142"/>
      <c r="O153" s="144"/>
      <c r="P153" s="144"/>
      <c r="AW153" s="69"/>
    </row>
    <row r="154" spans="12:49" s="70" customFormat="1" x14ac:dyDescent="0.3">
      <c r="L154" s="142"/>
      <c r="M154" s="142"/>
      <c r="N154" s="142"/>
      <c r="O154" s="144"/>
      <c r="P154" s="144"/>
      <c r="AW154" s="69"/>
    </row>
    <row r="155" spans="12:49" s="70" customFormat="1" x14ac:dyDescent="0.3">
      <c r="L155" s="142"/>
      <c r="M155" s="142"/>
      <c r="N155" s="142"/>
      <c r="O155" s="144"/>
      <c r="P155" s="144"/>
      <c r="AW155" s="69"/>
    </row>
    <row r="156" spans="12:49" s="70" customFormat="1" x14ac:dyDescent="0.3">
      <c r="L156" s="142"/>
      <c r="M156" s="142"/>
      <c r="N156" s="142"/>
      <c r="O156" s="144"/>
      <c r="P156" s="144"/>
      <c r="AW156" s="69"/>
    </row>
    <row r="157" spans="12:49" s="70" customFormat="1" x14ac:dyDescent="0.3">
      <c r="L157" s="142"/>
      <c r="M157" s="142"/>
      <c r="N157" s="142"/>
      <c r="O157" s="144"/>
      <c r="P157" s="144"/>
      <c r="AW157" s="69"/>
    </row>
    <row r="158" spans="12:49" s="70" customFormat="1" x14ac:dyDescent="0.3">
      <c r="L158" s="142"/>
      <c r="M158" s="142"/>
      <c r="N158" s="142"/>
      <c r="O158" s="144"/>
      <c r="P158" s="144"/>
      <c r="AW158" s="69"/>
    </row>
    <row r="159" spans="12:49" s="70" customFormat="1" x14ac:dyDescent="0.3">
      <c r="L159" s="142"/>
      <c r="M159" s="142"/>
      <c r="N159" s="142"/>
      <c r="O159" s="144"/>
      <c r="P159" s="144"/>
      <c r="AW159" s="69"/>
    </row>
    <row r="160" spans="12:49" s="70" customFormat="1" x14ac:dyDescent="0.3">
      <c r="L160" s="142"/>
      <c r="M160" s="142"/>
      <c r="N160" s="142"/>
      <c r="O160" s="144"/>
      <c r="P160" s="144"/>
      <c r="AW160" s="69"/>
    </row>
    <row r="161" spans="1:50" s="70" customFormat="1" x14ac:dyDescent="0.3">
      <c r="L161" s="142"/>
      <c r="M161" s="142"/>
      <c r="N161" s="142"/>
      <c r="O161" s="144"/>
      <c r="P161" s="144"/>
      <c r="AW161" s="69"/>
    </row>
    <row r="162" spans="1:50" s="70" customFormat="1" x14ac:dyDescent="0.3">
      <c r="L162" s="142"/>
      <c r="M162" s="142"/>
      <c r="N162" s="142"/>
      <c r="O162" s="144"/>
      <c r="P162" s="144"/>
      <c r="AW162" s="69"/>
    </row>
    <row r="163" spans="1:50" s="70" customFormat="1" x14ac:dyDescent="0.3">
      <c r="L163" s="142"/>
      <c r="M163" s="142"/>
      <c r="N163" s="142"/>
      <c r="O163" s="144"/>
      <c r="P163" s="144"/>
      <c r="AW163" s="69"/>
    </row>
    <row r="164" spans="1:50" s="70" customFormat="1" x14ac:dyDescent="0.3">
      <c r="L164" s="142"/>
      <c r="M164" s="142"/>
      <c r="N164" s="142"/>
      <c r="O164" s="144"/>
      <c r="P164" s="144"/>
      <c r="AW164" s="69"/>
    </row>
    <row r="165" spans="1:50" s="70" customFormat="1" x14ac:dyDescent="0.3">
      <c r="L165" s="142"/>
      <c r="M165" s="142"/>
      <c r="N165" s="142"/>
      <c r="O165" s="144"/>
      <c r="P165" s="144"/>
      <c r="AW165" s="69"/>
    </row>
    <row r="166" spans="1:50" s="70" customFormat="1" x14ac:dyDescent="0.3">
      <c r="L166" s="142"/>
      <c r="M166" s="142"/>
      <c r="N166" s="142"/>
      <c r="O166" s="144"/>
      <c r="P166" s="144"/>
      <c r="AW166" s="69"/>
    </row>
    <row r="167" spans="1:50" s="145" customFormat="1" x14ac:dyDescent="0.3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142"/>
      <c r="M167" s="142"/>
      <c r="N167" s="142"/>
      <c r="O167" s="144"/>
      <c r="P167" s="144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69"/>
      <c r="AX167" s="70"/>
    </row>
    <row r="168" spans="1:50" s="145" customFormat="1" x14ac:dyDescent="0.3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142"/>
      <c r="M168" s="142"/>
      <c r="N168" s="142"/>
      <c r="O168" s="144"/>
      <c r="P168" s="144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69"/>
      <c r="AX168" s="70"/>
    </row>
    <row r="169" spans="1:50" s="145" customFormat="1" x14ac:dyDescent="0.3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142"/>
      <c r="M169" s="142"/>
      <c r="N169" s="142"/>
      <c r="O169" s="144"/>
      <c r="P169" s="144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69"/>
      <c r="AX169" s="70"/>
    </row>
    <row r="170" spans="1:50" s="145" customFormat="1" x14ac:dyDescent="0.3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142"/>
      <c r="M170" s="142"/>
      <c r="N170" s="142"/>
      <c r="O170" s="144"/>
      <c r="P170" s="144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69"/>
      <c r="AX170" s="70"/>
    </row>
    <row r="171" spans="1:50" s="145" customFormat="1" x14ac:dyDescent="0.3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142"/>
      <c r="M171" s="142"/>
      <c r="N171" s="142"/>
      <c r="O171" s="144"/>
      <c r="P171" s="144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69"/>
      <c r="AX171" s="70"/>
    </row>
    <row r="172" spans="1:50" s="145" customFormat="1" x14ac:dyDescent="0.3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142"/>
      <c r="M172" s="142"/>
      <c r="N172" s="142"/>
      <c r="O172" s="144"/>
      <c r="P172" s="144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69"/>
      <c r="AX172" s="70"/>
    </row>
    <row r="173" spans="1:50" s="145" customFormat="1" x14ac:dyDescent="0.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142"/>
      <c r="M173" s="142"/>
      <c r="N173" s="142"/>
      <c r="O173" s="144"/>
      <c r="P173" s="144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69"/>
      <c r="AX173" s="70"/>
    </row>
    <row r="174" spans="1:50" s="145" customFormat="1" x14ac:dyDescent="0.3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142"/>
      <c r="M174" s="142"/>
      <c r="N174" s="142"/>
      <c r="O174" s="144"/>
      <c r="P174" s="144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69"/>
      <c r="AX174" s="70"/>
    </row>
    <row r="175" spans="1:50" s="145" customFormat="1" x14ac:dyDescent="0.3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142"/>
      <c r="M175" s="142"/>
      <c r="N175" s="142"/>
      <c r="O175" s="144"/>
      <c r="P175" s="144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69"/>
      <c r="AX175" s="70"/>
    </row>
    <row r="176" spans="1:50" s="145" customFormat="1" x14ac:dyDescent="0.3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142"/>
      <c r="M176" s="142"/>
      <c r="N176" s="142"/>
      <c r="O176" s="144"/>
      <c r="P176" s="144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69"/>
      <c r="AX176" s="70"/>
    </row>
    <row r="177" spans="1:50" s="145" customFormat="1" x14ac:dyDescent="0.3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142"/>
      <c r="M177" s="142"/>
      <c r="N177" s="142"/>
      <c r="O177" s="144"/>
      <c r="P177" s="144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69"/>
      <c r="AX177" s="70"/>
    </row>
    <row r="178" spans="1:50" s="145" customFormat="1" x14ac:dyDescent="0.3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142"/>
      <c r="M178" s="142"/>
      <c r="N178" s="142"/>
      <c r="O178" s="144"/>
      <c r="P178" s="144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69"/>
      <c r="AX178" s="70"/>
    </row>
    <row r="179" spans="1:50" s="145" customFormat="1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146"/>
      <c r="M179" s="146"/>
      <c r="N179" s="146"/>
      <c r="O179" s="144"/>
      <c r="P179" s="144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69"/>
      <c r="AX179" s="70"/>
    </row>
    <row r="180" spans="1:50" s="145" customFormat="1" x14ac:dyDescent="0.3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146"/>
      <c r="M180" s="146"/>
      <c r="N180" s="146"/>
      <c r="O180" s="144"/>
      <c r="P180" s="144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69"/>
      <c r="AX180" s="70"/>
    </row>
    <row r="181" spans="1:50" s="145" customFormat="1" x14ac:dyDescent="0.3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146"/>
      <c r="M181" s="146"/>
      <c r="N181" s="146"/>
      <c r="O181" s="144"/>
      <c r="P181" s="144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69"/>
      <c r="AX181" s="70"/>
    </row>
    <row r="182" spans="1:50" s="145" customFormat="1" x14ac:dyDescent="0.3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146"/>
      <c r="M182" s="146"/>
      <c r="N182" s="146"/>
      <c r="O182" s="144"/>
      <c r="P182" s="144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69"/>
      <c r="AX182" s="70"/>
    </row>
    <row r="183" spans="1:50" s="145" customFormat="1" x14ac:dyDescent="0.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146"/>
      <c r="M183" s="146"/>
      <c r="N183" s="146"/>
      <c r="O183" s="144"/>
      <c r="P183" s="144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69"/>
      <c r="AX183" s="70"/>
    </row>
    <row r="184" spans="1:50" x14ac:dyDescent="0.3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146"/>
      <c r="M184" s="146"/>
      <c r="N184" s="146"/>
      <c r="O184" s="144"/>
      <c r="P184" s="144"/>
      <c r="Q184" s="70"/>
      <c r="AW184" s="148"/>
      <c r="AX184" s="148"/>
    </row>
    <row r="185" spans="1:50" x14ac:dyDescent="0.3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146"/>
      <c r="M185" s="146"/>
      <c r="N185" s="146"/>
      <c r="O185" s="147"/>
      <c r="P185" s="144"/>
      <c r="Q185" s="70"/>
      <c r="AW185" s="148"/>
      <c r="AX185" s="148"/>
    </row>
    <row r="186" spans="1:50" x14ac:dyDescent="0.3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146"/>
      <c r="M186" s="146"/>
      <c r="N186" s="146"/>
      <c r="O186" s="147"/>
      <c r="P186" s="144"/>
      <c r="Q186" s="70"/>
      <c r="AW186" s="148"/>
      <c r="AX186" s="148"/>
    </row>
    <row r="187" spans="1:50" x14ac:dyDescent="0.3">
      <c r="A187" s="149"/>
      <c r="B187" s="149"/>
      <c r="C187" s="149"/>
      <c r="D187" s="149"/>
      <c r="E187" s="149"/>
      <c r="F187" s="70"/>
      <c r="G187" s="70"/>
      <c r="H187" s="70"/>
      <c r="I187" s="70"/>
      <c r="J187" s="70"/>
      <c r="K187" s="70"/>
      <c r="L187" s="146"/>
      <c r="M187" s="146"/>
      <c r="N187" s="146"/>
      <c r="O187" s="147"/>
      <c r="P187" s="144"/>
      <c r="Q187" s="70"/>
      <c r="AW187" s="148"/>
      <c r="AX187" s="148"/>
    </row>
    <row r="188" spans="1:50" x14ac:dyDescent="0.3">
      <c r="A188" s="149"/>
      <c r="B188" s="149"/>
      <c r="C188" s="149"/>
      <c r="D188" s="149"/>
      <c r="E188" s="149"/>
      <c r="F188" s="149"/>
      <c r="G188" s="149"/>
      <c r="H188" s="149"/>
      <c r="I188" s="70"/>
      <c r="J188" s="70"/>
      <c r="K188" s="70"/>
      <c r="L188" s="146"/>
      <c r="M188" s="146"/>
      <c r="N188" s="146"/>
      <c r="O188" s="147"/>
      <c r="P188" s="144"/>
      <c r="Q188" s="149"/>
      <c r="AW188" s="148"/>
      <c r="AX188" s="148"/>
    </row>
    <row r="189" spans="1:50" x14ac:dyDescent="0.3">
      <c r="A189" s="149"/>
      <c r="B189" s="149"/>
      <c r="C189" s="149"/>
      <c r="D189" s="149"/>
      <c r="E189" s="149"/>
      <c r="F189" s="149"/>
      <c r="G189" s="149"/>
      <c r="H189" s="149"/>
      <c r="I189" s="149"/>
      <c r="J189" s="149"/>
      <c r="K189" s="149"/>
      <c r="L189" s="146"/>
      <c r="M189" s="146"/>
      <c r="N189" s="146"/>
      <c r="O189" s="147"/>
      <c r="P189" s="144"/>
      <c r="Q189" s="149"/>
      <c r="AW189" s="148"/>
      <c r="AX189" s="148"/>
    </row>
    <row r="190" spans="1:50" x14ac:dyDescent="0.3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6"/>
      <c r="M190" s="146"/>
      <c r="N190" s="146"/>
      <c r="O190" s="147"/>
      <c r="P190" s="147"/>
      <c r="Q190" s="149"/>
      <c r="AW190" s="148"/>
      <c r="AX190" s="148"/>
    </row>
    <row r="191" spans="1:50" x14ac:dyDescent="0.3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6"/>
      <c r="M191" s="146"/>
      <c r="N191" s="146"/>
      <c r="O191" s="147"/>
      <c r="P191" s="147"/>
      <c r="Q191" s="149"/>
      <c r="AW191" s="148"/>
      <c r="AX191" s="148"/>
    </row>
    <row r="192" spans="1:50" x14ac:dyDescent="0.3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6"/>
      <c r="M192" s="146"/>
      <c r="N192" s="146"/>
      <c r="O192" s="147"/>
      <c r="P192" s="147"/>
      <c r="Q192" s="149"/>
      <c r="AW192" s="148"/>
      <c r="AX192" s="148"/>
    </row>
    <row r="193" spans="1:50" x14ac:dyDescent="0.3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6"/>
      <c r="M193" s="146"/>
      <c r="N193" s="146"/>
      <c r="O193" s="147"/>
      <c r="P193" s="147"/>
      <c r="Q193" s="149"/>
      <c r="AW193" s="148"/>
      <c r="AX193" s="148"/>
    </row>
    <row r="194" spans="1:50" x14ac:dyDescent="0.3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6"/>
      <c r="M194" s="146"/>
      <c r="N194" s="146"/>
      <c r="O194" s="147"/>
      <c r="P194" s="147"/>
      <c r="Q194" s="149"/>
      <c r="AW194" s="148"/>
      <c r="AX194" s="148"/>
    </row>
    <row r="195" spans="1:50" x14ac:dyDescent="0.3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6"/>
      <c r="M195" s="146"/>
      <c r="N195" s="146"/>
      <c r="O195" s="147"/>
      <c r="P195" s="147"/>
      <c r="Q195" s="149"/>
      <c r="AW195" s="148"/>
      <c r="AX195" s="148"/>
    </row>
    <row r="196" spans="1:50" x14ac:dyDescent="0.3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O196" s="147"/>
      <c r="P196" s="147"/>
      <c r="Q196" s="149"/>
    </row>
    <row r="197" spans="1:50" x14ac:dyDescent="0.3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O197" s="147"/>
      <c r="P197" s="147"/>
      <c r="Q197" s="14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69"/>
      <c r="AJ197" s="69"/>
      <c r="AK197" s="69"/>
      <c r="AL197" s="69"/>
      <c r="AM197" s="69"/>
      <c r="AN197" s="69"/>
      <c r="AO197" s="69"/>
      <c r="AP197" s="69"/>
      <c r="AQ197" s="69"/>
      <c r="AR197" s="69"/>
      <c r="AS197" s="69"/>
      <c r="AT197" s="69"/>
      <c r="AU197" s="69"/>
      <c r="AV197" s="69"/>
      <c r="AW197" s="148"/>
      <c r="AX197" s="148"/>
    </row>
    <row r="198" spans="1:50" x14ac:dyDescent="0.3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O198" s="147"/>
      <c r="P198" s="147"/>
      <c r="Q198" s="149"/>
    </row>
    <row r="199" spans="1:50" x14ac:dyDescent="0.3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O199" s="147"/>
      <c r="P199" s="147"/>
      <c r="Q199" s="149"/>
    </row>
    <row r="200" spans="1:50" x14ac:dyDescent="0.3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  <c r="O200" s="147"/>
      <c r="P200" s="147"/>
    </row>
    <row r="201" spans="1:50" x14ac:dyDescent="0.3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  <c r="O201" s="147"/>
      <c r="P201" s="147"/>
    </row>
    <row r="202" spans="1:50" x14ac:dyDescent="0.3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  <c r="P202" s="147"/>
    </row>
    <row r="203" spans="1:50" x14ac:dyDescent="0.3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  <c r="P203" s="147"/>
    </row>
    <row r="204" spans="1:50" x14ac:dyDescent="0.3">
      <c r="F204" s="149"/>
      <c r="G204" s="149"/>
      <c r="H204" s="149"/>
      <c r="I204" s="149"/>
      <c r="J204" s="149"/>
      <c r="K204" s="149"/>
      <c r="P204" s="147"/>
    </row>
    <row r="205" spans="1:50" x14ac:dyDescent="0.3">
      <c r="I205" s="149"/>
      <c r="J205" s="149"/>
      <c r="K205" s="149"/>
      <c r="P205" s="147"/>
    </row>
    <row r="206" spans="1:50" x14ac:dyDescent="0.3">
      <c r="O206" s="148"/>
      <c r="P206" s="147"/>
    </row>
    <row r="209" spans="12:14" x14ac:dyDescent="0.3">
      <c r="L209" s="148"/>
      <c r="M209" s="148"/>
      <c r="N209" s="148"/>
    </row>
    <row r="1048541" spans="1:61" s="70" customFormat="1" x14ac:dyDescent="0.3">
      <c r="A1048541" s="148"/>
      <c r="B1048541" s="148"/>
      <c r="C1048541" s="148"/>
      <c r="D1048541" s="148"/>
      <c r="E1048541" s="148"/>
      <c r="F1048541" s="148"/>
      <c r="G1048541" s="148"/>
      <c r="H1048541" s="148"/>
      <c r="I1048541" s="148"/>
      <c r="J1048541" s="148"/>
      <c r="K1048541" s="148"/>
      <c r="L1048541" s="150"/>
      <c r="M1048541" s="150"/>
      <c r="N1048541" s="150"/>
      <c r="O1048541" s="150"/>
      <c r="P1048541" s="150"/>
      <c r="Q1048541" s="148"/>
      <c r="AW1048541" s="69"/>
      <c r="AX1048541" s="69"/>
      <c r="AY1048541" s="148"/>
      <c r="AZ1048541" s="148"/>
      <c r="BA1048541" s="148"/>
      <c r="BB1048541" s="148"/>
      <c r="BC1048541" s="148"/>
      <c r="BD1048541" s="148"/>
      <c r="BE1048541" s="148"/>
      <c r="BF1048541" s="148"/>
      <c r="BG1048541" s="148"/>
      <c r="BH1048541" s="148"/>
      <c r="BI1048541" s="148"/>
    </row>
    <row r="1048544" spans="1:61" x14ac:dyDescent="0.3">
      <c r="Q1048544" s="57"/>
    </row>
  </sheetData>
  <mergeCells count="48">
    <mergeCell ref="A43:Q43"/>
    <mergeCell ref="A1:Q1"/>
    <mergeCell ref="A2:Q2"/>
    <mergeCell ref="A6:B6"/>
    <mergeCell ref="A7:Q7"/>
    <mergeCell ref="A37:B37"/>
    <mergeCell ref="A38:Q38"/>
    <mergeCell ref="E39:K39"/>
    <mergeCell ref="E40:K40"/>
    <mergeCell ref="A41:K41"/>
    <mergeCell ref="O41:Q41"/>
    <mergeCell ref="A42:O42"/>
    <mergeCell ref="O56:P56"/>
    <mergeCell ref="E44:K44"/>
    <mergeCell ref="E45:K45"/>
    <mergeCell ref="E46:K46"/>
    <mergeCell ref="E47:K47"/>
    <mergeCell ref="A48:K48"/>
    <mergeCell ref="A50:E50"/>
    <mergeCell ref="O50:Q50"/>
    <mergeCell ref="O51:P51"/>
    <mergeCell ref="O52:P52"/>
    <mergeCell ref="O53:Q54"/>
    <mergeCell ref="O55:Q55"/>
    <mergeCell ref="O72:P72"/>
    <mergeCell ref="O57:P57"/>
    <mergeCell ref="O58:P58"/>
    <mergeCell ref="O62:P62"/>
    <mergeCell ref="O63:P63"/>
    <mergeCell ref="O64:P64"/>
    <mergeCell ref="O59:P59"/>
    <mergeCell ref="O60:P60"/>
    <mergeCell ref="O65:P65"/>
    <mergeCell ref="O66:P66"/>
    <mergeCell ref="O67:P67"/>
    <mergeCell ref="O68:P68"/>
    <mergeCell ref="O69:P69"/>
    <mergeCell ref="O70:P70"/>
    <mergeCell ref="O71:P71"/>
    <mergeCell ref="O61:P61"/>
    <mergeCell ref="O81:Q81"/>
    <mergeCell ref="O82:P82"/>
    <mergeCell ref="O73:P73"/>
    <mergeCell ref="O74:P74"/>
    <mergeCell ref="O77:P77"/>
    <mergeCell ref="O78:P78"/>
    <mergeCell ref="O79:P79"/>
    <mergeCell ref="O80:P80"/>
  </mergeCells>
  <pageMargins left="0" right="0" top="0" bottom="0" header="0.31496062992125984" footer="0.31496062992125984"/>
  <pageSetup paperSize="9" scale="36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5C11E-CF45-43DE-AA0C-D0B483334313}">
  <sheetPr>
    <pageSetUpPr fitToPage="1"/>
  </sheetPr>
  <dimension ref="A1:BI1048540"/>
  <sheetViews>
    <sheetView topLeftCell="A24" zoomScale="70" zoomScaleNormal="70" workbookViewId="0">
      <selection activeCell="O57" sqref="O57:P57"/>
    </sheetView>
  </sheetViews>
  <sheetFormatPr defaultColWidth="9.109375" defaultRowHeight="13.8" x14ac:dyDescent="0.3"/>
  <cols>
    <col min="1" max="1" width="50.6640625" style="148" bestFit="1" customWidth="1"/>
    <col min="2" max="2" width="8.33203125" style="148" bestFit="1" customWidth="1"/>
    <col min="3" max="3" width="19" style="148" customWidth="1"/>
    <col min="4" max="4" width="19" style="148" bestFit="1" customWidth="1"/>
    <col min="5" max="5" width="17.109375" style="148" customWidth="1"/>
    <col min="6" max="6" width="19" style="148" bestFit="1" customWidth="1"/>
    <col min="7" max="7" width="16" style="148" customWidth="1"/>
    <col min="8" max="8" width="16.6640625" style="148" bestFit="1" customWidth="1"/>
    <col min="9" max="10" width="14.109375" style="148" bestFit="1" customWidth="1"/>
    <col min="11" max="11" width="15.109375" style="148" bestFit="1" customWidth="1"/>
    <col min="12" max="12" width="18.44140625" style="150" bestFit="1" customWidth="1"/>
    <col min="13" max="13" width="17.5546875" style="150" bestFit="1" customWidth="1"/>
    <col min="14" max="14" width="19" style="150" bestFit="1" customWidth="1"/>
    <col min="15" max="15" width="109.109375" style="150" bestFit="1" customWidth="1"/>
    <col min="16" max="16" width="12" style="150" customWidth="1"/>
    <col min="17" max="17" width="18.109375" style="148" bestFit="1" customWidth="1"/>
    <col min="18" max="19" width="13.109375" style="70" bestFit="1" customWidth="1"/>
    <col min="20" max="48" width="9.109375" style="70"/>
    <col min="49" max="50" width="9.109375" style="69"/>
    <col min="51" max="16384" width="9.109375" style="148"/>
  </cols>
  <sheetData>
    <row r="1" spans="1:48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</row>
    <row r="2" spans="1:48" s="10" customFormat="1" ht="28.5" customHeight="1" x14ac:dyDescent="0.3">
      <c r="A2" s="571" t="s">
        <v>982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3"/>
    </row>
    <row r="3" spans="1:48" s="10" customFormat="1" ht="30.75" customHeight="1" x14ac:dyDescent="0.3">
      <c r="A3" s="83" t="s">
        <v>3</v>
      </c>
      <c r="B3" s="83" t="s">
        <v>0</v>
      </c>
      <c r="C3" s="83" t="s">
        <v>821</v>
      </c>
      <c r="D3" s="84" t="s">
        <v>1</v>
      </c>
      <c r="E3" s="84" t="s">
        <v>68</v>
      </c>
      <c r="F3" s="84" t="s">
        <v>69</v>
      </c>
      <c r="G3" s="85" t="s">
        <v>2</v>
      </c>
      <c r="H3" s="85" t="s">
        <v>592</v>
      </c>
      <c r="I3" s="84" t="s">
        <v>6</v>
      </c>
      <c r="J3" s="84" t="s">
        <v>764</v>
      </c>
      <c r="K3" s="84" t="s">
        <v>7</v>
      </c>
      <c r="L3" s="84" t="s">
        <v>4</v>
      </c>
      <c r="M3" s="84" t="s">
        <v>5</v>
      </c>
      <c r="N3" s="84" t="s">
        <v>70</v>
      </c>
      <c r="O3" s="83" t="s">
        <v>59</v>
      </c>
      <c r="P3" s="86" t="s">
        <v>8</v>
      </c>
      <c r="Q3" s="86" t="s">
        <v>10</v>
      </c>
    </row>
    <row r="4" spans="1:48" s="69" customFormat="1" ht="15.75" customHeight="1" x14ac:dyDescent="0.3">
      <c r="A4" s="4" t="s">
        <v>965</v>
      </c>
      <c r="B4" s="4">
        <v>11</v>
      </c>
      <c r="C4" s="4" t="s">
        <v>827</v>
      </c>
      <c r="D4" s="2">
        <f>'GERAL 2024'!G39</f>
        <v>610</v>
      </c>
      <c r="E4" s="2">
        <v>0</v>
      </c>
      <c r="F4" s="5">
        <f t="shared" ref="F4" si="0">D4-E4</f>
        <v>610</v>
      </c>
      <c r="G4" s="2">
        <v>0</v>
      </c>
      <c r="H4" s="2">
        <f>(1541.7/27)</f>
        <v>57.1</v>
      </c>
      <c r="I4" s="2">
        <f>'GERAL 2024'!I24</f>
        <v>1.3105200945626476</v>
      </c>
      <c r="J4" s="2">
        <f>'GERAL 2024'!K24</f>
        <v>0.79837470449172576</v>
      </c>
      <c r="K4" s="2">
        <v>0</v>
      </c>
      <c r="L4" s="109">
        <f>SUM(F4:K4)</f>
        <v>669.20889479905441</v>
      </c>
      <c r="M4" s="2">
        <f>60%*(D4+G4)</f>
        <v>366</v>
      </c>
      <c r="N4" s="2">
        <f>L4-M4</f>
        <v>303.20889479905441</v>
      </c>
      <c r="O4" s="5" t="s">
        <v>986</v>
      </c>
      <c r="P4" s="3">
        <v>10</v>
      </c>
      <c r="Q4" s="4">
        <v>11</v>
      </c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</row>
    <row r="5" spans="1:48" s="15" customFormat="1" ht="15" customHeight="1" x14ac:dyDescent="0.3">
      <c r="A5" s="3" t="s">
        <v>977</v>
      </c>
      <c r="B5" s="3">
        <v>16</v>
      </c>
      <c r="C5" s="90" t="s">
        <v>827</v>
      </c>
      <c r="D5" s="5">
        <f>'GERAL 2024'!G40</f>
        <v>640</v>
      </c>
      <c r="E5" s="5">
        <v>0</v>
      </c>
      <c r="F5" s="5">
        <f>D5-E5</f>
        <v>640</v>
      </c>
      <c r="G5" s="2">
        <v>0</v>
      </c>
      <c r="H5" s="2">
        <f>(1541.7/27)</f>
        <v>57.1</v>
      </c>
      <c r="I5" s="2">
        <f>'GERAL 2024'!I40</f>
        <v>1.3105200945626476</v>
      </c>
      <c r="J5" s="2">
        <f>'GERAL 2024'!K40</f>
        <v>0.79837470449172576</v>
      </c>
      <c r="K5" s="2">
        <v>0</v>
      </c>
      <c r="L5" s="109">
        <f>SUM(F5:K5)</f>
        <v>699.20889479905441</v>
      </c>
      <c r="M5" s="2">
        <f>60%*(D5+G5)</f>
        <v>384</v>
      </c>
      <c r="N5" s="2">
        <f>L5-M5</f>
        <v>315.20889479905441</v>
      </c>
      <c r="O5" s="5" t="s">
        <v>986</v>
      </c>
      <c r="P5" s="3"/>
      <c r="Q5" s="4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</row>
    <row r="6" spans="1:48" s="10" customFormat="1" x14ac:dyDescent="0.3">
      <c r="A6" s="518" t="s">
        <v>4</v>
      </c>
      <c r="B6" s="518"/>
      <c r="C6" s="95"/>
      <c r="D6" s="109">
        <f>SUM(D4:D5)</f>
        <v>1250</v>
      </c>
      <c r="E6" s="109">
        <f t="shared" ref="E6:N6" si="1">SUM(E4:E5)</f>
        <v>0</v>
      </c>
      <c r="F6" s="109">
        <f t="shared" si="1"/>
        <v>1250</v>
      </c>
      <c r="G6" s="109">
        <f t="shared" si="1"/>
        <v>0</v>
      </c>
      <c r="H6" s="109">
        <f t="shared" si="1"/>
        <v>114.2</v>
      </c>
      <c r="I6" s="109">
        <f t="shared" si="1"/>
        <v>2.6210401891252952</v>
      </c>
      <c r="J6" s="109">
        <f t="shared" si="1"/>
        <v>1.5967494089834515</v>
      </c>
      <c r="K6" s="109">
        <f t="shared" si="1"/>
        <v>0</v>
      </c>
      <c r="L6" s="109">
        <f>SUM(L4:L5)</f>
        <v>1368.4177895981088</v>
      </c>
      <c r="M6" s="109">
        <f t="shared" si="1"/>
        <v>750</v>
      </c>
      <c r="N6" s="109">
        <f t="shared" si="1"/>
        <v>618.41778959810881</v>
      </c>
      <c r="O6" s="90"/>
      <c r="P6" s="3"/>
      <c r="Q6" s="3"/>
    </row>
    <row r="7" spans="1:48" s="10" customFormat="1" ht="28.5" customHeight="1" x14ac:dyDescent="0.3">
      <c r="A7" s="571" t="s">
        <v>983</v>
      </c>
      <c r="B7" s="572"/>
      <c r="C7" s="572"/>
      <c r="D7" s="572"/>
      <c r="E7" s="572"/>
      <c r="F7" s="572"/>
      <c r="G7" s="572"/>
      <c r="H7" s="572"/>
      <c r="I7" s="572"/>
      <c r="J7" s="572"/>
      <c r="K7" s="572"/>
      <c r="L7" s="572"/>
      <c r="M7" s="572"/>
      <c r="N7" s="572"/>
      <c r="O7" s="572"/>
      <c r="P7" s="572"/>
      <c r="Q7" s="573"/>
    </row>
    <row r="8" spans="1:48" s="11" customFormat="1" ht="34.5" customHeight="1" x14ac:dyDescent="0.3">
      <c r="A8" s="83" t="s">
        <v>3</v>
      </c>
      <c r="B8" s="83" t="s">
        <v>0</v>
      </c>
      <c r="C8" s="83" t="s">
        <v>821</v>
      </c>
      <c r="D8" s="84" t="s">
        <v>1</v>
      </c>
      <c r="E8" s="84" t="s">
        <v>68</v>
      </c>
      <c r="F8" s="84" t="s">
        <v>69</v>
      </c>
      <c r="G8" s="85" t="s">
        <v>2</v>
      </c>
      <c r="H8" s="85" t="s">
        <v>592</v>
      </c>
      <c r="I8" s="84" t="s">
        <v>6</v>
      </c>
      <c r="J8" s="84" t="s">
        <v>764</v>
      </c>
      <c r="K8" s="84" t="s">
        <v>7</v>
      </c>
      <c r="L8" s="84" t="s">
        <v>4</v>
      </c>
      <c r="M8" s="84" t="s">
        <v>5</v>
      </c>
      <c r="N8" s="84" t="s">
        <v>70</v>
      </c>
      <c r="O8" s="83" t="s">
        <v>59</v>
      </c>
      <c r="P8" s="86" t="s">
        <v>8</v>
      </c>
      <c r="Q8" s="86" t="s">
        <v>10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</row>
    <row r="9" spans="1:48" s="15" customFormat="1" x14ac:dyDescent="0.3">
      <c r="A9" s="88" t="s">
        <v>766</v>
      </c>
      <c r="B9" s="90">
        <v>1</v>
      </c>
      <c r="C9" s="90" t="s">
        <v>822</v>
      </c>
      <c r="D9" s="5">
        <v>0</v>
      </c>
      <c r="E9" s="2">
        <v>0</v>
      </c>
      <c r="F9" s="2">
        <f t="shared" ref="F9:F25" si="2">D9-E9</f>
        <v>0</v>
      </c>
      <c r="G9" s="5">
        <v>0</v>
      </c>
      <c r="H9" s="2">
        <f>(1541.7/27)</f>
        <v>57.1</v>
      </c>
      <c r="I9" s="2">
        <f>'GERAL 2024'!I3</f>
        <v>1.3105200945626476</v>
      </c>
      <c r="J9" s="2">
        <f>'GERAL 2024'!K3</f>
        <v>0.79837470449172576</v>
      </c>
      <c r="K9" s="2">
        <v>0</v>
      </c>
      <c r="L9" s="109">
        <f t="shared" ref="L9:L35" si="3">SUM(F9:K9)</f>
        <v>59.208894799054377</v>
      </c>
      <c r="M9" s="2">
        <f>7%*L9</f>
        <v>4.144622635933807</v>
      </c>
      <c r="N9" s="2">
        <f>L9-M9</f>
        <v>55.06427216312057</v>
      </c>
      <c r="O9" s="5" t="s">
        <v>987</v>
      </c>
      <c r="P9" s="3">
        <v>10</v>
      </c>
      <c r="Q9" s="3">
        <v>11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</row>
    <row r="10" spans="1:48" s="96" customFormat="1" x14ac:dyDescent="0.3">
      <c r="A10" s="90"/>
      <c r="B10" s="4">
        <v>2</v>
      </c>
      <c r="C10" s="4"/>
      <c r="D10" s="5">
        <v>0</v>
      </c>
      <c r="E10" s="5">
        <v>0</v>
      </c>
      <c r="F10" s="5">
        <f t="shared" si="2"/>
        <v>0</v>
      </c>
      <c r="G10" s="5">
        <v>0</v>
      </c>
      <c r="H10" s="2">
        <v>0</v>
      </c>
      <c r="I10" s="2">
        <v>0</v>
      </c>
      <c r="J10" s="2">
        <v>0</v>
      </c>
      <c r="K10" s="5">
        <v>0</v>
      </c>
      <c r="L10" s="109">
        <f t="shared" si="3"/>
        <v>0</v>
      </c>
      <c r="M10" s="2">
        <f>7%*L10</f>
        <v>0</v>
      </c>
      <c r="N10" s="2">
        <f t="shared" ref="N10:N34" si="4">L10-M10</f>
        <v>0</v>
      </c>
      <c r="O10" s="90" t="s">
        <v>525</v>
      </c>
      <c r="P10" s="3"/>
      <c r="Q10" s="3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6"/>
      <c r="AN10" s="17"/>
      <c r="AO10" s="17"/>
      <c r="AP10" s="17"/>
      <c r="AQ10" s="17"/>
    </row>
    <row r="11" spans="1:48" s="6" customFormat="1" x14ac:dyDescent="0.3">
      <c r="A11" s="90" t="s">
        <v>753</v>
      </c>
      <c r="B11" s="4">
        <v>3</v>
      </c>
      <c r="C11" s="4" t="s">
        <v>822</v>
      </c>
      <c r="D11" s="5">
        <f>'GERAL 2022'!G5/30*9</f>
        <v>165</v>
      </c>
      <c r="E11" s="5">
        <v>0</v>
      </c>
      <c r="F11" s="5">
        <f t="shared" si="2"/>
        <v>165</v>
      </c>
      <c r="G11" s="5">
        <v>0</v>
      </c>
      <c r="H11" s="2">
        <f>(1541.7/27)/30*9</f>
        <v>17.13</v>
      </c>
      <c r="I11" s="2">
        <f>'GERAL 2024'!I5/30*9</f>
        <v>0.39315602836879426</v>
      </c>
      <c r="J11" s="2">
        <f>'GERAL 2024'!K5/30*9</f>
        <v>0.23951241134751772</v>
      </c>
      <c r="K11" s="5">
        <v>0</v>
      </c>
      <c r="L11" s="109">
        <f t="shared" si="3"/>
        <v>182.76266843971629</v>
      </c>
      <c r="M11" s="2">
        <f t="shared" ref="M11:M35" si="5">7%*L11</f>
        <v>12.793386790780142</v>
      </c>
      <c r="N11" s="2">
        <f t="shared" si="4"/>
        <v>169.96928164893615</v>
      </c>
      <c r="O11" s="90" t="s">
        <v>990</v>
      </c>
      <c r="P11" s="3">
        <v>10</v>
      </c>
      <c r="Q11" s="3">
        <v>11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spans="1:48" s="15" customFormat="1" ht="15" customHeight="1" x14ac:dyDescent="0.3">
      <c r="A12" s="90" t="s">
        <v>842</v>
      </c>
      <c r="B12" s="90">
        <v>4</v>
      </c>
      <c r="C12" s="90" t="s">
        <v>832</v>
      </c>
      <c r="D12" s="5">
        <f>'GERAL 2023'!G40</f>
        <v>610</v>
      </c>
      <c r="E12" s="5">
        <v>0</v>
      </c>
      <c r="F12" s="5">
        <f t="shared" si="2"/>
        <v>610</v>
      </c>
      <c r="G12" s="2">
        <v>50</v>
      </c>
      <c r="H12" s="2">
        <f t="shared" ref="H12:H35" si="6">(1541.7/27)</f>
        <v>57.1</v>
      </c>
      <c r="I12" s="2">
        <f>'GERAL 2024'!I6</f>
        <v>1.3105200945626476</v>
      </c>
      <c r="J12" s="2">
        <f>'GERAL 2024'!K6</f>
        <v>0.79837470449172576</v>
      </c>
      <c r="K12" s="2">
        <v>0</v>
      </c>
      <c r="L12" s="109">
        <f t="shared" si="3"/>
        <v>719.20889479905441</v>
      </c>
      <c r="M12" s="2">
        <f>7%*L12</f>
        <v>50.34462263593381</v>
      </c>
      <c r="N12" s="2">
        <f t="shared" si="4"/>
        <v>668.86427216312063</v>
      </c>
      <c r="O12" s="90" t="s">
        <v>985</v>
      </c>
      <c r="P12" s="3">
        <v>10</v>
      </c>
      <c r="Q12" s="4">
        <v>11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</row>
    <row r="13" spans="1:48" s="15" customFormat="1" x14ac:dyDescent="0.3">
      <c r="A13" s="90" t="s">
        <v>744</v>
      </c>
      <c r="B13" s="90">
        <v>5</v>
      </c>
      <c r="C13" s="90" t="s">
        <v>823</v>
      </c>
      <c r="D13" s="5">
        <f>'GERAL 2023'!G7</f>
        <v>580</v>
      </c>
      <c r="E13" s="2">
        <v>0</v>
      </c>
      <c r="F13" s="2">
        <f t="shared" si="2"/>
        <v>580</v>
      </c>
      <c r="G13" s="2">
        <f>50</f>
        <v>50</v>
      </c>
      <c r="H13" s="2">
        <f t="shared" si="6"/>
        <v>57.1</v>
      </c>
      <c r="I13" s="2">
        <f>'GERAL 2024'!I7</f>
        <v>1.3105200945626476</v>
      </c>
      <c r="J13" s="2">
        <f>'GERAL 2024'!K7</f>
        <v>0.79837470449172576</v>
      </c>
      <c r="K13" s="2">
        <v>21.07</v>
      </c>
      <c r="L13" s="109">
        <f t="shared" si="3"/>
        <v>710.27889479905446</v>
      </c>
      <c r="M13" s="2">
        <f>7%*L13</f>
        <v>49.719522635933814</v>
      </c>
      <c r="N13" s="2">
        <f t="shared" si="4"/>
        <v>660.55937216312066</v>
      </c>
      <c r="O13" s="90" t="s">
        <v>988</v>
      </c>
      <c r="P13" s="3">
        <v>10</v>
      </c>
      <c r="Q13" s="3">
        <v>11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</row>
    <row r="14" spans="1:48" s="11" customFormat="1" x14ac:dyDescent="0.3">
      <c r="A14" s="90" t="s">
        <v>745</v>
      </c>
      <c r="B14" s="90">
        <v>6</v>
      </c>
      <c r="C14" s="90" t="s">
        <v>823</v>
      </c>
      <c r="D14" s="5">
        <f>'GERAL 2023'!G8</f>
        <v>680</v>
      </c>
      <c r="E14" s="5">
        <v>0</v>
      </c>
      <c r="F14" s="2">
        <f t="shared" si="2"/>
        <v>680</v>
      </c>
      <c r="G14" s="2">
        <v>50</v>
      </c>
      <c r="H14" s="2">
        <f t="shared" si="6"/>
        <v>57.1</v>
      </c>
      <c r="I14" s="2">
        <f>'GERAL 2024'!I8</f>
        <v>1.8347281323877069</v>
      </c>
      <c r="J14" s="2">
        <f>'GERAL 2024'!K8</f>
        <v>1.1177245862884162</v>
      </c>
      <c r="K14" s="2">
        <v>21.28</v>
      </c>
      <c r="L14" s="109">
        <f t="shared" si="3"/>
        <v>811.33245271867611</v>
      </c>
      <c r="M14" s="2">
        <f t="shared" si="5"/>
        <v>56.793271690307336</v>
      </c>
      <c r="N14" s="2">
        <f>L14-M14</f>
        <v>754.53918102836883</v>
      </c>
      <c r="O14" s="90" t="s">
        <v>988</v>
      </c>
      <c r="P14" s="3">
        <v>10</v>
      </c>
      <c r="Q14" s="3">
        <v>11</v>
      </c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</row>
    <row r="15" spans="1:48" s="15" customFormat="1" x14ac:dyDescent="0.3">
      <c r="A15" s="90" t="s">
        <v>791</v>
      </c>
      <c r="B15" s="90">
        <v>7</v>
      </c>
      <c r="C15" s="90" t="s">
        <v>822</v>
      </c>
      <c r="D15" s="5">
        <f>'GERAL 2023'!G35</f>
        <v>610</v>
      </c>
      <c r="E15" s="2">
        <v>0</v>
      </c>
      <c r="F15" s="5">
        <f t="shared" si="2"/>
        <v>610</v>
      </c>
      <c r="G15" s="2">
        <v>50</v>
      </c>
      <c r="H15" s="2">
        <f t="shared" si="6"/>
        <v>57.1</v>
      </c>
      <c r="I15" s="2">
        <f>'GERAL 2024'!I9</f>
        <v>1.3105200945626476</v>
      </c>
      <c r="J15" s="2">
        <f>'GERAL 2024'!K9</f>
        <v>0.79837470449172576</v>
      </c>
      <c r="K15" s="2">
        <v>0</v>
      </c>
      <c r="L15" s="109">
        <f t="shared" si="3"/>
        <v>719.20889479905441</v>
      </c>
      <c r="M15" s="2">
        <f t="shared" si="5"/>
        <v>50.34462263593381</v>
      </c>
      <c r="N15" s="2">
        <f t="shared" si="4"/>
        <v>668.86427216312063</v>
      </c>
      <c r="O15" s="90" t="s">
        <v>985</v>
      </c>
      <c r="P15" s="3">
        <v>10</v>
      </c>
      <c r="Q15" s="3">
        <v>11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</row>
    <row r="16" spans="1:48" s="15" customFormat="1" x14ac:dyDescent="0.3">
      <c r="A16" s="90"/>
      <c r="B16" s="90">
        <v>8</v>
      </c>
      <c r="C16" s="90"/>
      <c r="D16" s="5">
        <v>0</v>
      </c>
      <c r="E16" s="2">
        <v>0</v>
      </c>
      <c r="F16" s="5">
        <f t="shared" si="2"/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109">
        <f t="shared" si="3"/>
        <v>0</v>
      </c>
      <c r="M16" s="2">
        <f>7%*L16</f>
        <v>0</v>
      </c>
      <c r="N16" s="2">
        <f>L16-M16</f>
        <v>0</v>
      </c>
      <c r="O16" s="90" t="s">
        <v>525</v>
      </c>
      <c r="P16" s="125"/>
      <c r="Q16" s="3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</row>
    <row r="17" spans="1:48" s="15" customFormat="1" x14ac:dyDescent="0.3">
      <c r="A17" s="90" t="s">
        <v>852</v>
      </c>
      <c r="B17" s="90">
        <v>9</v>
      </c>
      <c r="C17" s="90" t="s">
        <v>828</v>
      </c>
      <c r="D17" s="5">
        <f>'GERAL 2024'!G11</f>
        <v>640</v>
      </c>
      <c r="E17" s="2">
        <v>0</v>
      </c>
      <c r="F17" s="5">
        <f t="shared" si="2"/>
        <v>640</v>
      </c>
      <c r="G17" s="2">
        <v>0</v>
      </c>
      <c r="H17" s="2">
        <f>(1541.7/27)</f>
        <v>57.1</v>
      </c>
      <c r="I17" s="2">
        <f>'GERAL 2024'!I11</f>
        <v>1.3105200945626476</v>
      </c>
      <c r="J17" s="2">
        <f>'GERAL 2024'!K11</f>
        <v>0.79837470449172576</v>
      </c>
      <c r="K17" s="2">
        <v>0</v>
      </c>
      <c r="L17" s="109">
        <f t="shared" si="3"/>
        <v>699.20889479905441</v>
      </c>
      <c r="M17" s="2">
        <f>7%*L17</f>
        <v>48.944622635933811</v>
      </c>
      <c r="N17" s="2">
        <f>L17-M17</f>
        <v>650.26427216312061</v>
      </c>
      <c r="O17" s="90" t="s">
        <v>985</v>
      </c>
      <c r="P17" s="125">
        <v>10</v>
      </c>
      <c r="Q17" s="3">
        <v>11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8" s="69" customFormat="1" x14ac:dyDescent="0.3">
      <c r="A18" s="4" t="s">
        <v>739</v>
      </c>
      <c r="B18" s="4">
        <v>10</v>
      </c>
      <c r="C18" s="96" t="s">
        <v>825</v>
      </c>
      <c r="D18" s="5">
        <f>'GERAL 2022'!G38</f>
        <v>550</v>
      </c>
      <c r="E18" s="2">
        <v>0</v>
      </c>
      <c r="F18" s="5">
        <f t="shared" si="2"/>
        <v>550</v>
      </c>
      <c r="G18" s="2">
        <v>50</v>
      </c>
      <c r="H18" s="2">
        <f t="shared" si="6"/>
        <v>57.1</v>
      </c>
      <c r="I18" s="2">
        <f>'GERAL 2024'!I12</f>
        <v>1.3105200945626476</v>
      </c>
      <c r="J18" s="2">
        <f>'GERAL 2024'!K12</f>
        <v>0.79837470449172576</v>
      </c>
      <c r="K18" s="2">
        <v>126.09</v>
      </c>
      <c r="L18" s="109">
        <f t="shared" si="3"/>
        <v>785.29889479905444</v>
      </c>
      <c r="M18" s="2">
        <f t="shared" si="5"/>
        <v>54.970922635933817</v>
      </c>
      <c r="N18" s="2">
        <f t="shared" si="4"/>
        <v>730.32797216312065</v>
      </c>
      <c r="O18" s="90" t="s">
        <v>991</v>
      </c>
      <c r="P18" s="3">
        <v>10</v>
      </c>
      <c r="Q18" s="4">
        <v>11</v>
      </c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8" s="69" customFormat="1" ht="15.75" customHeight="1" x14ac:dyDescent="0.3">
      <c r="A19" s="4" t="s">
        <v>965</v>
      </c>
      <c r="B19" s="4">
        <v>11</v>
      </c>
      <c r="C19" s="4" t="s">
        <v>827</v>
      </c>
      <c r="D19" s="2">
        <v>0</v>
      </c>
      <c r="E19" s="2">
        <v>0</v>
      </c>
      <c r="F19" s="5">
        <f t="shared" si="2"/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109">
        <f t="shared" si="3"/>
        <v>0</v>
      </c>
      <c r="M19" s="2">
        <f>7%*L19</f>
        <v>0</v>
      </c>
      <c r="N19" s="2">
        <f t="shared" si="4"/>
        <v>0</v>
      </c>
      <c r="O19" s="5" t="s">
        <v>108</v>
      </c>
      <c r="P19" s="3">
        <v>10</v>
      </c>
      <c r="Q19" s="4">
        <v>11</v>
      </c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8" s="15" customFormat="1" x14ac:dyDescent="0.3">
      <c r="A20" s="90" t="s">
        <v>929</v>
      </c>
      <c r="B20" s="90">
        <v>12</v>
      </c>
      <c r="C20" s="90" t="s">
        <v>829</v>
      </c>
      <c r="D20" s="5">
        <v>610</v>
      </c>
      <c r="E20" s="2">
        <v>0</v>
      </c>
      <c r="F20" s="5">
        <f t="shared" si="2"/>
        <v>610</v>
      </c>
      <c r="G20" s="5">
        <v>50</v>
      </c>
      <c r="H20" s="2">
        <f t="shared" si="6"/>
        <v>57.1</v>
      </c>
      <c r="I20" s="2">
        <f>'GERAL 2024'!I37</f>
        <v>1.3105200945626476</v>
      </c>
      <c r="J20" s="2">
        <f>'GERAL 2024'!K37</f>
        <v>0.79837470449172576</v>
      </c>
      <c r="K20" s="5">
        <v>0</v>
      </c>
      <c r="L20" s="109">
        <f t="shared" si="3"/>
        <v>719.20889479905441</v>
      </c>
      <c r="M20" s="2">
        <f t="shared" si="5"/>
        <v>50.34462263593381</v>
      </c>
      <c r="N20" s="2">
        <f t="shared" si="4"/>
        <v>668.86427216312063</v>
      </c>
      <c r="O20" s="90" t="s">
        <v>985</v>
      </c>
      <c r="P20" s="3">
        <v>10</v>
      </c>
      <c r="Q20" s="3">
        <v>11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</row>
    <row r="21" spans="1:48" s="11" customFormat="1" ht="16.5" customHeight="1" x14ac:dyDescent="0.3">
      <c r="A21" s="90" t="s">
        <v>756</v>
      </c>
      <c r="B21" s="90">
        <v>13</v>
      </c>
      <c r="C21" s="90" t="s">
        <v>827</v>
      </c>
      <c r="D21" s="5">
        <f>'GERAL 2022'!G15</f>
        <v>550</v>
      </c>
      <c r="E21" s="5">
        <v>0</v>
      </c>
      <c r="F21" s="5">
        <f t="shared" si="2"/>
        <v>550</v>
      </c>
      <c r="G21" s="2">
        <v>0</v>
      </c>
      <c r="H21" s="2">
        <f t="shared" si="6"/>
        <v>57.1</v>
      </c>
      <c r="I21" s="2">
        <f>'GERAL 2024'!I15</f>
        <v>1.3105200945626476</v>
      </c>
      <c r="J21" s="2">
        <f>'GERAL 2024'!K15</f>
        <v>0.79837470449172576</v>
      </c>
      <c r="K21" s="2">
        <v>0</v>
      </c>
      <c r="L21" s="109">
        <f t="shared" si="3"/>
        <v>609.20889479905441</v>
      </c>
      <c r="M21" s="2">
        <f t="shared" si="5"/>
        <v>42.644622635933814</v>
      </c>
      <c r="N21" s="2">
        <f t="shared" si="4"/>
        <v>566.56427216312056</v>
      </c>
      <c r="O21" s="90" t="s">
        <v>985</v>
      </c>
      <c r="P21" s="3">
        <v>10</v>
      </c>
      <c r="Q21" s="3">
        <v>11</v>
      </c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</row>
    <row r="22" spans="1:48" s="69" customFormat="1" x14ac:dyDescent="0.3">
      <c r="A22" s="4" t="s">
        <v>747</v>
      </c>
      <c r="B22" s="4">
        <v>14</v>
      </c>
      <c r="C22" s="90" t="s">
        <v>832</v>
      </c>
      <c r="D22" s="5">
        <f>'GERAL 2022'!G39</f>
        <v>580</v>
      </c>
      <c r="E22" s="2">
        <v>0</v>
      </c>
      <c r="F22" s="5">
        <f t="shared" si="2"/>
        <v>580</v>
      </c>
      <c r="G22" s="2">
        <f>50</f>
        <v>50</v>
      </c>
      <c r="H22" s="2">
        <f t="shared" si="6"/>
        <v>57.1</v>
      </c>
      <c r="I22" s="2">
        <f>'GERAL 2024'!I16</f>
        <v>1.3105200945626476</v>
      </c>
      <c r="J22" s="2">
        <f>'GERAL 2024'!K16</f>
        <v>0.79837470449172576</v>
      </c>
      <c r="K22" s="2">
        <v>0</v>
      </c>
      <c r="L22" s="109">
        <f t="shared" si="3"/>
        <v>689.20889479905441</v>
      </c>
      <c r="M22" s="2">
        <f t="shared" si="5"/>
        <v>48.244622635933816</v>
      </c>
      <c r="N22" s="2">
        <f t="shared" si="4"/>
        <v>640.96427216312054</v>
      </c>
      <c r="O22" s="90" t="s">
        <v>985</v>
      </c>
      <c r="P22" s="3">
        <v>10</v>
      </c>
      <c r="Q22" s="4">
        <v>11</v>
      </c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8" s="6" customFormat="1" x14ac:dyDescent="0.3">
      <c r="A23" s="90" t="s">
        <v>748</v>
      </c>
      <c r="B23" s="90">
        <v>15</v>
      </c>
      <c r="C23" s="90" t="s">
        <v>827</v>
      </c>
      <c r="D23" s="5">
        <f>'GERAL 2023'!G36</f>
        <v>680</v>
      </c>
      <c r="E23" s="2">
        <v>0</v>
      </c>
      <c r="F23" s="5">
        <f t="shared" si="2"/>
        <v>680</v>
      </c>
      <c r="G23" s="2">
        <v>25</v>
      </c>
      <c r="H23" s="2">
        <f t="shared" si="6"/>
        <v>57.1</v>
      </c>
      <c r="I23" s="2">
        <f>'GERAL 2024'!I17</f>
        <v>1.8347281323877069</v>
      </c>
      <c r="J23" s="2">
        <f>'GERAL 2024'!K17</f>
        <v>1.1177245862884162</v>
      </c>
      <c r="K23" s="2">
        <v>0</v>
      </c>
      <c r="L23" s="109">
        <f t="shared" si="3"/>
        <v>765.05245271867614</v>
      </c>
      <c r="M23" s="2">
        <f t="shared" si="5"/>
        <v>53.553671690307333</v>
      </c>
      <c r="N23" s="2">
        <f t="shared" si="4"/>
        <v>711.49878102836885</v>
      </c>
      <c r="O23" s="90" t="s">
        <v>985</v>
      </c>
      <c r="P23" s="3">
        <v>10</v>
      </c>
      <c r="Q23" s="4">
        <v>11</v>
      </c>
      <c r="R23" s="9"/>
      <c r="S23" s="9"/>
      <c r="T23" s="9"/>
      <c r="U23" s="9"/>
      <c r="V23" s="9"/>
      <c r="W23" s="9"/>
      <c r="X23" s="9"/>
      <c r="Y23" s="9"/>
      <c r="Z23" s="9"/>
    </row>
    <row r="24" spans="1:48" s="11" customFormat="1" x14ac:dyDescent="0.3">
      <c r="A24" s="3" t="s">
        <v>977</v>
      </c>
      <c r="B24" s="3">
        <v>16</v>
      </c>
      <c r="C24" s="90" t="s">
        <v>827</v>
      </c>
      <c r="D24" s="5">
        <v>0</v>
      </c>
      <c r="E24" s="2">
        <v>0</v>
      </c>
      <c r="F24" s="5">
        <f>D24-E24</f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109">
        <f t="shared" si="3"/>
        <v>0</v>
      </c>
      <c r="M24" s="2">
        <f t="shared" si="5"/>
        <v>0</v>
      </c>
      <c r="N24" s="2">
        <f>L24-M24</f>
        <v>0</v>
      </c>
      <c r="O24" s="5" t="s">
        <v>108</v>
      </c>
      <c r="P24" s="3">
        <v>10</v>
      </c>
      <c r="Q24" s="3">
        <v>11</v>
      </c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</row>
    <row r="25" spans="1:48" s="11" customFormat="1" x14ac:dyDescent="0.3">
      <c r="A25" s="88" t="s">
        <v>902</v>
      </c>
      <c r="B25" s="88">
        <v>17</v>
      </c>
      <c r="C25" s="88" t="s">
        <v>823</v>
      </c>
      <c r="D25" s="5">
        <v>0</v>
      </c>
      <c r="E25" s="2">
        <v>0</v>
      </c>
      <c r="F25" s="5">
        <f t="shared" si="2"/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109">
        <f t="shared" si="3"/>
        <v>0</v>
      </c>
      <c r="M25" s="2">
        <f>7%*L25</f>
        <v>0</v>
      </c>
      <c r="N25" s="2">
        <f>L25-M25</f>
        <v>0</v>
      </c>
      <c r="O25" s="90" t="s">
        <v>996</v>
      </c>
      <c r="P25" s="3">
        <v>10</v>
      </c>
      <c r="Q25" s="3">
        <v>11</v>
      </c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</row>
    <row r="26" spans="1:48" s="11" customFormat="1" x14ac:dyDescent="0.3">
      <c r="A26" s="88" t="s">
        <v>749</v>
      </c>
      <c r="B26" s="90">
        <v>18</v>
      </c>
      <c r="C26" s="90" t="s">
        <v>830</v>
      </c>
      <c r="D26" s="5">
        <f>'GERAL 2023'!G20/30*6</f>
        <v>128</v>
      </c>
      <c r="E26" s="2">
        <v>0</v>
      </c>
      <c r="F26" s="5">
        <f>D26-E26</f>
        <v>128</v>
      </c>
      <c r="G26" s="2">
        <f>50/30*6</f>
        <v>10</v>
      </c>
      <c r="H26" s="2">
        <f>(1541.7/27)/30*6</f>
        <v>11.42</v>
      </c>
      <c r="I26" s="2">
        <f>'GERAL 2024'!I20/30*6</f>
        <v>0.26210401891252949</v>
      </c>
      <c r="J26" s="2">
        <f>'GERAL 2024'!K20/30*6</f>
        <v>0.15967494089834514</v>
      </c>
      <c r="K26" s="2">
        <v>0</v>
      </c>
      <c r="L26" s="109">
        <f t="shared" si="3"/>
        <v>149.84177895981088</v>
      </c>
      <c r="M26" s="2">
        <f t="shared" si="5"/>
        <v>10.488924527186763</v>
      </c>
      <c r="N26" s="2">
        <f t="shared" si="4"/>
        <v>139.35285443262413</v>
      </c>
      <c r="O26" s="90" t="s">
        <v>993</v>
      </c>
      <c r="P26" s="3">
        <v>10</v>
      </c>
      <c r="Q26" s="3">
        <v>11</v>
      </c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</row>
    <row r="27" spans="1:48" s="11" customFormat="1" x14ac:dyDescent="0.3">
      <c r="A27" s="90" t="s">
        <v>738</v>
      </c>
      <c r="B27" s="90">
        <v>19</v>
      </c>
      <c r="C27" s="95" t="s">
        <v>825</v>
      </c>
      <c r="D27" s="5">
        <f>'GERAL 2023'!G38</f>
        <v>610</v>
      </c>
      <c r="E27" s="2">
        <v>0</v>
      </c>
      <c r="F27" s="5">
        <f>(D27-E27)</f>
        <v>610</v>
      </c>
      <c r="G27" s="2">
        <v>25</v>
      </c>
      <c r="H27" s="2">
        <f t="shared" si="6"/>
        <v>57.1</v>
      </c>
      <c r="I27" s="2">
        <f>'GERAL 2024'!I21</f>
        <v>1.3105200945626476</v>
      </c>
      <c r="J27" s="2">
        <f>'GERAL 2024'!K21</f>
        <v>0.79837470449172576</v>
      </c>
      <c r="K27" s="2">
        <v>0</v>
      </c>
      <c r="L27" s="109">
        <f t="shared" si="3"/>
        <v>694.20889479905441</v>
      </c>
      <c r="M27" s="2">
        <f t="shared" si="5"/>
        <v>48.59462263593381</v>
      </c>
      <c r="N27" s="2">
        <f t="shared" si="4"/>
        <v>645.61427216312063</v>
      </c>
      <c r="O27" s="90" t="s">
        <v>985</v>
      </c>
      <c r="P27" s="3">
        <v>10</v>
      </c>
      <c r="Q27" s="3">
        <v>11</v>
      </c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</row>
    <row r="28" spans="1:48" s="11" customFormat="1" x14ac:dyDescent="0.3">
      <c r="A28" s="88" t="s">
        <v>919</v>
      </c>
      <c r="B28" s="90">
        <v>20</v>
      </c>
      <c r="C28" s="90" t="s">
        <v>917</v>
      </c>
      <c r="D28" s="5">
        <f>'GERAL 2024'!G36</f>
        <v>780</v>
      </c>
      <c r="E28" s="2">
        <v>0</v>
      </c>
      <c r="F28" s="5">
        <f t="shared" ref="F28:F35" si="7">D28-E28</f>
        <v>780</v>
      </c>
      <c r="G28" s="2">
        <v>25</v>
      </c>
      <c r="H28" s="2">
        <f>(1541.7/27)</f>
        <v>57.1</v>
      </c>
      <c r="I28" s="2">
        <f>'GERAL 2024'!I36</f>
        <v>1.3105200945626476</v>
      </c>
      <c r="J28" s="2">
        <f>'GERAL 2024'!K36</f>
        <v>0.79837470449172576</v>
      </c>
      <c r="K28" s="2">
        <v>21.48</v>
      </c>
      <c r="L28" s="109">
        <f t="shared" si="3"/>
        <v>885.68889479905442</v>
      </c>
      <c r="M28" s="2">
        <f t="shared" si="5"/>
        <v>61.998222635933814</v>
      </c>
      <c r="N28" s="2">
        <f t="shared" si="4"/>
        <v>823.69067216312055</v>
      </c>
      <c r="O28" s="90" t="s">
        <v>989</v>
      </c>
      <c r="P28" s="125">
        <v>10</v>
      </c>
      <c r="Q28" s="3">
        <v>11</v>
      </c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</row>
    <row r="29" spans="1:48" s="11" customFormat="1" x14ac:dyDescent="0.3">
      <c r="A29" s="88" t="s">
        <v>788</v>
      </c>
      <c r="B29" s="90">
        <v>21</v>
      </c>
      <c r="C29" s="90" t="s">
        <v>822</v>
      </c>
      <c r="D29" s="5">
        <f>'GERAL 2023'!G39</f>
        <v>580</v>
      </c>
      <c r="E29" s="2">
        <v>0</v>
      </c>
      <c r="F29" s="5">
        <f t="shared" si="7"/>
        <v>580</v>
      </c>
      <c r="G29" s="2">
        <v>25</v>
      </c>
      <c r="H29" s="2">
        <f t="shared" si="6"/>
        <v>57.1</v>
      </c>
      <c r="I29" s="2">
        <f>'GERAL 2024'!I23</f>
        <v>1.3105200945626476</v>
      </c>
      <c r="J29" s="2">
        <f>'GERAL 2024'!K23</f>
        <v>0.79837470449172576</v>
      </c>
      <c r="K29" s="2">
        <v>0</v>
      </c>
      <c r="L29" s="109">
        <f t="shared" si="3"/>
        <v>664.20889479905441</v>
      </c>
      <c r="M29" s="2">
        <f t="shared" si="5"/>
        <v>46.494622635933816</v>
      </c>
      <c r="N29" s="2">
        <f t="shared" si="4"/>
        <v>617.71427216312054</v>
      </c>
      <c r="O29" s="90" t="s">
        <v>985</v>
      </c>
      <c r="P29" s="125">
        <v>10</v>
      </c>
      <c r="Q29" s="3">
        <v>11</v>
      </c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</row>
    <row r="30" spans="1:48" s="11" customFormat="1" x14ac:dyDescent="0.3">
      <c r="A30" s="88" t="s">
        <v>950</v>
      </c>
      <c r="B30" s="90">
        <v>22</v>
      </c>
      <c r="C30" s="90" t="s">
        <v>951</v>
      </c>
      <c r="D30" s="5">
        <f>'GERAL 2024'!G38</f>
        <v>610</v>
      </c>
      <c r="E30" s="2">
        <v>0</v>
      </c>
      <c r="F30" s="5">
        <f t="shared" si="7"/>
        <v>610</v>
      </c>
      <c r="G30" s="2">
        <v>25</v>
      </c>
      <c r="H30" s="2">
        <f t="shared" si="6"/>
        <v>57.1</v>
      </c>
      <c r="I30" s="2">
        <f>'GERAL 2024'!I38</f>
        <v>1.3105200945626476</v>
      </c>
      <c r="J30" s="2">
        <f>'GERAL 2024'!K38</f>
        <v>0.79837470449172576</v>
      </c>
      <c r="K30" s="2">
        <v>0</v>
      </c>
      <c r="L30" s="109">
        <f t="shared" si="3"/>
        <v>694.20889479905441</v>
      </c>
      <c r="M30" s="2">
        <f>7%*L30</f>
        <v>48.59462263593381</v>
      </c>
      <c r="N30" s="2">
        <f>L30-M30</f>
        <v>645.61427216312063</v>
      </c>
      <c r="O30" s="5" t="s">
        <v>985</v>
      </c>
      <c r="P30" s="125">
        <v>10</v>
      </c>
      <c r="Q30" s="3">
        <v>11</v>
      </c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</row>
    <row r="31" spans="1:48" s="11" customFormat="1" x14ac:dyDescent="0.3">
      <c r="A31" s="88" t="s">
        <v>750</v>
      </c>
      <c r="B31" s="90">
        <v>23</v>
      </c>
      <c r="C31" s="90" t="s">
        <v>827</v>
      </c>
      <c r="D31" s="5">
        <f>'GERAL 2022'!G25</f>
        <v>550</v>
      </c>
      <c r="E31" s="2">
        <v>0</v>
      </c>
      <c r="F31" s="5">
        <f t="shared" si="7"/>
        <v>550</v>
      </c>
      <c r="G31" s="2">
        <v>0</v>
      </c>
      <c r="H31" s="2">
        <f t="shared" si="6"/>
        <v>57.1</v>
      </c>
      <c r="I31" s="2">
        <f>'GERAL 2024'!I25</f>
        <v>1.3105200945626476</v>
      </c>
      <c r="J31" s="2">
        <f>'GERAL 2024'!K25</f>
        <v>0.79837470449172576</v>
      </c>
      <c r="K31" s="2">
        <v>0</v>
      </c>
      <c r="L31" s="109">
        <f t="shared" si="3"/>
        <v>609.20889479905441</v>
      </c>
      <c r="M31" s="2">
        <f t="shared" si="5"/>
        <v>42.644622635933814</v>
      </c>
      <c r="N31" s="2">
        <f t="shared" si="4"/>
        <v>566.56427216312056</v>
      </c>
      <c r="O31" s="90" t="s">
        <v>985</v>
      </c>
      <c r="P31" s="3">
        <v>10</v>
      </c>
      <c r="Q31" s="3">
        <v>11</v>
      </c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</row>
    <row r="32" spans="1:48" s="6" customFormat="1" ht="15.75" customHeight="1" x14ac:dyDescent="0.3">
      <c r="A32" s="90"/>
      <c r="B32" s="90">
        <v>24</v>
      </c>
      <c r="C32" s="90"/>
      <c r="D32" s="5">
        <v>0</v>
      </c>
      <c r="E32" s="2">
        <v>0</v>
      </c>
      <c r="F32" s="5">
        <f>D32-E32</f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109">
        <f t="shared" si="3"/>
        <v>0</v>
      </c>
      <c r="M32" s="2">
        <f t="shared" si="5"/>
        <v>0</v>
      </c>
      <c r="N32" s="2">
        <f t="shared" si="4"/>
        <v>0</v>
      </c>
      <c r="O32" s="90" t="s">
        <v>525</v>
      </c>
      <c r="P32" s="125"/>
      <c r="Q32" s="3"/>
      <c r="R32" s="9"/>
      <c r="S32" s="9"/>
      <c r="T32" s="9"/>
      <c r="U32" s="9"/>
      <c r="V32" s="9"/>
      <c r="W32" s="9"/>
      <c r="X32" s="9"/>
      <c r="Y32" s="9"/>
      <c r="Z32" s="9"/>
    </row>
    <row r="33" spans="1:61" s="6" customFormat="1" ht="15" customHeight="1" x14ac:dyDescent="0.3">
      <c r="A33" s="11"/>
      <c r="B33" s="90">
        <v>25</v>
      </c>
      <c r="C33" s="90"/>
      <c r="D33" s="5">
        <v>0</v>
      </c>
      <c r="E33" s="2">
        <v>0</v>
      </c>
      <c r="F33" s="5">
        <f t="shared" si="7"/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109">
        <f t="shared" si="3"/>
        <v>0</v>
      </c>
      <c r="M33" s="2">
        <f t="shared" si="5"/>
        <v>0</v>
      </c>
      <c r="N33" s="2">
        <f t="shared" si="4"/>
        <v>0</v>
      </c>
      <c r="O33" s="90" t="s">
        <v>525</v>
      </c>
      <c r="P33" s="125">
        <v>10</v>
      </c>
      <c r="Q33" s="3">
        <v>11</v>
      </c>
      <c r="R33" s="9"/>
      <c r="S33" s="9"/>
      <c r="T33" s="9"/>
      <c r="U33" s="9"/>
      <c r="V33" s="9"/>
      <c r="W33" s="9"/>
      <c r="X33" s="9"/>
      <c r="Y33" s="9"/>
      <c r="Z33" s="9"/>
    </row>
    <row r="34" spans="1:61" s="11" customFormat="1" x14ac:dyDescent="0.3">
      <c r="A34" s="88" t="s">
        <v>751</v>
      </c>
      <c r="B34" s="90">
        <v>26</v>
      </c>
      <c r="C34" s="90" t="s">
        <v>827</v>
      </c>
      <c r="D34" s="5">
        <f>'GERAL 2022'!G28</f>
        <v>560</v>
      </c>
      <c r="E34" s="2">
        <v>0</v>
      </c>
      <c r="F34" s="5">
        <f t="shared" si="7"/>
        <v>560</v>
      </c>
      <c r="G34" s="2">
        <v>25</v>
      </c>
      <c r="H34" s="2">
        <f t="shared" si="6"/>
        <v>57.1</v>
      </c>
      <c r="I34" s="2">
        <f>'GERAL 2024'!I28</f>
        <v>1.3105200945626476</v>
      </c>
      <c r="J34" s="2">
        <f>'GERAL 2024'!K29</f>
        <v>0.79837470449172576</v>
      </c>
      <c r="K34" s="2">
        <v>0</v>
      </c>
      <c r="L34" s="109">
        <f t="shared" si="3"/>
        <v>644.20889479905441</v>
      </c>
      <c r="M34" s="2">
        <f t="shared" si="5"/>
        <v>45.09462263593381</v>
      </c>
      <c r="N34" s="2">
        <f t="shared" si="4"/>
        <v>599.11427216312063</v>
      </c>
      <c r="O34" s="90" t="s">
        <v>985</v>
      </c>
      <c r="P34" s="3">
        <v>10</v>
      </c>
      <c r="Q34" s="3">
        <v>11</v>
      </c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</row>
    <row r="35" spans="1:61" s="11" customFormat="1" x14ac:dyDescent="0.3">
      <c r="A35" s="88" t="s">
        <v>752</v>
      </c>
      <c r="B35" s="90">
        <v>27</v>
      </c>
      <c r="C35" s="71" t="s">
        <v>827</v>
      </c>
      <c r="D35" s="230">
        <f>'GERAL 2022'!G45</f>
        <v>580</v>
      </c>
      <c r="E35" s="72">
        <v>0</v>
      </c>
      <c r="F35" s="5">
        <f t="shared" si="7"/>
        <v>580</v>
      </c>
      <c r="G35" s="72">
        <v>0</v>
      </c>
      <c r="H35" s="2">
        <f t="shared" si="6"/>
        <v>57.1</v>
      </c>
      <c r="I35" s="72">
        <f>'GERAL 2024'!I29</f>
        <v>1.3105200945626476</v>
      </c>
      <c r="J35" s="2">
        <f>'GERAL 2024'!K29</f>
        <v>0.79837470449172576</v>
      </c>
      <c r="K35" s="72">
        <v>0</v>
      </c>
      <c r="L35" s="109">
        <f t="shared" si="3"/>
        <v>639.20889479905441</v>
      </c>
      <c r="M35" s="2">
        <f t="shared" si="5"/>
        <v>44.744622635933816</v>
      </c>
      <c r="N35" s="2">
        <f>L35-M35</f>
        <v>594.46427216312054</v>
      </c>
      <c r="O35" s="90" t="s">
        <v>985</v>
      </c>
      <c r="P35" s="3">
        <v>10</v>
      </c>
      <c r="Q35" s="3">
        <v>11</v>
      </c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</row>
    <row r="36" spans="1:61" s="206" customFormat="1" x14ac:dyDescent="0.3">
      <c r="A36" s="584" t="s">
        <v>4</v>
      </c>
      <c r="B36" s="584"/>
      <c r="C36" s="209"/>
      <c r="D36" s="191">
        <f>SUM(D9:D35)</f>
        <v>10653</v>
      </c>
      <c r="E36" s="191">
        <f t="shared" ref="E36:N36" si="8">SUM(E9:E35)</f>
        <v>0</v>
      </c>
      <c r="F36" s="191">
        <f t="shared" si="8"/>
        <v>10653</v>
      </c>
      <c r="G36" s="191">
        <f t="shared" si="8"/>
        <v>510</v>
      </c>
      <c r="H36" s="191">
        <f t="shared" si="8"/>
        <v>1056.3500000000001</v>
      </c>
      <c r="I36" s="191">
        <f t="shared" si="8"/>
        <v>25.293037825059102</v>
      </c>
      <c r="J36" s="191">
        <f t="shared" si="8"/>
        <v>15.408631796690312</v>
      </c>
      <c r="K36" s="191">
        <f t="shared" si="8"/>
        <v>189.92</v>
      </c>
      <c r="L36" s="191">
        <f t="shared" si="8"/>
        <v>12449.971669621747</v>
      </c>
      <c r="M36" s="191">
        <f t="shared" si="8"/>
        <v>871.49801687352272</v>
      </c>
      <c r="N36" s="191">
        <f t="shared" si="8"/>
        <v>11578.473652748227</v>
      </c>
      <c r="O36" s="193"/>
      <c r="P36" s="197"/>
      <c r="Q36" s="197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  <c r="AQ36" s="205"/>
    </row>
    <row r="37" spans="1:61" s="11" customFormat="1" ht="28.5" customHeight="1" x14ac:dyDescent="0.3">
      <c r="A37" s="521" t="s">
        <v>984</v>
      </c>
      <c r="B37" s="521"/>
      <c r="C37" s="521"/>
      <c r="D37" s="521"/>
      <c r="E37" s="521"/>
      <c r="F37" s="521"/>
      <c r="G37" s="521"/>
      <c r="H37" s="521"/>
      <c r="I37" s="521"/>
      <c r="J37" s="521"/>
      <c r="K37" s="521"/>
      <c r="L37" s="521"/>
      <c r="M37" s="521"/>
      <c r="N37" s="521"/>
      <c r="O37" s="521"/>
      <c r="P37" s="521"/>
      <c r="Q37" s="521"/>
      <c r="R37" s="10"/>
      <c r="S37" s="10"/>
      <c r="T37" s="10"/>
      <c r="U37" s="10"/>
      <c r="V37" s="10"/>
      <c r="W37" s="10"/>
      <c r="X37" s="10"/>
      <c r="Y37" s="10"/>
      <c r="Z37" s="10"/>
    </row>
    <row r="38" spans="1:61" s="11" customFormat="1" ht="27.75" customHeight="1" x14ac:dyDescent="0.3">
      <c r="A38" s="127" t="s">
        <v>3</v>
      </c>
      <c r="B38" s="127" t="s">
        <v>0</v>
      </c>
      <c r="C38" s="127" t="s">
        <v>821</v>
      </c>
      <c r="D38" s="128" t="s">
        <v>174</v>
      </c>
      <c r="E38" s="555" t="s">
        <v>175</v>
      </c>
      <c r="F38" s="556"/>
      <c r="G38" s="556"/>
      <c r="H38" s="556"/>
      <c r="I38" s="556"/>
      <c r="J38" s="556"/>
      <c r="K38" s="557"/>
      <c r="L38" s="128" t="s">
        <v>4</v>
      </c>
      <c r="M38" s="128" t="s">
        <v>5</v>
      </c>
      <c r="N38" s="128" t="s">
        <v>70</v>
      </c>
      <c r="O38" s="127" t="s">
        <v>59</v>
      </c>
      <c r="P38" s="130" t="s">
        <v>8</v>
      </c>
      <c r="Q38" s="130" t="s">
        <v>10</v>
      </c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spans="1:61" s="204" customFormat="1" ht="15.75" customHeight="1" x14ac:dyDescent="0.3">
      <c r="A39" s="88" t="s">
        <v>902</v>
      </c>
      <c r="B39" s="88">
        <v>17</v>
      </c>
      <c r="C39" s="88" t="s">
        <v>823</v>
      </c>
      <c r="D39" s="5">
        <f>290</f>
        <v>290</v>
      </c>
      <c r="E39" s="546" t="s">
        <v>994</v>
      </c>
      <c r="F39" s="547"/>
      <c r="G39" s="547"/>
      <c r="H39" s="547"/>
      <c r="I39" s="547"/>
      <c r="J39" s="547"/>
      <c r="K39" s="548"/>
      <c r="L39" s="5">
        <f>290</f>
        <v>290</v>
      </c>
      <c r="M39" s="2">
        <f>7%*L39</f>
        <v>20.3</v>
      </c>
      <c r="N39" s="2">
        <f>L39-M39</f>
        <v>269.7</v>
      </c>
      <c r="O39" s="193" t="s">
        <v>995</v>
      </c>
      <c r="P39" s="207">
        <v>10</v>
      </c>
      <c r="Q39" s="197">
        <v>11</v>
      </c>
      <c r="R39" s="200"/>
      <c r="S39" s="200"/>
      <c r="T39" s="200"/>
      <c r="U39" s="200"/>
      <c r="V39" s="200"/>
      <c r="W39" s="200"/>
      <c r="X39" s="200"/>
      <c r="Y39" s="200"/>
      <c r="Z39" s="200"/>
    </row>
    <row r="40" spans="1:61" s="11" customFormat="1" x14ac:dyDescent="0.3">
      <c r="A40" s="518" t="s">
        <v>4</v>
      </c>
      <c r="B40" s="518"/>
      <c r="C40" s="518"/>
      <c r="D40" s="518"/>
      <c r="E40" s="518"/>
      <c r="F40" s="518"/>
      <c r="G40" s="518"/>
      <c r="H40" s="518"/>
      <c r="I40" s="518"/>
      <c r="J40" s="518"/>
      <c r="K40" s="518"/>
      <c r="L40" s="109">
        <f>SUM(L39:L39)</f>
        <v>290</v>
      </c>
      <c r="M40" s="109">
        <f>SUM(M39:M39)</f>
        <v>20.3</v>
      </c>
      <c r="N40" s="109">
        <f>SUM(N39:N39)</f>
        <v>269.7</v>
      </c>
      <c r="O40" s="527"/>
      <c r="P40" s="527"/>
      <c r="Q40" s="527"/>
      <c r="R40" s="10"/>
      <c r="S40" s="10"/>
      <c r="T40" s="10"/>
      <c r="U40" s="10"/>
      <c r="V40" s="10"/>
      <c r="W40" s="10"/>
      <c r="X40" s="10"/>
      <c r="Y40" s="10"/>
      <c r="Z40" s="10"/>
    </row>
    <row r="41" spans="1:61" s="11" customFormat="1" x14ac:dyDescent="0.3">
      <c r="A41" s="518"/>
      <c r="B41" s="518"/>
      <c r="C41" s="518"/>
      <c r="D41" s="518"/>
      <c r="E41" s="518"/>
      <c r="F41" s="518"/>
      <c r="G41" s="518"/>
      <c r="H41" s="518"/>
      <c r="I41" s="518"/>
      <c r="J41" s="518"/>
      <c r="K41" s="518"/>
      <c r="L41" s="518"/>
      <c r="M41" s="518"/>
      <c r="N41" s="518"/>
      <c r="O41" s="518"/>
      <c r="P41" s="109"/>
      <c r="Q41" s="109"/>
      <c r="R41" s="10"/>
      <c r="S41" s="10"/>
      <c r="T41" s="10"/>
      <c r="U41" s="10"/>
      <c r="V41" s="10"/>
      <c r="W41" s="10"/>
      <c r="X41" s="10"/>
      <c r="Y41" s="10"/>
      <c r="Z41" s="10"/>
    </row>
    <row r="42" spans="1:61" s="11" customFormat="1" ht="28.5" customHeight="1" x14ac:dyDescent="0.3">
      <c r="A42" s="521" t="s">
        <v>177</v>
      </c>
      <c r="B42" s="521"/>
      <c r="C42" s="521"/>
      <c r="D42" s="521"/>
      <c r="E42" s="521"/>
      <c r="F42" s="521"/>
      <c r="G42" s="521"/>
      <c r="H42" s="521"/>
      <c r="I42" s="521"/>
      <c r="J42" s="521"/>
      <c r="K42" s="521"/>
      <c r="L42" s="521"/>
      <c r="M42" s="521"/>
      <c r="N42" s="521"/>
      <c r="O42" s="521"/>
      <c r="P42" s="521"/>
      <c r="Q42" s="52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61" s="11" customFormat="1" ht="25.5" customHeight="1" x14ac:dyDescent="0.3">
      <c r="A43" s="126" t="s">
        <v>173</v>
      </c>
      <c r="B43" s="126" t="s">
        <v>0</v>
      </c>
      <c r="C43" s="126"/>
      <c r="D43" s="126" t="s">
        <v>174</v>
      </c>
      <c r="E43" s="521" t="s">
        <v>175</v>
      </c>
      <c r="F43" s="521"/>
      <c r="G43" s="521"/>
      <c r="H43" s="521"/>
      <c r="I43" s="521"/>
      <c r="J43" s="521"/>
      <c r="K43" s="521"/>
      <c r="L43" s="129" t="s">
        <v>4</v>
      </c>
      <c r="M43" s="128"/>
      <c r="N43" s="128"/>
      <c r="O43" s="127" t="s">
        <v>59</v>
      </c>
      <c r="P43" s="130" t="s">
        <v>8</v>
      </c>
      <c r="Q43" s="130" t="s">
        <v>10</v>
      </c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61" s="69" customFormat="1" ht="15" customHeight="1" x14ac:dyDescent="0.3">
      <c r="A44" s="4" t="s">
        <v>132</v>
      </c>
      <c r="B44" s="4">
        <v>1</v>
      </c>
      <c r="C44" s="4"/>
      <c r="D44" s="5">
        <f>4977.59-1520</f>
        <v>3457.59</v>
      </c>
      <c r="E44" s="546" t="s">
        <v>284</v>
      </c>
      <c r="F44" s="547"/>
      <c r="G44" s="547"/>
      <c r="H44" s="547"/>
      <c r="I44" s="547"/>
      <c r="J44" s="547"/>
      <c r="K44" s="548"/>
      <c r="L44" s="5">
        <f>4977.59-1520</f>
        <v>3457.59</v>
      </c>
      <c r="M44" s="5"/>
      <c r="N44" s="5"/>
      <c r="O44" s="5" t="s">
        <v>510</v>
      </c>
      <c r="P44" s="140">
        <v>10</v>
      </c>
      <c r="Q44" s="4">
        <v>11</v>
      </c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</row>
    <row r="45" spans="1:61" s="11" customFormat="1" x14ac:dyDescent="0.3">
      <c r="A45" s="90" t="s">
        <v>87</v>
      </c>
      <c r="B45" s="90">
        <v>25</v>
      </c>
      <c r="C45" s="90"/>
      <c r="D45" s="5">
        <v>3013.33</v>
      </c>
      <c r="E45" s="546" t="s">
        <v>543</v>
      </c>
      <c r="F45" s="547"/>
      <c r="G45" s="547"/>
      <c r="H45" s="547"/>
      <c r="I45" s="547"/>
      <c r="J45" s="547"/>
      <c r="K45" s="548"/>
      <c r="L45" s="5">
        <v>3040.58</v>
      </c>
      <c r="M45" s="2"/>
      <c r="N45" s="2"/>
      <c r="O45" s="5" t="s">
        <v>545</v>
      </c>
      <c r="P45" s="98">
        <v>10</v>
      </c>
      <c r="Q45" s="3">
        <v>11</v>
      </c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</row>
    <row r="46" spans="1:61" s="11" customFormat="1" ht="15" customHeight="1" x14ac:dyDescent="0.3">
      <c r="A46" s="3" t="s">
        <v>894</v>
      </c>
      <c r="B46" s="90">
        <v>16</v>
      </c>
      <c r="C46" s="90" t="s">
        <v>823</v>
      </c>
      <c r="D46" s="5">
        <f>144.52+11.29+12.89+0.3+0.18+1664</f>
        <v>1833.18</v>
      </c>
      <c r="E46" s="546" t="s">
        <v>969</v>
      </c>
      <c r="F46" s="547"/>
      <c r="G46" s="547"/>
      <c r="H46" s="547"/>
      <c r="I46" s="547"/>
      <c r="J46" s="547"/>
      <c r="K46" s="548"/>
      <c r="L46" s="5">
        <f>144.52+11.29+12.89+0.3+0.18+1664</f>
        <v>1833.18</v>
      </c>
      <c r="M46" s="2"/>
      <c r="N46" s="2"/>
      <c r="O46" s="90" t="s">
        <v>969</v>
      </c>
      <c r="P46" s="98">
        <v>10</v>
      </c>
      <c r="Q46" s="3">
        <v>11</v>
      </c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</row>
    <row r="47" spans="1:61" s="40" customFormat="1" ht="15" customHeight="1" thickBot="1" x14ac:dyDescent="0.35">
      <c r="A47" s="534" t="s">
        <v>4</v>
      </c>
      <c r="B47" s="549"/>
      <c r="C47" s="549"/>
      <c r="D47" s="549"/>
      <c r="E47" s="549"/>
      <c r="F47" s="549"/>
      <c r="G47" s="549"/>
      <c r="H47" s="549"/>
      <c r="I47" s="549"/>
      <c r="J47" s="549"/>
      <c r="K47" s="535"/>
      <c r="L47" s="114">
        <f>SUM(L44:L46)</f>
        <v>8331.35</v>
      </c>
      <c r="M47" s="90"/>
      <c r="N47" s="90"/>
      <c r="O47" s="90"/>
      <c r="P47" s="90"/>
      <c r="Q47" s="9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1"/>
      <c r="AV47" s="11"/>
      <c r="AW47" s="11"/>
      <c r="AX47" s="11"/>
    </row>
    <row r="48" spans="1:61" s="19" customFormat="1" x14ac:dyDescent="0.3">
      <c r="A48" s="179"/>
      <c r="B48" s="180"/>
      <c r="C48" s="180"/>
      <c r="D48" s="180"/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1"/>
      <c r="Q48" s="182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</row>
    <row r="49" spans="1:50" s="40" customFormat="1" x14ac:dyDescent="0.3">
      <c r="A49" s="585"/>
      <c r="B49" s="585"/>
      <c r="C49" s="585"/>
      <c r="D49" s="585"/>
      <c r="E49" s="585"/>
      <c r="F49" s="46"/>
      <c r="G49" s="46"/>
      <c r="H49" s="46"/>
      <c r="I49" s="46"/>
      <c r="J49" s="46"/>
      <c r="K49" s="46"/>
      <c r="L49" s="46"/>
      <c r="M49" s="46"/>
      <c r="N49" s="46"/>
      <c r="O49" s="544" t="s">
        <v>315</v>
      </c>
      <c r="P49" s="544"/>
      <c r="Q49" s="545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1"/>
      <c r="AV49" s="11"/>
      <c r="AW49" s="11"/>
      <c r="AX49" s="11"/>
    </row>
    <row r="50" spans="1:50" s="40" customFormat="1" x14ac:dyDescent="0.3">
      <c r="A50" s="206"/>
      <c r="B50" s="223"/>
      <c r="C50" s="223"/>
      <c r="D50" s="224"/>
      <c r="E50" s="223"/>
      <c r="F50" s="46"/>
      <c r="G50" s="46"/>
      <c r="H50" s="46"/>
      <c r="I50" s="11"/>
      <c r="J50" s="11"/>
      <c r="K50" s="11"/>
      <c r="L50" s="87"/>
      <c r="M50" s="87"/>
      <c r="N50" s="87"/>
      <c r="O50" s="527" t="s">
        <v>94</v>
      </c>
      <c r="P50" s="527"/>
      <c r="Q50" s="114">
        <f>M36+M40</f>
        <v>891.79801687352267</v>
      </c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1"/>
      <c r="AV50" s="11"/>
      <c r="AW50" s="11"/>
      <c r="AX50" s="11"/>
    </row>
    <row r="51" spans="1:50" s="40" customFormat="1" x14ac:dyDescent="0.3">
      <c r="A51" s="206"/>
      <c r="B51" s="223"/>
      <c r="C51" s="223"/>
      <c r="D51" s="224"/>
      <c r="E51" s="223"/>
      <c r="F51" s="46"/>
      <c r="G51" s="46"/>
      <c r="H51" s="46"/>
      <c r="I51" s="11"/>
      <c r="J51" s="11"/>
      <c r="K51" s="11"/>
      <c r="L51" s="14"/>
      <c r="M51" s="14"/>
      <c r="N51" s="14"/>
      <c r="O51" s="518" t="s">
        <v>260</v>
      </c>
      <c r="P51" s="518"/>
      <c r="Q51" s="114">
        <f>M6</f>
        <v>750</v>
      </c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1"/>
      <c r="AV51" s="11"/>
      <c r="AW51" s="11"/>
      <c r="AX51" s="11"/>
    </row>
    <row r="52" spans="1:50" s="40" customFormat="1" x14ac:dyDescent="0.3">
      <c r="A52" s="206"/>
      <c r="B52" s="223"/>
      <c r="C52" s="223"/>
      <c r="D52" s="224"/>
      <c r="E52" s="223"/>
      <c r="F52" s="46"/>
      <c r="G52" s="46"/>
      <c r="H52" s="46"/>
      <c r="I52" s="11"/>
      <c r="J52" s="11"/>
      <c r="K52" s="11"/>
      <c r="L52" s="14"/>
      <c r="M52" s="14"/>
      <c r="N52" s="14"/>
      <c r="O52" s="520"/>
      <c r="P52" s="520"/>
      <c r="Q52" s="52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1"/>
      <c r="AV52" s="11"/>
      <c r="AW52" s="11"/>
      <c r="AX52" s="11"/>
    </row>
    <row r="53" spans="1:50" s="40" customFormat="1" x14ac:dyDescent="0.3">
      <c r="A53" s="206"/>
      <c r="B53" s="223"/>
      <c r="C53" s="223"/>
      <c r="D53" s="224"/>
      <c r="E53" s="223"/>
      <c r="F53" s="46"/>
      <c r="G53" s="46"/>
      <c r="H53" s="46"/>
      <c r="I53" s="11"/>
      <c r="J53" s="11"/>
      <c r="K53" s="11"/>
      <c r="L53" s="62"/>
      <c r="M53" s="62"/>
      <c r="N53" s="62"/>
      <c r="O53" s="520"/>
      <c r="P53" s="520"/>
      <c r="Q53" s="52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1"/>
      <c r="AV53" s="11"/>
      <c r="AW53" s="11"/>
      <c r="AX53" s="11"/>
    </row>
    <row r="54" spans="1:50" s="40" customFormat="1" ht="14.4" x14ac:dyDescent="0.3">
      <c r="A54" s="206"/>
      <c r="B54" s="223"/>
      <c r="C54" s="223"/>
      <c r="D54" s="224"/>
      <c r="E54" s="223"/>
      <c r="F54" s="46"/>
      <c r="G54" s="46"/>
      <c r="H54" s="46"/>
      <c r="I54" s="11"/>
      <c r="J54" s="11"/>
      <c r="K54" s="11"/>
      <c r="L54" s="14"/>
      <c r="M54" s="14"/>
      <c r="N54" s="14"/>
      <c r="O54" s="529" t="s">
        <v>12</v>
      </c>
      <c r="P54" s="529"/>
      <c r="Q54" s="529"/>
      <c r="R54" s="175"/>
      <c r="S54" s="178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1"/>
      <c r="AV54" s="11"/>
      <c r="AW54" s="11"/>
      <c r="AX54" s="11"/>
    </row>
    <row r="55" spans="1:50" s="11" customFormat="1" ht="15" customHeight="1" x14ac:dyDescent="0.3">
      <c r="A55" s="206"/>
      <c r="B55" s="223"/>
      <c r="C55" s="223"/>
      <c r="D55" s="224"/>
      <c r="E55" s="223"/>
      <c r="F55" s="46"/>
      <c r="G55" s="46"/>
      <c r="H55" s="46"/>
      <c r="L55" s="63"/>
      <c r="M55" s="63"/>
      <c r="N55" s="63"/>
      <c r="O55" s="514" t="s">
        <v>760</v>
      </c>
      <c r="P55" s="514"/>
      <c r="Q55" s="2">
        <v>21.07</v>
      </c>
      <c r="R55" s="190"/>
      <c r="S55" s="178"/>
    </row>
    <row r="56" spans="1:50" s="11" customFormat="1" ht="14.4" x14ac:dyDescent="0.3">
      <c r="A56" s="206"/>
      <c r="B56" s="223"/>
      <c r="C56" s="223"/>
      <c r="D56" s="224"/>
      <c r="E56" s="223"/>
      <c r="F56" s="46"/>
      <c r="G56" s="46"/>
      <c r="H56" s="46"/>
      <c r="L56" s="14"/>
      <c r="M56" s="14"/>
      <c r="N56" s="14"/>
      <c r="O56" s="514" t="s">
        <v>478</v>
      </c>
      <c r="P56" s="514"/>
      <c r="Q56" s="2">
        <v>21.28</v>
      </c>
      <c r="R56" s="175"/>
      <c r="S56" s="178"/>
    </row>
    <row r="57" spans="1:50" s="11" customFormat="1" ht="15" customHeight="1" x14ac:dyDescent="0.3">
      <c r="A57" s="206"/>
      <c r="B57" s="223"/>
      <c r="C57" s="223"/>
      <c r="D57" s="224"/>
      <c r="E57" s="223"/>
      <c r="F57" s="46"/>
      <c r="G57" s="46"/>
      <c r="H57" s="46"/>
      <c r="L57" s="63"/>
      <c r="M57" s="63"/>
      <c r="N57" s="63"/>
      <c r="O57" s="514" t="s">
        <v>992</v>
      </c>
      <c r="P57" s="514"/>
      <c r="Q57" s="2">
        <v>126.09</v>
      </c>
      <c r="R57" s="190"/>
      <c r="S57" s="178"/>
    </row>
    <row r="58" spans="1:50" s="11" customFormat="1" ht="14.4" x14ac:dyDescent="0.3">
      <c r="A58" s="206"/>
      <c r="B58" s="223"/>
      <c r="C58" s="223"/>
      <c r="D58" s="224"/>
      <c r="E58" s="223"/>
      <c r="F58" s="46"/>
      <c r="G58" s="46"/>
      <c r="H58" s="46"/>
      <c r="L58" s="14"/>
      <c r="M58" s="14"/>
      <c r="N58" s="14"/>
      <c r="O58" s="514" t="s">
        <v>224</v>
      </c>
      <c r="P58" s="514"/>
      <c r="Q58" s="2">
        <v>21.2</v>
      </c>
      <c r="R58" s="222"/>
      <c r="S58" s="178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</row>
    <row r="59" spans="1:50" s="11" customFormat="1" ht="14.4" x14ac:dyDescent="0.3">
      <c r="A59" s="206"/>
      <c r="B59" s="223"/>
      <c r="C59" s="223"/>
      <c r="D59" s="224"/>
      <c r="E59" s="223"/>
      <c r="F59" s="46"/>
      <c r="G59" s="46"/>
      <c r="H59" s="46"/>
      <c r="L59" s="63"/>
      <c r="M59" s="63"/>
      <c r="N59" s="63"/>
      <c r="O59" s="514" t="s">
        <v>536</v>
      </c>
      <c r="P59" s="514"/>
      <c r="Q59" s="2">
        <v>21.48</v>
      </c>
      <c r="R59" s="175"/>
      <c r="S59" s="178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</row>
    <row r="60" spans="1:50" s="11" customFormat="1" ht="14.4" x14ac:dyDescent="0.3">
      <c r="A60" s="206"/>
      <c r="B60" s="223"/>
      <c r="C60" s="223"/>
      <c r="D60" s="224"/>
      <c r="E60" s="223"/>
      <c r="F60" s="46"/>
      <c r="G60" s="46"/>
      <c r="H60" s="46"/>
      <c r="L60" s="14"/>
      <c r="M60" s="14"/>
      <c r="N60" s="14"/>
      <c r="O60" s="514" t="s">
        <v>126</v>
      </c>
      <c r="P60" s="514"/>
      <c r="Q60" s="137">
        <v>104.76</v>
      </c>
      <c r="R60" s="175"/>
      <c r="S60" s="185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</row>
    <row r="61" spans="1:50" s="11" customFormat="1" ht="14.4" x14ac:dyDescent="0.3">
      <c r="A61" s="206"/>
      <c r="B61" s="223"/>
      <c r="C61" s="223"/>
      <c r="D61" s="224"/>
      <c r="E61" s="223"/>
      <c r="F61" s="46"/>
      <c r="G61" s="46"/>
      <c r="H61" s="46"/>
      <c r="L61" s="14"/>
      <c r="M61" s="14"/>
      <c r="N61" s="14"/>
      <c r="O61" s="583" t="s">
        <v>127</v>
      </c>
      <c r="P61" s="583"/>
      <c r="Q61" s="137">
        <v>1541.7</v>
      </c>
      <c r="R61" s="175"/>
      <c r="S61" s="185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</row>
    <row r="62" spans="1:50" s="11" customFormat="1" ht="14.4" x14ac:dyDescent="0.3">
      <c r="A62" s="206"/>
      <c r="B62" s="223"/>
      <c r="C62" s="223"/>
      <c r="D62" s="224"/>
      <c r="E62" s="223"/>
      <c r="F62" s="46"/>
      <c r="G62" s="46"/>
      <c r="H62" s="46"/>
      <c r="L62" s="63"/>
      <c r="M62" s="63"/>
      <c r="N62" s="63"/>
      <c r="O62" s="514" t="s">
        <v>870</v>
      </c>
      <c r="P62" s="514"/>
      <c r="Q62" s="137">
        <v>150</v>
      </c>
      <c r="R62" s="175"/>
      <c r="S62" s="178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</row>
    <row r="63" spans="1:50" s="11" customFormat="1" ht="14.4" x14ac:dyDescent="0.3">
      <c r="A63" s="206"/>
      <c r="B63" s="223"/>
      <c r="C63" s="223"/>
      <c r="D63" s="224"/>
      <c r="E63" s="223"/>
      <c r="F63" s="46"/>
      <c r="G63" s="46"/>
      <c r="H63" s="46"/>
      <c r="L63" s="14"/>
      <c r="M63" s="14"/>
      <c r="N63" s="14"/>
      <c r="O63" s="514"/>
      <c r="P63" s="514"/>
      <c r="Q63" s="5"/>
      <c r="R63" s="175"/>
      <c r="S63" s="178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</row>
    <row r="64" spans="1:50" s="11" customFormat="1" ht="15" customHeight="1" x14ac:dyDescent="0.3">
      <c r="A64" s="206"/>
      <c r="B64" s="223"/>
      <c r="C64" s="223"/>
      <c r="D64" s="224"/>
      <c r="E64" s="223"/>
      <c r="F64" s="46"/>
      <c r="G64" s="46"/>
      <c r="H64" s="46"/>
      <c r="L64" s="63"/>
      <c r="M64" s="63"/>
      <c r="N64" s="63"/>
      <c r="O64" s="514"/>
      <c r="P64" s="514"/>
      <c r="Q64" s="5"/>
      <c r="S64" s="14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</row>
    <row r="65" spans="1:49" s="11" customFormat="1" ht="14.4" x14ac:dyDescent="0.3">
      <c r="A65" s="206"/>
      <c r="B65" s="223"/>
      <c r="C65" s="223"/>
      <c r="D65" s="224"/>
      <c r="E65" s="223"/>
      <c r="F65" s="46"/>
      <c r="G65" s="46"/>
      <c r="H65" s="46"/>
      <c r="L65" s="14"/>
      <c r="M65" s="14"/>
      <c r="N65" s="14"/>
      <c r="O65" s="581"/>
      <c r="P65" s="582"/>
      <c r="Q65" s="5"/>
      <c r="R65" s="190"/>
      <c r="S65" s="178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</row>
    <row r="66" spans="1:49" s="11" customFormat="1" ht="14.4" x14ac:dyDescent="0.3">
      <c r="A66" s="206"/>
      <c r="B66" s="223"/>
      <c r="C66" s="223"/>
      <c r="D66" s="224"/>
      <c r="E66" s="223"/>
      <c r="F66" s="46"/>
      <c r="G66" s="46"/>
      <c r="H66" s="46"/>
      <c r="L66" s="63"/>
      <c r="M66" s="63"/>
      <c r="N66" s="63"/>
      <c r="O66" s="581"/>
      <c r="P66" s="582"/>
      <c r="Q66" s="196"/>
      <c r="R66" s="175"/>
      <c r="S66" s="178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</row>
    <row r="67" spans="1:49" s="11" customFormat="1" ht="14.4" x14ac:dyDescent="0.3">
      <c r="A67" s="206"/>
      <c r="B67" s="223"/>
      <c r="C67" s="223"/>
      <c r="D67" s="224"/>
      <c r="E67" s="223"/>
      <c r="F67" s="46"/>
      <c r="G67" s="46"/>
      <c r="H67" s="46"/>
      <c r="O67" s="228"/>
      <c r="P67" s="229"/>
      <c r="Q67" s="196"/>
      <c r="R67" s="175"/>
      <c r="S67" s="178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</row>
    <row r="68" spans="1:49" s="11" customFormat="1" ht="14.4" x14ac:dyDescent="0.3">
      <c r="A68" s="206"/>
      <c r="B68" s="223"/>
      <c r="C68" s="223"/>
      <c r="D68" s="224"/>
      <c r="E68" s="223"/>
      <c r="F68" s="46"/>
      <c r="G68" s="46"/>
      <c r="H68" s="46"/>
      <c r="L68" s="63"/>
      <c r="M68" s="63"/>
      <c r="N68" s="63"/>
      <c r="O68" s="228"/>
      <c r="P68" s="229"/>
      <c r="Q68" s="196"/>
      <c r="R68" s="175"/>
      <c r="S68" s="178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</row>
    <row r="69" spans="1:49" s="11" customFormat="1" ht="14.4" x14ac:dyDescent="0.3">
      <c r="A69" s="206"/>
      <c r="B69" s="223"/>
      <c r="C69" s="223"/>
      <c r="D69" s="224"/>
      <c r="E69" s="223"/>
      <c r="F69" s="46"/>
      <c r="G69" s="46"/>
      <c r="H69" s="46"/>
      <c r="L69" s="14"/>
      <c r="M69" s="14"/>
      <c r="N69" s="14"/>
      <c r="O69" s="581"/>
      <c r="P69" s="582"/>
      <c r="Q69" s="212"/>
      <c r="R69" s="175"/>
      <c r="S69" s="185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</row>
    <row r="70" spans="1:49" s="11" customFormat="1" ht="14.4" x14ac:dyDescent="0.3">
      <c r="A70" s="206"/>
      <c r="B70" s="223"/>
      <c r="C70" s="223"/>
      <c r="D70" s="224"/>
      <c r="E70" s="223"/>
      <c r="F70" s="46"/>
      <c r="G70" s="46"/>
      <c r="H70" s="46"/>
      <c r="O70" s="518" t="s">
        <v>26</v>
      </c>
      <c r="P70" s="518"/>
      <c r="Q70" s="109">
        <f>SUM(Q50:Q69)</f>
        <v>3649.3780168735225</v>
      </c>
      <c r="R70" s="175"/>
      <c r="S70" s="176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</row>
    <row r="71" spans="1:49" s="11" customFormat="1" ht="14.4" x14ac:dyDescent="0.3">
      <c r="A71" s="206"/>
      <c r="B71" s="223"/>
      <c r="C71" s="223"/>
      <c r="D71" s="224"/>
      <c r="E71" s="223"/>
      <c r="F71" s="46"/>
      <c r="G71" s="46"/>
      <c r="H71" s="46"/>
      <c r="O71" s="543"/>
      <c r="P71" s="543"/>
      <c r="Q71" s="135"/>
      <c r="R71" s="175"/>
      <c r="S71" s="176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</row>
    <row r="72" spans="1:49" s="11" customFormat="1" ht="14.4" x14ac:dyDescent="0.3">
      <c r="A72" s="206"/>
      <c r="B72" s="223"/>
      <c r="C72" s="223"/>
      <c r="D72" s="224"/>
      <c r="E72" s="223"/>
      <c r="F72" s="46"/>
      <c r="G72" s="46"/>
      <c r="H72" s="46"/>
      <c r="O72" s="564" t="s">
        <v>11</v>
      </c>
      <c r="P72" s="565"/>
      <c r="Q72" s="153">
        <f>L6+L36+L40</f>
        <v>14108.389459219856</v>
      </c>
      <c r="R72" s="175"/>
      <c r="S72" s="178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</row>
    <row r="73" spans="1:49" s="11" customFormat="1" ht="14.4" x14ac:dyDescent="0.3">
      <c r="A73" s="206"/>
      <c r="B73" s="223"/>
      <c r="C73" s="223"/>
      <c r="D73" s="224"/>
      <c r="E73" s="223"/>
      <c r="F73" s="46"/>
      <c r="G73" s="46"/>
      <c r="H73" s="46"/>
      <c r="L73" s="14"/>
      <c r="M73" s="14"/>
      <c r="N73" s="14"/>
      <c r="O73" s="518"/>
      <c r="P73" s="518"/>
      <c r="Q73" s="519"/>
      <c r="R73" s="175"/>
      <c r="S73" s="178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</row>
    <row r="74" spans="1:49" s="11" customFormat="1" ht="14.4" x14ac:dyDescent="0.3">
      <c r="A74" s="206"/>
      <c r="B74" s="223"/>
      <c r="C74" s="223"/>
      <c r="D74" s="224"/>
      <c r="E74" s="223"/>
      <c r="F74" s="46"/>
      <c r="G74" s="46"/>
      <c r="H74" s="46"/>
      <c r="L74" s="15"/>
      <c r="M74" s="15"/>
      <c r="N74" s="15"/>
      <c r="O74" s="513" t="s">
        <v>13</v>
      </c>
      <c r="P74" s="513"/>
      <c r="Q74" s="151">
        <f>Q72-Q70</f>
        <v>10459.011442346333</v>
      </c>
      <c r="R74" s="175"/>
      <c r="S74" s="178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</row>
    <row r="75" spans="1:49" s="11" customFormat="1" ht="14.4" x14ac:dyDescent="0.3">
      <c r="A75" s="206"/>
      <c r="B75" s="223"/>
      <c r="C75" s="223"/>
      <c r="D75" s="224"/>
      <c r="E75" s="223"/>
      <c r="F75" s="46"/>
      <c r="G75" s="46"/>
      <c r="H75" s="46"/>
      <c r="L75" s="14"/>
      <c r="M75" s="14"/>
      <c r="N75" s="14"/>
      <c r="O75" s="124"/>
      <c r="P75" s="124"/>
      <c r="Q75" s="57"/>
      <c r="R75" s="175"/>
      <c r="S75" s="178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</row>
    <row r="76" spans="1:49" s="11" customFormat="1" ht="14.4" x14ac:dyDescent="0.3">
      <c r="A76" s="206"/>
      <c r="B76" s="223"/>
      <c r="C76" s="223"/>
      <c r="D76" s="224"/>
      <c r="E76" s="223"/>
      <c r="F76" s="46"/>
      <c r="G76" s="46"/>
      <c r="H76" s="46"/>
      <c r="L76" s="14"/>
      <c r="M76" s="14"/>
      <c r="N76" s="14"/>
      <c r="O76" s="124"/>
      <c r="P76" s="124"/>
      <c r="Q76" s="57"/>
      <c r="R76" s="175"/>
      <c r="S76" s="178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</row>
    <row r="77" spans="1:49" s="11" customFormat="1" ht="14.4" x14ac:dyDescent="0.3">
      <c r="A77" s="206"/>
      <c r="B77" s="223"/>
      <c r="C77" s="223"/>
      <c r="D77" s="224"/>
      <c r="E77" s="223"/>
      <c r="F77" s="46"/>
      <c r="G77" s="46"/>
      <c r="H77" s="46"/>
      <c r="L77" s="14"/>
      <c r="M77" s="14"/>
      <c r="N77" s="14"/>
      <c r="O77" s="124"/>
      <c r="P77" s="124"/>
      <c r="Q77" s="57"/>
      <c r="R77" s="175"/>
      <c r="S77" s="178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</row>
    <row r="78" spans="1:49" s="11" customFormat="1" x14ac:dyDescent="0.3">
      <c r="A78" s="206"/>
      <c r="B78" s="223"/>
      <c r="C78" s="223"/>
      <c r="D78" s="224"/>
      <c r="E78" s="223"/>
      <c r="F78" s="46"/>
      <c r="G78" s="46"/>
      <c r="H78" s="46"/>
      <c r="L78" s="14"/>
      <c r="M78" s="14"/>
      <c r="N78" s="14"/>
      <c r="O78" s="124"/>
      <c r="P78" s="124"/>
      <c r="Q78" s="57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</row>
    <row r="79" spans="1:49" s="69" customFormat="1" x14ac:dyDescent="0.3">
      <c r="A79" s="206"/>
      <c r="B79" s="223"/>
      <c r="C79" s="223"/>
      <c r="D79" s="224"/>
      <c r="E79" s="223"/>
      <c r="F79" s="46"/>
      <c r="G79" s="46"/>
      <c r="H79" s="46"/>
      <c r="I79" s="11"/>
      <c r="J79" s="11"/>
      <c r="K79" s="11"/>
      <c r="L79" s="14"/>
      <c r="M79" s="14"/>
      <c r="N79" s="14"/>
      <c r="O79" s="15"/>
      <c r="P79" s="14"/>
      <c r="Q79" s="57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s="69" customFormat="1" x14ac:dyDescent="0.3">
      <c r="A80" s="206"/>
      <c r="B80" s="223"/>
      <c r="C80" s="223"/>
      <c r="D80" s="224"/>
      <c r="E80" s="223"/>
      <c r="F80" s="46"/>
      <c r="G80" s="46"/>
      <c r="H80" s="46"/>
      <c r="I80" s="11"/>
      <c r="J80" s="11"/>
      <c r="K80" s="11"/>
      <c r="L80" s="14"/>
      <c r="M80" s="14"/>
      <c r="N80" s="14"/>
      <c r="O80" s="11"/>
      <c r="P80" s="15"/>
      <c r="Q80" s="57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s="69" customFormat="1" x14ac:dyDescent="0.3">
      <c r="A81" s="206"/>
      <c r="B81" s="223"/>
      <c r="C81" s="223"/>
      <c r="D81" s="224"/>
      <c r="E81" s="223"/>
      <c r="F81" s="46"/>
      <c r="G81" s="46"/>
      <c r="H81" s="46"/>
      <c r="I81" s="11"/>
      <c r="J81" s="11"/>
      <c r="K81" s="11"/>
      <c r="L81" s="14"/>
      <c r="M81" s="14"/>
      <c r="N81" s="14"/>
      <c r="O81" s="11"/>
      <c r="P81" s="11"/>
      <c r="Q81" s="57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s="69" customFormat="1" x14ac:dyDescent="0.3">
      <c r="A82" s="206"/>
      <c r="B82" s="223"/>
      <c r="C82" s="223"/>
      <c r="D82" s="224"/>
      <c r="E82" s="223"/>
      <c r="F82" s="46"/>
      <c r="G82" s="46"/>
      <c r="H82" s="46"/>
      <c r="I82" s="11"/>
      <c r="J82" s="11"/>
      <c r="K82" s="11"/>
      <c r="L82" s="14"/>
      <c r="M82" s="14"/>
      <c r="N82" s="14"/>
      <c r="O82" s="14"/>
      <c r="P82" s="14"/>
      <c r="Q82" s="57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s="69" customFormat="1" x14ac:dyDescent="0.3">
      <c r="A83" s="206"/>
      <c r="B83" s="223"/>
      <c r="C83" s="223"/>
      <c r="D83" s="224"/>
      <c r="E83" s="223"/>
      <c r="F83" s="46"/>
      <c r="G83" s="46"/>
      <c r="H83" s="46"/>
      <c r="I83" s="11"/>
      <c r="J83" s="11"/>
      <c r="K83" s="11"/>
      <c r="L83" s="14"/>
      <c r="M83" s="14"/>
      <c r="N83" s="14"/>
      <c r="O83" s="14"/>
      <c r="P83" s="15"/>
      <c r="Q83" s="57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s="69" customFormat="1" x14ac:dyDescent="0.3">
      <c r="A84" s="206"/>
      <c r="B84" s="223"/>
      <c r="C84" s="223"/>
      <c r="D84" s="224"/>
      <c r="E84" s="223"/>
      <c r="F84" s="46"/>
      <c r="G84" s="46"/>
      <c r="H84" s="46"/>
      <c r="I84" s="11"/>
      <c r="J84" s="11"/>
      <c r="K84" s="11"/>
      <c r="L84" s="14"/>
      <c r="M84" s="14"/>
      <c r="N84" s="14"/>
      <c r="O84" s="14"/>
      <c r="P84" s="11"/>
      <c r="Q84" s="57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s="69" customFormat="1" x14ac:dyDescent="0.3">
      <c r="A85" s="206"/>
      <c r="B85" s="223"/>
      <c r="C85" s="223"/>
      <c r="D85" s="224"/>
      <c r="E85" s="223"/>
      <c r="F85" s="46"/>
      <c r="G85" s="46"/>
      <c r="H85" s="46"/>
      <c r="I85" s="11"/>
      <c r="J85" s="11"/>
      <c r="K85" s="11"/>
      <c r="L85" s="14"/>
      <c r="M85" s="14"/>
      <c r="N85" s="14"/>
      <c r="O85" s="14"/>
      <c r="P85" s="11"/>
      <c r="Q85" s="57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s="69" customFormat="1" x14ac:dyDescent="0.3">
      <c r="A86" s="206"/>
      <c r="B86" s="223"/>
      <c r="C86" s="223"/>
      <c r="D86" s="224"/>
      <c r="E86" s="223"/>
      <c r="F86" s="46"/>
      <c r="G86" s="46"/>
      <c r="H86" s="46"/>
      <c r="I86" s="11"/>
      <c r="J86" s="11"/>
      <c r="K86" s="11"/>
      <c r="L86" s="14"/>
      <c r="M86" s="14"/>
      <c r="N86" s="14"/>
      <c r="O86" s="11"/>
      <c r="P86" s="11"/>
      <c r="Q86" s="57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s="69" customFormat="1" x14ac:dyDescent="0.3">
      <c r="A87" s="206"/>
      <c r="B87" s="223"/>
      <c r="C87" s="223"/>
      <c r="D87" s="224"/>
      <c r="E87" s="223"/>
      <c r="F87" s="46"/>
      <c r="G87" s="46"/>
      <c r="H87" s="46"/>
      <c r="I87" s="11"/>
      <c r="J87" s="11"/>
      <c r="K87" s="11"/>
      <c r="L87" s="14"/>
      <c r="M87" s="14"/>
      <c r="N87" s="14"/>
      <c r="O87" s="11"/>
      <c r="P87" s="14"/>
      <c r="Q87" s="57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s="69" customFormat="1" x14ac:dyDescent="0.3">
      <c r="A88" s="206"/>
      <c r="B88" s="223"/>
      <c r="C88" s="223"/>
      <c r="D88" s="224"/>
      <c r="E88" s="223"/>
      <c r="F88" s="46"/>
      <c r="G88" s="46"/>
      <c r="H88" s="46"/>
      <c r="I88" s="11"/>
      <c r="J88" s="11"/>
      <c r="K88" s="11"/>
      <c r="L88" s="14"/>
      <c r="M88" s="14"/>
      <c r="N88" s="14"/>
      <c r="O88" s="11"/>
      <c r="P88" s="14"/>
      <c r="Q88" s="57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69" customFormat="1" x14ac:dyDescent="0.3">
      <c r="A89" s="206"/>
      <c r="B89" s="223"/>
      <c r="C89" s="223"/>
      <c r="D89" s="224"/>
      <c r="E89" s="223"/>
      <c r="F89" s="46"/>
      <c r="G89" s="46"/>
      <c r="H89" s="46"/>
      <c r="I89" s="11"/>
      <c r="J89" s="11"/>
      <c r="K89" s="11"/>
      <c r="L89" s="14"/>
      <c r="M89" s="14"/>
      <c r="N89" s="14"/>
      <c r="O89" s="11"/>
      <c r="P89" s="14"/>
      <c r="Q89" s="57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s="69" customFormat="1" x14ac:dyDescent="0.3">
      <c r="A90" s="206"/>
      <c r="B90" s="223"/>
      <c r="C90" s="223"/>
      <c r="D90" s="224"/>
      <c r="E90" s="223"/>
      <c r="F90" s="46"/>
      <c r="G90" s="46"/>
      <c r="H90" s="46"/>
      <c r="L90" s="142"/>
      <c r="M90" s="142"/>
      <c r="N90" s="142"/>
      <c r="O90" s="11"/>
      <c r="P90" s="14"/>
      <c r="Q90" s="57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s="70" customFormat="1" x14ac:dyDescent="0.3">
      <c r="A91" s="206"/>
      <c r="B91" s="223"/>
      <c r="C91" s="223"/>
      <c r="D91" s="224"/>
      <c r="E91" s="223"/>
      <c r="F91" s="46"/>
      <c r="G91" s="46"/>
      <c r="H91" s="46"/>
      <c r="I91" s="63"/>
      <c r="J91" s="63"/>
      <c r="K91" s="63"/>
      <c r="L91" s="69"/>
      <c r="M91" s="69"/>
      <c r="N91" s="69"/>
      <c r="O91" s="11"/>
      <c r="P91" s="11"/>
      <c r="Q91" s="57"/>
    </row>
    <row r="92" spans="1:49" s="70" customFormat="1" ht="15" customHeight="1" x14ac:dyDescent="0.3">
      <c r="A92" s="206"/>
      <c r="B92" s="223"/>
      <c r="C92" s="223"/>
      <c r="D92" s="224"/>
      <c r="E92" s="223"/>
      <c r="F92" s="46"/>
      <c r="G92" s="46"/>
      <c r="H92" s="46"/>
      <c r="I92" s="11"/>
      <c r="J92" s="11"/>
      <c r="K92" s="63"/>
      <c r="L92" s="142"/>
      <c r="M92" s="142"/>
      <c r="N92" s="142"/>
      <c r="O92" s="11"/>
      <c r="P92" s="11"/>
      <c r="Q92" s="57"/>
      <c r="AW92" s="69"/>
    </row>
    <row r="93" spans="1:49" s="70" customFormat="1" x14ac:dyDescent="0.3">
      <c r="A93" s="206"/>
      <c r="B93" s="223"/>
      <c r="C93" s="223"/>
      <c r="D93" s="224"/>
      <c r="E93" s="223"/>
      <c r="F93" s="46"/>
      <c r="G93" s="46"/>
      <c r="H93" s="46"/>
      <c r="I93" s="142"/>
      <c r="J93" s="142"/>
      <c r="K93" s="142"/>
      <c r="L93" s="142"/>
      <c r="M93" s="142"/>
      <c r="N93" s="142"/>
      <c r="O93" s="69"/>
      <c r="P93" s="69"/>
      <c r="Q93" s="69"/>
      <c r="AW93" s="69"/>
    </row>
    <row r="94" spans="1:49" s="70" customFormat="1" x14ac:dyDescent="0.3">
      <c r="A94" s="206"/>
      <c r="B94" s="223"/>
      <c r="C94" s="223"/>
      <c r="D94" s="224"/>
      <c r="E94" s="223"/>
      <c r="F94" s="46"/>
      <c r="G94" s="46"/>
      <c r="H94" s="46"/>
      <c r="I94" s="11"/>
      <c r="J94" s="11"/>
      <c r="K94" s="63"/>
      <c r="L94" s="142"/>
      <c r="M94" s="142"/>
      <c r="N94" s="142"/>
      <c r="O94" s="69"/>
      <c r="P94" s="69"/>
      <c r="Q94" s="69"/>
      <c r="AW94" s="69"/>
    </row>
    <row r="95" spans="1:49" s="70" customFormat="1" x14ac:dyDescent="0.3">
      <c r="A95" s="206"/>
      <c r="B95" s="223"/>
      <c r="C95" s="223"/>
      <c r="D95" s="224"/>
      <c r="E95" s="223"/>
      <c r="F95" s="46"/>
      <c r="G95" s="46"/>
      <c r="H95" s="46"/>
      <c r="I95" s="142"/>
      <c r="J95" s="142"/>
      <c r="K95" s="142"/>
      <c r="L95" s="142"/>
      <c r="M95" s="142"/>
      <c r="N95" s="142"/>
      <c r="O95" s="69"/>
      <c r="P95" s="69"/>
      <c r="Q95" s="69"/>
      <c r="AW95" s="69"/>
    </row>
    <row r="96" spans="1:49" s="70" customFormat="1" x14ac:dyDescent="0.3">
      <c r="A96" s="206"/>
      <c r="B96" s="223"/>
      <c r="C96" s="223"/>
      <c r="D96" s="224"/>
      <c r="E96" s="223"/>
      <c r="F96" s="46"/>
      <c r="G96" s="46"/>
      <c r="H96" s="46"/>
      <c r="I96" s="11"/>
      <c r="J96" s="11"/>
      <c r="K96" s="63"/>
      <c r="L96" s="142"/>
      <c r="M96" s="142"/>
      <c r="N96" s="142"/>
      <c r="O96" s="69"/>
      <c r="P96" s="69"/>
      <c r="Q96" s="69"/>
      <c r="AW96" s="69"/>
    </row>
    <row r="97" spans="1:49" s="70" customFormat="1" x14ac:dyDescent="0.3">
      <c r="A97" s="206"/>
      <c r="B97" s="223"/>
      <c r="C97" s="223"/>
      <c r="D97" s="224"/>
      <c r="E97" s="223"/>
      <c r="F97" s="46"/>
      <c r="G97" s="46"/>
      <c r="H97" s="46"/>
      <c r="I97" s="142"/>
      <c r="J97" s="142"/>
      <c r="K97" s="142"/>
      <c r="L97" s="142"/>
      <c r="M97" s="142"/>
      <c r="N97" s="142"/>
      <c r="O97" s="69"/>
      <c r="P97" s="69"/>
      <c r="Q97" s="69"/>
      <c r="AW97" s="69"/>
    </row>
    <row r="98" spans="1:49" s="70" customFormat="1" x14ac:dyDescent="0.3">
      <c r="A98" s="206"/>
      <c r="B98" s="223"/>
      <c r="C98" s="223"/>
      <c r="D98" s="224"/>
      <c r="E98" s="223"/>
      <c r="F98" s="46"/>
      <c r="G98" s="46"/>
      <c r="H98" s="46"/>
      <c r="I98" s="11"/>
      <c r="J98" s="11"/>
      <c r="K98" s="63"/>
      <c r="L98" s="142"/>
      <c r="M98" s="142"/>
      <c r="N98" s="142"/>
      <c r="O98" s="69"/>
      <c r="P98" s="69"/>
      <c r="Q98" s="69"/>
      <c r="AW98" s="69"/>
    </row>
    <row r="99" spans="1:49" s="70" customFormat="1" x14ac:dyDescent="0.3">
      <c r="A99" s="206"/>
      <c r="B99" s="223"/>
      <c r="C99" s="223"/>
      <c r="D99" s="224"/>
      <c r="E99" s="223"/>
      <c r="F99" s="46"/>
      <c r="G99" s="46"/>
      <c r="H99" s="46"/>
      <c r="I99" s="142"/>
      <c r="J99" s="142"/>
      <c r="K99" s="142"/>
      <c r="L99" s="142"/>
      <c r="M99" s="142"/>
      <c r="N99" s="142"/>
      <c r="O99" s="69"/>
      <c r="P99" s="69"/>
      <c r="Q99" s="69"/>
      <c r="AW99" s="69"/>
    </row>
    <row r="100" spans="1:49" s="70" customFormat="1" x14ac:dyDescent="0.3">
      <c r="A100" s="206"/>
      <c r="B100" s="223"/>
      <c r="C100" s="223"/>
      <c r="D100" s="224"/>
      <c r="E100" s="223"/>
      <c r="F100" s="46"/>
      <c r="G100" s="46"/>
      <c r="H100" s="46"/>
      <c r="I100" s="11"/>
      <c r="J100" s="11"/>
      <c r="K100" s="63"/>
      <c r="L100" s="142"/>
      <c r="M100" s="142"/>
      <c r="N100" s="142"/>
      <c r="O100" s="144"/>
      <c r="P100" s="69"/>
      <c r="Q100" s="69"/>
      <c r="AW100" s="69"/>
    </row>
    <row r="101" spans="1:49" s="70" customFormat="1" x14ac:dyDescent="0.3">
      <c r="A101" s="148"/>
      <c r="B101" s="225"/>
      <c r="C101" s="225"/>
      <c r="D101" s="225"/>
      <c r="E101" s="225"/>
      <c r="F101" s="46"/>
      <c r="G101" s="46"/>
      <c r="H101" s="46"/>
      <c r="I101" s="142"/>
      <c r="J101" s="142"/>
      <c r="K101" s="142"/>
      <c r="L101" s="142"/>
      <c r="M101" s="142"/>
      <c r="N101" s="142"/>
      <c r="O101" s="144"/>
      <c r="P101" s="69"/>
      <c r="Q101" s="69"/>
      <c r="AW101" s="69"/>
    </row>
    <row r="102" spans="1:49" s="70" customFormat="1" x14ac:dyDescent="0.3">
      <c r="A102" s="69"/>
      <c r="B102" s="69"/>
      <c r="C102" s="69"/>
      <c r="D102" s="69"/>
      <c r="E102" s="69"/>
      <c r="F102" s="69"/>
      <c r="G102" s="69"/>
      <c r="H102" s="69"/>
      <c r="I102" s="142"/>
      <c r="J102" s="142"/>
      <c r="K102" s="142"/>
      <c r="L102" s="142"/>
      <c r="M102" s="142"/>
      <c r="N102" s="142"/>
      <c r="O102" s="144"/>
      <c r="P102" s="69"/>
      <c r="AW102" s="69"/>
    </row>
    <row r="103" spans="1:49" s="70" customFormat="1" x14ac:dyDescent="0.3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142"/>
      <c r="M103" s="142"/>
      <c r="N103" s="142"/>
      <c r="O103" s="144"/>
      <c r="P103" s="69"/>
      <c r="AW103" s="69"/>
    </row>
    <row r="104" spans="1:49" s="70" customFormat="1" x14ac:dyDescent="0.3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142"/>
      <c r="M104" s="142"/>
      <c r="N104" s="142"/>
      <c r="O104" s="144"/>
      <c r="P104" s="69"/>
      <c r="AW104" s="69"/>
    </row>
    <row r="105" spans="1:49" s="70" customFormat="1" x14ac:dyDescent="0.3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142"/>
      <c r="M105" s="142"/>
      <c r="N105" s="142"/>
      <c r="O105" s="144"/>
      <c r="P105" s="144"/>
      <c r="AW105" s="69"/>
    </row>
    <row r="106" spans="1:49" s="70" customFormat="1" x14ac:dyDescent="0.3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142"/>
      <c r="M106" s="142"/>
      <c r="N106" s="142"/>
      <c r="O106" s="144"/>
      <c r="P106" s="144"/>
      <c r="AW106" s="69"/>
    </row>
    <row r="107" spans="1:49" s="70" customFormat="1" x14ac:dyDescent="0.3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142"/>
      <c r="M107" s="142"/>
      <c r="N107" s="142"/>
      <c r="O107" s="144"/>
      <c r="P107" s="144"/>
      <c r="AW107" s="69"/>
    </row>
    <row r="108" spans="1:49" s="70" customFormat="1" x14ac:dyDescent="0.3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142"/>
      <c r="M108" s="142"/>
      <c r="N108" s="142"/>
      <c r="O108" s="144"/>
      <c r="P108" s="144"/>
      <c r="AW108" s="69"/>
    </row>
    <row r="109" spans="1:49" s="70" customFormat="1" x14ac:dyDescent="0.3">
      <c r="F109" s="69"/>
      <c r="G109" s="69"/>
      <c r="H109" s="69"/>
      <c r="I109" s="69"/>
      <c r="J109" s="69"/>
      <c r="K109" s="69"/>
      <c r="L109" s="142"/>
      <c r="M109" s="142"/>
      <c r="N109" s="142"/>
      <c r="O109" s="144"/>
      <c r="P109" s="144"/>
      <c r="AW109" s="69"/>
    </row>
    <row r="110" spans="1:49" s="70" customFormat="1" x14ac:dyDescent="0.3">
      <c r="I110" s="69"/>
      <c r="J110" s="69"/>
      <c r="K110" s="69"/>
      <c r="L110" s="142"/>
      <c r="M110" s="142"/>
      <c r="N110" s="142"/>
      <c r="O110" s="144"/>
      <c r="P110" s="144"/>
      <c r="AW110" s="69"/>
    </row>
    <row r="111" spans="1:49" s="70" customFormat="1" x14ac:dyDescent="0.3">
      <c r="L111" s="142"/>
      <c r="M111" s="142"/>
      <c r="N111" s="142"/>
      <c r="O111" s="144"/>
      <c r="P111" s="144"/>
      <c r="AW111" s="69"/>
    </row>
    <row r="112" spans="1:49" s="70" customFormat="1" x14ac:dyDescent="0.3">
      <c r="L112" s="142"/>
      <c r="M112" s="142"/>
      <c r="N112" s="142"/>
      <c r="O112" s="144"/>
      <c r="P112" s="144"/>
      <c r="AW112" s="69"/>
    </row>
    <row r="113" spans="12:49" s="70" customFormat="1" x14ac:dyDescent="0.3">
      <c r="L113" s="142"/>
      <c r="M113" s="142"/>
      <c r="N113" s="142"/>
      <c r="O113" s="144"/>
      <c r="P113" s="144"/>
      <c r="AW113" s="69"/>
    </row>
    <row r="114" spans="12:49" s="70" customFormat="1" x14ac:dyDescent="0.3">
      <c r="L114" s="142"/>
      <c r="M114" s="142"/>
      <c r="N114" s="142"/>
      <c r="O114" s="144"/>
      <c r="P114" s="144"/>
      <c r="AW114" s="69"/>
    </row>
    <row r="115" spans="12:49" s="70" customFormat="1" x14ac:dyDescent="0.3">
      <c r="L115" s="142"/>
      <c r="M115" s="142"/>
      <c r="N115" s="142"/>
      <c r="O115" s="144"/>
      <c r="P115" s="144"/>
      <c r="AW115" s="69"/>
    </row>
    <row r="116" spans="12:49" s="70" customFormat="1" x14ac:dyDescent="0.3">
      <c r="L116" s="142"/>
      <c r="M116" s="142"/>
      <c r="N116" s="142"/>
      <c r="O116" s="144"/>
      <c r="P116" s="144"/>
      <c r="AW116" s="69"/>
    </row>
    <row r="117" spans="12:49" s="70" customFormat="1" x14ac:dyDescent="0.3">
      <c r="L117" s="142"/>
      <c r="M117" s="142"/>
      <c r="N117" s="142"/>
      <c r="O117" s="144"/>
      <c r="P117" s="144"/>
      <c r="AW117" s="69"/>
    </row>
    <row r="118" spans="12:49" s="70" customFormat="1" x14ac:dyDescent="0.3">
      <c r="L118" s="142"/>
      <c r="M118" s="142"/>
      <c r="N118" s="142"/>
      <c r="O118" s="144"/>
      <c r="P118" s="144"/>
      <c r="AW118" s="69"/>
    </row>
    <row r="119" spans="12:49" s="70" customFormat="1" x14ac:dyDescent="0.3">
      <c r="L119" s="142"/>
      <c r="M119" s="142"/>
      <c r="N119" s="142"/>
      <c r="O119" s="144"/>
      <c r="P119" s="144"/>
      <c r="AW119" s="69"/>
    </row>
    <row r="120" spans="12:49" s="70" customFormat="1" x14ac:dyDescent="0.3">
      <c r="L120" s="142"/>
      <c r="M120" s="142"/>
      <c r="N120" s="142"/>
      <c r="O120" s="144"/>
      <c r="P120" s="144"/>
      <c r="AW120" s="69"/>
    </row>
    <row r="121" spans="12:49" s="70" customFormat="1" x14ac:dyDescent="0.3">
      <c r="L121" s="142"/>
      <c r="M121" s="142"/>
      <c r="N121" s="142"/>
      <c r="O121" s="144"/>
      <c r="P121" s="144"/>
      <c r="AW121" s="69"/>
    </row>
    <row r="122" spans="12:49" s="70" customFormat="1" x14ac:dyDescent="0.3">
      <c r="L122" s="142"/>
      <c r="M122" s="142"/>
      <c r="N122" s="142"/>
      <c r="O122" s="144"/>
      <c r="P122" s="144"/>
      <c r="AW122" s="69"/>
    </row>
    <row r="123" spans="12:49" s="70" customFormat="1" x14ac:dyDescent="0.3">
      <c r="L123" s="142"/>
      <c r="M123" s="142"/>
      <c r="N123" s="142"/>
      <c r="O123" s="144"/>
      <c r="P123" s="144"/>
      <c r="AW123" s="69"/>
    </row>
    <row r="124" spans="12:49" s="70" customFormat="1" x14ac:dyDescent="0.3">
      <c r="L124" s="142"/>
      <c r="M124" s="142"/>
      <c r="N124" s="142"/>
      <c r="O124" s="144"/>
      <c r="P124" s="144"/>
      <c r="AW124" s="69"/>
    </row>
    <row r="125" spans="12:49" s="70" customFormat="1" x14ac:dyDescent="0.3">
      <c r="L125" s="142"/>
      <c r="M125" s="142"/>
      <c r="N125" s="142"/>
      <c r="O125" s="144"/>
      <c r="P125" s="144"/>
      <c r="AW125" s="69"/>
    </row>
    <row r="126" spans="12:49" s="70" customFormat="1" x14ac:dyDescent="0.3">
      <c r="L126" s="142"/>
      <c r="M126" s="142"/>
      <c r="N126" s="142"/>
      <c r="O126" s="144"/>
      <c r="P126" s="144"/>
      <c r="AW126" s="69"/>
    </row>
    <row r="127" spans="12:49" s="70" customFormat="1" x14ac:dyDescent="0.3">
      <c r="L127" s="142"/>
      <c r="M127" s="142"/>
      <c r="N127" s="142"/>
      <c r="O127" s="144"/>
      <c r="P127" s="144"/>
      <c r="AW127" s="69"/>
    </row>
    <row r="128" spans="12:49" s="70" customFormat="1" x14ac:dyDescent="0.3">
      <c r="L128" s="142"/>
      <c r="M128" s="142"/>
      <c r="N128" s="142"/>
      <c r="O128" s="144"/>
      <c r="P128" s="144"/>
      <c r="AW128" s="69"/>
    </row>
    <row r="129" spans="12:49" s="70" customFormat="1" x14ac:dyDescent="0.3">
      <c r="L129" s="142"/>
      <c r="M129" s="142"/>
      <c r="N129" s="142"/>
      <c r="O129" s="144"/>
      <c r="P129" s="144"/>
      <c r="AW129" s="69"/>
    </row>
    <row r="130" spans="12:49" s="70" customFormat="1" x14ac:dyDescent="0.3">
      <c r="L130" s="142"/>
      <c r="M130" s="142"/>
      <c r="N130" s="142"/>
      <c r="O130" s="144"/>
      <c r="P130" s="144"/>
      <c r="AW130" s="69"/>
    </row>
    <row r="131" spans="12:49" s="70" customFormat="1" x14ac:dyDescent="0.3">
      <c r="L131" s="142"/>
      <c r="M131" s="142"/>
      <c r="N131" s="142"/>
      <c r="O131" s="144"/>
      <c r="P131" s="144"/>
      <c r="AW131" s="69"/>
    </row>
    <row r="132" spans="12:49" s="70" customFormat="1" x14ac:dyDescent="0.3">
      <c r="L132" s="142"/>
      <c r="M132" s="142"/>
      <c r="N132" s="142"/>
      <c r="O132" s="144"/>
      <c r="P132" s="144"/>
      <c r="AW132" s="69"/>
    </row>
    <row r="133" spans="12:49" s="70" customFormat="1" x14ac:dyDescent="0.3">
      <c r="L133" s="142"/>
      <c r="M133" s="142"/>
      <c r="N133" s="142"/>
      <c r="O133" s="144"/>
      <c r="P133" s="144"/>
      <c r="AW133" s="69"/>
    </row>
    <row r="134" spans="12:49" s="70" customFormat="1" x14ac:dyDescent="0.3">
      <c r="L134" s="142"/>
      <c r="M134" s="142"/>
      <c r="N134" s="142"/>
      <c r="O134" s="144"/>
      <c r="P134" s="144"/>
      <c r="AW134" s="69"/>
    </row>
    <row r="135" spans="12:49" s="70" customFormat="1" x14ac:dyDescent="0.3">
      <c r="L135" s="142"/>
      <c r="M135" s="142"/>
      <c r="N135" s="142"/>
      <c r="O135" s="144"/>
      <c r="P135" s="144"/>
      <c r="AW135" s="69"/>
    </row>
    <row r="136" spans="12:49" s="70" customFormat="1" x14ac:dyDescent="0.3">
      <c r="L136" s="142"/>
      <c r="M136" s="142"/>
      <c r="N136" s="142"/>
      <c r="O136" s="144"/>
      <c r="P136" s="144"/>
      <c r="AW136" s="69"/>
    </row>
    <row r="137" spans="12:49" s="70" customFormat="1" x14ac:dyDescent="0.3">
      <c r="L137" s="142"/>
      <c r="M137" s="142"/>
      <c r="N137" s="142"/>
      <c r="O137" s="144"/>
      <c r="P137" s="144"/>
      <c r="AW137" s="69"/>
    </row>
    <row r="138" spans="12:49" s="70" customFormat="1" x14ac:dyDescent="0.3">
      <c r="L138" s="142"/>
      <c r="M138" s="142"/>
      <c r="N138" s="142"/>
      <c r="O138" s="144"/>
      <c r="P138" s="144"/>
      <c r="AW138" s="69"/>
    </row>
    <row r="139" spans="12:49" s="70" customFormat="1" x14ac:dyDescent="0.3">
      <c r="L139" s="142"/>
      <c r="M139" s="142"/>
      <c r="N139" s="142"/>
      <c r="O139" s="144"/>
      <c r="P139" s="144"/>
      <c r="AW139" s="69"/>
    </row>
    <row r="140" spans="12:49" s="70" customFormat="1" x14ac:dyDescent="0.3">
      <c r="L140" s="142"/>
      <c r="M140" s="142"/>
      <c r="N140" s="142"/>
      <c r="O140" s="144"/>
      <c r="P140" s="144"/>
      <c r="AW140" s="69"/>
    </row>
    <row r="141" spans="12:49" s="70" customFormat="1" x14ac:dyDescent="0.3">
      <c r="L141" s="142"/>
      <c r="M141" s="142"/>
      <c r="N141" s="142"/>
      <c r="O141" s="144"/>
      <c r="P141" s="144"/>
      <c r="AW141" s="69"/>
    </row>
    <row r="142" spans="12:49" s="70" customFormat="1" x14ac:dyDescent="0.3">
      <c r="L142" s="142"/>
      <c r="M142" s="142"/>
      <c r="N142" s="142"/>
      <c r="O142" s="144"/>
      <c r="P142" s="144"/>
      <c r="AW142" s="69"/>
    </row>
    <row r="143" spans="12:49" s="70" customFormat="1" x14ac:dyDescent="0.3">
      <c r="L143" s="142"/>
      <c r="M143" s="142"/>
      <c r="N143" s="142"/>
      <c r="O143" s="144"/>
      <c r="P143" s="144"/>
      <c r="AW143" s="69"/>
    </row>
    <row r="144" spans="12:49" s="70" customFormat="1" x14ac:dyDescent="0.3">
      <c r="L144" s="142"/>
      <c r="M144" s="142"/>
      <c r="N144" s="142"/>
      <c r="O144" s="144"/>
      <c r="P144" s="144"/>
      <c r="AW144" s="69"/>
    </row>
    <row r="145" spans="12:49" s="70" customFormat="1" x14ac:dyDescent="0.3">
      <c r="L145" s="142"/>
      <c r="M145" s="142"/>
      <c r="N145" s="142"/>
      <c r="O145" s="144"/>
      <c r="P145" s="144"/>
      <c r="AW145" s="69"/>
    </row>
    <row r="146" spans="12:49" s="70" customFormat="1" x14ac:dyDescent="0.3">
      <c r="L146" s="142"/>
      <c r="M146" s="142"/>
      <c r="N146" s="142"/>
      <c r="O146" s="144"/>
      <c r="P146" s="144"/>
      <c r="AW146" s="69"/>
    </row>
    <row r="147" spans="12:49" s="70" customFormat="1" x14ac:dyDescent="0.3">
      <c r="L147" s="142"/>
      <c r="M147" s="142"/>
      <c r="N147" s="142"/>
      <c r="O147" s="144"/>
      <c r="P147" s="144"/>
      <c r="AW147" s="69"/>
    </row>
    <row r="148" spans="12:49" s="70" customFormat="1" x14ac:dyDescent="0.3">
      <c r="L148" s="142"/>
      <c r="M148" s="142"/>
      <c r="N148" s="142"/>
      <c r="O148" s="144"/>
      <c r="P148" s="144"/>
      <c r="AW148" s="69"/>
    </row>
    <row r="149" spans="12:49" s="70" customFormat="1" x14ac:dyDescent="0.3">
      <c r="L149" s="142"/>
      <c r="M149" s="142"/>
      <c r="N149" s="142"/>
      <c r="O149" s="144"/>
      <c r="P149" s="144"/>
      <c r="AW149" s="69"/>
    </row>
    <row r="150" spans="12:49" s="70" customFormat="1" x14ac:dyDescent="0.3">
      <c r="L150" s="142"/>
      <c r="M150" s="142"/>
      <c r="N150" s="142"/>
      <c r="O150" s="144"/>
      <c r="P150" s="144"/>
      <c r="AW150" s="69"/>
    </row>
    <row r="151" spans="12:49" s="70" customFormat="1" x14ac:dyDescent="0.3">
      <c r="L151" s="142"/>
      <c r="M151" s="142"/>
      <c r="N151" s="142"/>
      <c r="O151" s="144"/>
      <c r="P151" s="144"/>
      <c r="AW151" s="69"/>
    </row>
    <row r="152" spans="12:49" s="70" customFormat="1" x14ac:dyDescent="0.3">
      <c r="L152" s="142"/>
      <c r="M152" s="142"/>
      <c r="N152" s="142"/>
      <c r="O152" s="144"/>
      <c r="P152" s="144"/>
      <c r="AW152" s="69"/>
    </row>
    <row r="153" spans="12:49" s="70" customFormat="1" x14ac:dyDescent="0.3">
      <c r="L153" s="142"/>
      <c r="M153" s="142"/>
      <c r="N153" s="142"/>
      <c r="O153" s="144"/>
      <c r="P153" s="144"/>
      <c r="AW153" s="69"/>
    </row>
    <row r="154" spans="12:49" s="70" customFormat="1" x14ac:dyDescent="0.3">
      <c r="L154" s="142"/>
      <c r="M154" s="142"/>
      <c r="N154" s="142"/>
      <c r="O154" s="144"/>
      <c r="P154" s="144"/>
      <c r="AW154" s="69"/>
    </row>
    <row r="155" spans="12:49" s="70" customFormat="1" x14ac:dyDescent="0.3">
      <c r="L155" s="142"/>
      <c r="M155" s="142"/>
      <c r="N155" s="142"/>
      <c r="O155" s="144"/>
      <c r="P155" s="144"/>
      <c r="AW155" s="69"/>
    </row>
    <row r="156" spans="12:49" s="70" customFormat="1" x14ac:dyDescent="0.3">
      <c r="L156" s="142"/>
      <c r="M156" s="142"/>
      <c r="N156" s="142"/>
      <c r="O156" s="144"/>
      <c r="P156" s="144"/>
      <c r="AW156" s="69"/>
    </row>
    <row r="157" spans="12:49" s="70" customFormat="1" x14ac:dyDescent="0.3">
      <c r="L157" s="142"/>
      <c r="M157" s="142"/>
      <c r="N157" s="142"/>
      <c r="O157" s="144"/>
      <c r="P157" s="144"/>
      <c r="AW157" s="69"/>
    </row>
    <row r="158" spans="12:49" s="70" customFormat="1" x14ac:dyDescent="0.3">
      <c r="L158" s="142"/>
      <c r="M158" s="142"/>
      <c r="N158" s="142"/>
      <c r="O158" s="144"/>
      <c r="P158" s="144"/>
      <c r="AW158" s="69"/>
    </row>
    <row r="159" spans="12:49" s="70" customFormat="1" x14ac:dyDescent="0.3">
      <c r="L159" s="142"/>
      <c r="M159" s="142"/>
      <c r="N159" s="142"/>
      <c r="O159" s="144"/>
      <c r="P159" s="144"/>
      <c r="AW159" s="69"/>
    </row>
    <row r="160" spans="12:49" s="70" customFormat="1" x14ac:dyDescent="0.3">
      <c r="L160" s="142"/>
      <c r="M160" s="142"/>
      <c r="N160" s="142"/>
      <c r="O160" s="144"/>
      <c r="P160" s="144"/>
      <c r="AW160" s="69"/>
    </row>
    <row r="161" spans="1:50" s="70" customFormat="1" x14ac:dyDescent="0.3">
      <c r="L161" s="142"/>
      <c r="M161" s="142"/>
      <c r="N161" s="142"/>
      <c r="O161" s="144"/>
      <c r="P161" s="144"/>
      <c r="AW161" s="69"/>
    </row>
    <row r="162" spans="1:50" s="70" customFormat="1" x14ac:dyDescent="0.3">
      <c r="L162" s="142"/>
      <c r="M162" s="142"/>
      <c r="N162" s="142"/>
      <c r="O162" s="144"/>
      <c r="P162" s="144"/>
      <c r="AW162" s="69"/>
    </row>
    <row r="163" spans="1:50" s="70" customFormat="1" x14ac:dyDescent="0.3">
      <c r="L163" s="142"/>
      <c r="M163" s="142"/>
      <c r="N163" s="142"/>
      <c r="O163" s="144"/>
      <c r="P163" s="144"/>
      <c r="AW163" s="69"/>
    </row>
    <row r="164" spans="1:50" s="70" customFormat="1" x14ac:dyDescent="0.3">
      <c r="L164" s="142"/>
      <c r="M164" s="142"/>
      <c r="N164" s="142"/>
      <c r="O164" s="144"/>
      <c r="P164" s="144"/>
      <c r="AW164" s="69"/>
    </row>
    <row r="165" spans="1:50" s="70" customFormat="1" x14ac:dyDescent="0.3">
      <c r="L165" s="142"/>
      <c r="M165" s="142"/>
      <c r="N165" s="142"/>
      <c r="O165" s="144"/>
      <c r="P165" s="144"/>
      <c r="AW165" s="69"/>
    </row>
    <row r="166" spans="1:50" s="145" customFormat="1" x14ac:dyDescent="0.3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142"/>
      <c r="M166" s="142"/>
      <c r="N166" s="142"/>
      <c r="O166" s="144"/>
      <c r="P166" s="144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69"/>
      <c r="AX166" s="70"/>
    </row>
    <row r="167" spans="1:50" s="145" customFormat="1" x14ac:dyDescent="0.3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142"/>
      <c r="M167" s="142"/>
      <c r="N167" s="142"/>
      <c r="O167" s="144"/>
      <c r="P167" s="144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69"/>
      <c r="AX167" s="70"/>
    </row>
    <row r="168" spans="1:50" s="145" customFormat="1" x14ac:dyDescent="0.3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142"/>
      <c r="M168" s="142"/>
      <c r="N168" s="142"/>
      <c r="O168" s="144"/>
      <c r="P168" s="144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69"/>
      <c r="AX168" s="70"/>
    </row>
    <row r="169" spans="1:50" s="145" customFormat="1" x14ac:dyDescent="0.3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142"/>
      <c r="M169" s="142"/>
      <c r="N169" s="142"/>
      <c r="O169" s="144"/>
      <c r="P169" s="144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69"/>
      <c r="AX169" s="70"/>
    </row>
    <row r="170" spans="1:50" s="145" customFormat="1" x14ac:dyDescent="0.3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142"/>
      <c r="M170" s="142"/>
      <c r="N170" s="142"/>
      <c r="O170" s="144"/>
      <c r="P170" s="144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69"/>
      <c r="AX170" s="70"/>
    </row>
    <row r="171" spans="1:50" s="145" customFormat="1" x14ac:dyDescent="0.3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142"/>
      <c r="M171" s="142"/>
      <c r="N171" s="142"/>
      <c r="O171" s="144"/>
      <c r="P171" s="144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69"/>
      <c r="AX171" s="70"/>
    </row>
    <row r="172" spans="1:50" s="145" customFormat="1" x14ac:dyDescent="0.3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142"/>
      <c r="M172" s="142"/>
      <c r="N172" s="142"/>
      <c r="O172" s="144"/>
      <c r="P172" s="144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69"/>
      <c r="AX172" s="70"/>
    </row>
    <row r="173" spans="1:50" s="145" customFormat="1" x14ac:dyDescent="0.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142"/>
      <c r="M173" s="142"/>
      <c r="N173" s="142"/>
      <c r="O173" s="144"/>
      <c r="P173" s="144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69"/>
      <c r="AX173" s="70"/>
    </row>
    <row r="174" spans="1:50" s="145" customFormat="1" x14ac:dyDescent="0.3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142"/>
      <c r="M174" s="142"/>
      <c r="N174" s="142"/>
      <c r="O174" s="144"/>
      <c r="P174" s="144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69"/>
      <c r="AX174" s="70"/>
    </row>
    <row r="175" spans="1:50" s="145" customFormat="1" x14ac:dyDescent="0.3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142"/>
      <c r="M175" s="142"/>
      <c r="N175" s="142"/>
      <c r="O175" s="144"/>
      <c r="P175" s="144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69"/>
      <c r="AX175" s="70"/>
    </row>
    <row r="176" spans="1:50" s="145" customFormat="1" x14ac:dyDescent="0.3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142"/>
      <c r="M176" s="142"/>
      <c r="N176" s="142"/>
      <c r="O176" s="144"/>
      <c r="P176" s="144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69"/>
      <c r="AX176" s="70"/>
    </row>
    <row r="177" spans="1:50" s="145" customFormat="1" x14ac:dyDescent="0.3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142"/>
      <c r="M177" s="142"/>
      <c r="N177" s="142"/>
      <c r="O177" s="147"/>
      <c r="P177" s="144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69"/>
      <c r="AX177" s="70"/>
    </row>
    <row r="178" spans="1:50" s="145" customFormat="1" x14ac:dyDescent="0.3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146"/>
      <c r="M178" s="146"/>
      <c r="N178" s="146"/>
      <c r="O178" s="147"/>
      <c r="P178" s="144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69"/>
      <c r="AX178" s="70"/>
    </row>
    <row r="179" spans="1:50" s="145" customFormat="1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146"/>
      <c r="M179" s="146"/>
      <c r="N179" s="146"/>
      <c r="O179" s="147"/>
      <c r="P179" s="144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69"/>
      <c r="AX179" s="70"/>
    </row>
    <row r="180" spans="1:50" s="145" customFormat="1" x14ac:dyDescent="0.3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146"/>
      <c r="M180" s="146"/>
      <c r="N180" s="146"/>
      <c r="O180" s="147"/>
      <c r="P180" s="144"/>
      <c r="Q180" s="149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69"/>
      <c r="AX180" s="70"/>
    </row>
    <row r="181" spans="1:50" s="145" customFormat="1" x14ac:dyDescent="0.3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146"/>
      <c r="M181" s="146"/>
      <c r="N181" s="146"/>
      <c r="O181" s="147"/>
      <c r="P181" s="144"/>
      <c r="Q181" s="149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69"/>
      <c r="AX181" s="70"/>
    </row>
    <row r="182" spans="1:50" s="145" customFormat="1" x14ac:dyDescent="0.3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146"/>
      <c r="M182" s="146"/>
      <c r="N182" s="146"/>
      <c r="O182" s="147"/>
      <c r="P182" s="147"/>
      <c r="Q182" s="149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69"/>
      <c r="AX182" s="70"/>
    </row>
    <row r="183" spans="1:50" x14ac:dyDescent="0.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146"/>
      <c r="M183" s="146"/>
      <c r="N183" s="146"/>
      <c r="O183" s="147"/>
      <c r="P183" s="147"/>
      <c r="Q183" s="149"/>
      <c r="AW183" s="148"/>
      <c r="AX183" s="148"/>
    </row>
    <row r="184" spans="1:50" x14ac:dyDescent="0.3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146"/>
      <c r="M184" s="146"/>
      <c r="N184" s="146"/>
      <c r="O184" s="147"/>
      <c r="P184" s="147"/>
      <c r="Q184" s="149"/>
      <c r="AW184" s="148"/>
      <c r="AX184" s="148"/>
    </row>
    <row r="185" spans="1:50" x14ac:dyDescent="0.3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146"/>
      <c r="M185" s="146"/>
      <c r="N185" s="146"/>
      <c r="O185" s="147"/>
      <c r="P185" s="147"/>
      <c r="Q185" s="149"/>
      <c r="AW185" s="148"/>
      <c r="AX185" s="148"/>
    </row>
    <row r="186" spans="1:50" x14ac:dyDescent="0.3">
      <c r="A186" s="149"/>
      <c r="B186" s="149"/>
      <c r="C186" s="149"/>
      <c r="D186" s="149"/>
      <c r="E186" s="149"/>
      <c r="F186" s="70"/>
      <c r="G186" s="70"/>
      <c r="H186" s="70"/>
      <c r="I186" s="70"/>
      <c r="J186" s="70"/>
      <c r="K186" s="70"/>
      <c r="L186" s="146"/>
      <c r="M186" s="146"/>
      <c r="N186" s="146"/>
      <c r="O186" s="147"/>
      <c r="P186" s="147"/>
      <c r="Q186" s="149"/>
      <c r="AW186" s="148"/>
      <c r="AX186" s="148"/>
    </row>
    <row r="187" spans="1:50" x14ac:dyDescent="0.3">
      <c r="A187" s="149"/>
      <c r="B187" s="149"/>
      <c r="C187" s="149"/>
      <c r="D187" s="149"/>
      <c r="E187" s="149"/>
      <c r="F187" s="149"/>
      <c r="G187" s="149"/>
      <c r="H187" s="149"/>
      <c r="I187" s="70"/>
      <c r="J187" s="70"/>
      <c r="K187" s="70"/>
      <c r="L187" s="146"/>
      <c r="M187" s="146"/>
      <c r="N187" s="146"/>
      <c r="O187" s="147"/>
      <c r="P187" s="147"/>
      <c r="Q187" s="149"/>
      <c r="AW187" s="148"/>
      <c r="AX187" s="148"/>
    </row>
    <row r="188" spans="1:50" x14ac:dyDescent="0.3">
      <c r="A188" s="149"/>
      <c r="B188" s="149"/>
      <c r="C188" s="149"/>
      <c r="D188" s="149"/>
      <c r="E188" s="149"/>
      <c r="F188" s="149"/>
      <c r="G188" s="149"/>
      <c r="H188" s="149"/>
      <c r="I188" s="149"/>
      <c r="J188" s="149"/>
      <c r="K188" s="149"/>
      <c r="L188" s="146"/>
      <c r="M188" s="146"/>
      <c r="N188" s="146"/>
      <c r="O188" s="147"/>
      <c r="P188" s="147"/>
      <c r="Q188" s="149"/>
      <c r="AW188" s="148"/>
      <c r="AX188" s="148"/>
    </row>
    <row r="189" spans="1:50" x14ac:dyDescent="0.3">
      <c r="A189" s="149"/>
      <c r="B189" s="149"/>
      <c r="C189" s="149"/>
      <c r="D189" s="149"/>
      <c r="E189" s="149"/>
      <c r="F189" s="149"/>
      <c r="G189" s="149"/>
      <c r="H189" s="149"/>
      <c r="I189" s="149"/>
      <c r="J189" s="149"/>
      <c r="K189" s="149"/>
      <c r="L189" s="146"/>
      <c r="M189" s="146"/>
      <c r="N189" s="146"/>
      <c r="O189" s="147"/>
      <c r="P189" s="147"/>
      <c r="Q189" s="149"/>
      <c r="AW189" s="148"/>
      <c r="AX189" s="148"/>
    </row>
    <row r="190" spans="1:50" x14ac:dyDescent="0.3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6"/>
      <c r="M190" s="146"/>
      <c r="N190" s="146"/>
      <c r="O190" s="147"/>
      <c r="P190" s="147"/>
      <c r="Q190" s="149"/>
      <c r="AW190" s="148"/>
      <c r="AX190" s="148"/>
    </row>
    <row r="191" spans="1:50" x14ac:dyDescent="0.3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6"/>
      <c r="M191" s="146"/>
      <c r="N191" s="146"/>
      <c r="O191" s="147"/>
      <c r="P191" s="147"/>
      <c r="Q191" s="149"/>
      <c r="AW191" s="148"/>
      <c r="AX191" s="148"/>
    </row>
    <row r="192" spans="1:50" x14ac:dyDescent="0.3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6"/>
      <c r="M192" s="146"/>
      <c r="N192" s="146"/>
      <c r="O192" s="147"/>
      <c r="P192" s="147"/>
      <c r="AW192" s="148"/>
      <c r="AX192" s="148"/>
    </row>
    <row r="193" spans="1:50" x14ac:dyDescent="0.3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6"/>
      <c r="M193" s="146"/>
      <c r="N193" s="146"/>
      <c r="O193" s="147"/>
      <c r="P193" s="147"/>
      <c r="AW193" s="148"/>
      <c r="AX193" s="148"/>
    </row>
    <row r="194" spans="1:50" x14ac:dyDescent="0.3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6"/>
      <c r="M194" s="146"/>
      <c r="N194" s="146"/>
      <c r="P194" s="147"/>
      <c r="AW194" s="148"/>
      <c r="AX194" s="148"/>
    </row>
    <row r="195" spans="1:50" x14ac:dyDescent="0.3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P195" s="147"/>
    </row>
    <row r="196" spans="1:50" x14ac:dyDescent="0.3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P196" s="147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69"/>
      <c r="AO196" s="69"/>
      <c r="AP196" s="69"/>
      <c r="AQ196" s="69"/>
      <c r="AR196" s="69"/>
      <c r="AS196" s="69"/>
      <c r="AT196" s="69"/>
      <c r="AU196" s="69"/>
      <c r="AV196" s="69"/>
      <c r="AW196" s="148"/>
      <c r="AX196" s="148"/>
    </row>
    <row r="197" spans="1:50" x14ac:dyDescent="0.3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P197" s="147"/>
    </row>
    <row r="198" spans="1:50" x14ac:dyDescent="0.3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O198" s="148"/>
      <c r="P198" s="147"/>
    </row>
    <row r="199" spans="1:50" x14ac:dyDescent="0.3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</row>
    <row r="200" spans="1:50" x14ac:dyDescent="0.3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</row>
    <row r="201" spans="1:50" x14ac:dyDescent="0.3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</row>
    <row r="202" spans="1:50" x14ac:dyDescent="0.3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</row>
    <row r="203" spans="1:50" x14ac:dyDescent="0.3">
      <c r="F203" s="149"/>
      <c r="G203" s="149"/>
      <c r="H203" s="149"/>
      <c r="I203" s="149"/>
      <c r="J203" s="149"/>
      <c r="K203" s="149"/>
    </row>
    <row r="204" spans="1:50" x14ac:dyDescent="0.3">
      <c r="I204" s="149"/>
      <c r="J204" s="149"/>
      <c r="K204" s="149"/>
    </row>
    <row r="208" spans="1:50" x14ac:dyDescent="0.3">
      <c r="L208" s="148"/>
      <c r="M208" s="148"/>
      <c r="N208" s="148"/>
    </row>
    <row r="1048536" spans="1:61" x14ac:dyDescent="0.3">
      <c r="Q1048536" s="57"/>
    </row>
    <row r="1048540" spans="1:61" s="70" customFormat="1" x14ac:dyDescent="0.3">
      <c r="A1048540" s="148"/>
      <c r="B1048540" s="148"/>
      <c r="C1048540" s="148"/>
      <c r="D1048540" s="148"/>
      <c r="E1048540" s="148"/>
      <c r="F1048540" s="148"/>
      <c r="G1048540" s="148"/>
      <c r="H1048540" s="148"/>
      <c r="I1048540" s="148"/>
      <c r="J1048540" s="148"/>
      <c r="K1048540" s="148"/>
      <c r="L1048540" s="150"/>
      <c r="M1048540" s="150"/>
      <c r="N1048540" s="150"/>
      <c r="O1048540" s="150"/>
      <c r="P1048540" s="150"/>
      <c r="Q1048540" s="148"/>
      <c r="AW1048540" s="69"/>
      <c r="AX1048540" s="69"/>
      <c r="AY1048540" s="148"/>
      <c r="AZ1048540" s="148"/>
      <c r="BA1048540" s="148"/>
      <c r="BB1048540" s="148"/>
      <c r="BC1048540" s="148"/>
      <c r="BD1048540" s="148"/>
      <c r="BE1048540" s="148"/>
      <c r="BF1048540" s="148"/>
      <c r="BG1048540" s="148"/>
      <c r="BH1048540" s="148"/>
      <c r="BI1048540" s="148"/>
    </row>
  </sheetData>
  <mergeCells count="41">
    <mergeCell ref="O74:P74"/>
    <mergeCell ref="O61:P61"/>
    <mergeCell ref="O62:P62"/>
    <mergeCell ref="O63:P63"/>
    <mergeCell ref="O64:P64"/>
    <mergeCell ref="O65:P65"/>
    <mergeCell ref="O66:P66"/>
    <mergeCell ref="O69:P69"/>
    <mergeCell ref="O70:P70"/>
    <mergeCell ref="O71:P71"/>
    <mergeCell ref="O72:P72"/>
    <mergeCell ref="O73:Q73"/>
    <mergeCell ref="O59:P59"/>
    <mergeCell ref="O60:P60"/>
    <mergeCell ref="O56:P56"/>
    <mergeCell ref="O57:P57"/>
    <mergeCell ref="O58:P58"/>
    <mergeCell ref="O55:P55"/>
    <mergeCell ref="E43:K43"/>
    <mergeCell ref="E44:K44"/>
    <mergeCell ref="E45:K45"/>
    <mergeCell ref="E46:K46"/>
    <mergeCell ref="A47:K47"/>
    <mergeCell ref="A49:E49"/>
    <mergeCell ref="O49:Q49"/>
    <mergeCell ref="O50:P50"/>
    <mergeCell ref="O51:P51"/>
    <mergeCell ref="O52:Q53"/>
    <mergeCell ref="O54:Q54"/>
    <mergeCell ref="A42:Q42"/>
    <mergeCell ref="A1:Q1"/>
    <mergeCell ref="A2:Q2"/>
    <mergeCell ref="A6:B6"/>
    <mergeCell ref="A7:Q7"/>
    <mergeCell ref="A36:B36"/>
    <mergeCell ref="A37:Q37"/>
    <mergeCell ref="E38:K38"/>
    <mergeCell ref="E39:K39"/>
    <mergeCell ref="A40:K40"/>
    <mergeCell ref="O40:Q40"/>
    <mergeCell ref="A41:O41"/>
  </mergeCells>
  <pageMargins left="0" right="0" top="0" bottom="0" header="0.31496062992125984" footer="0.31496062992125984"/>
  <pageSetup paperSize="9" scale="1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68982-8967-4199-8B52-563B7DB48949}">
  <sheetPr>
    <pageSetUpPr fitToPage="1"/>
  </sheetPr>
  <dimension ref="A1:BI1048543"/>
  <sheetViews>
    <sheetView topLeftCell="A18" zoomScale="70" zoomScaleNormal="70" workbookViewId="0">
      <selection activeCell="A18" sqref="A18:XFD18"/>
    </sheetView>
  </sheetViews>
  <sheetFormatPr defaultColWidth="9.109375" defaultRowHeight="13.8" x14ac:dyDescent="0.3"/>
  <cols>
    <col min="1" max="1" width="50.6640625" style="148" bestFit="1" customWidth="1"/>
    <col min="2" max="2" width="8.33203125" style="148" bestFit="1" customWidth="1"/>
    <col min="3" max="4" width="19" style="148" customWidth="1"/>
    <col min="5" max="5" width="17.109375" style="148" customWidth="1"/>
    <col min="6" max="6" width="19" style="148" bestFit="1" customWidth="1"/>
    <col min="7" max="7" width="16" style="148" customWidth="1"/>
    <col min="8" max="8" width="16.6640625" style="148" bestFit="1" customWidth="1"/>
    <col min="9" max="10" width="14.109375" style="148" bestFit="1" customWidth="1"/>
    <col min="11" max="11" width="15.109375" style="148" bestFit="1" customWidth="1"/>
    <col min="12" max="12" width="18.44140625" style="150" bestFit="1" customWidth="1"/>
    <col min="13" max="13" width="17.5546875" style="150" bestFit="1" customWidth="1"/>
    <col min="14" max="14" width="19" style="150" bestFit="1" customWidth="1"/>
    <col min="15" max="15" width="109.109375" style="150" bestFit="1" customWidth="1"/>
    <col min="16" max="16" width="12" style="150" customWidth="1"/>
    <col min="17" max="17" width="18.109375" style="148" bestFit="1" customWidth="1"/>
    <col min="18" max="19" width="13.109375" style="70" bestFit="1" customWidth="1"/>
    <col min="20" max="48" width="9.109375" style="70"/>
    <col min="49" max="50" width="9.109375" style="69"/>
    <col min="51" max="16384" width="9.109375" style="148"/>
  </cols>
  <sheetData>
    <row r="1" spans="1:48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</row>
    <row r="2" spans="1:48" s="10" customFormat="1" ht="28.5" customHeight="1" x14ac:dyDescent="0.3">
      <c r="A2" s="571" t="s">
        <v>997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3"/>
    </row>
    <row r="3" spans="1:48" s="10" customFormat="1" ht="27.6" x14ac:dyDescent="0.3">
      <c r="A3" s="83" t="s">
        <v>3</v>
      </c>
      <c r="B3" s="83" t="s">
        <v>0</v>
      </c>
      <c r="C3" s="83" t="s">
        <v>821</v>
      </c>
      <c r="D3" s="84" t="s">
        <v>1</v>
      </c>
      <c r="E3" s="84" t="s">
        <v>68</v>
      </c>
      <c r="F3" s="84" t="s">
        <v>69</v>
      </c>
      <c r="G3" s="85" t="s">
        <v>2</v>
      </c>
      <c r="H3" s="85" t="s">
        <v>592</v>
      </c>
      <c r="I3" s="84" t="s">
        <v>6</v>
      </c>
      <c r="J3" s="84" t="s">
        <v>764</v>
      </c>
      <c r="K3" s="84" t="s">
        <v>7</v>
      </c>
      <c r="L3" s="84" t="s">
        <v>4</v>
      </c>
      <c r="M3" s="84" t="s">
        <v>5</v>
      </c>
      <c r="N3" s="84" t="s">
        <v>70</v>
      </c>
      <c r="O3" s="83" t="s">
        <v>59</v>
      </c>
      <c r="P3" s="86" t="s">
        <v>8</v>
      </c>
      <c r="Q3" s="86" t="s">
        <v>10</v>
      </c>
    </row>
    <row r="4" spans="1:48" s="148" customFormat="1" ht="15.6" customHeight="1" x14ac:dyDescent="0.3">
      <c r="A4" s="194"/>
      <c r="B4" s="194"/>
      <c r="C4" s="194"/>
      <c r="D4" s="192">
        <v>0</v>
      </c>
      <c r="E4" s="192">
        <v>0</v>
      </c>
      <c r="F4" s="196">
        <f t="shared" ref="F4" si="0">D4-E4</f>
        <v>0</v>
      </c>
      <c r="G4" s="192">
        <v>0</v>
      </c>
      <c r="H4" s="192">
        <v>0</v>
      </c>
      <c r="I4" s="192">
        <v>0</v>
      </c>
      <c r="J4" s="192">
        <v>0</v>
      </c>
      <c r="K4" s="192">
        <v>0</v>
      </c>
      <c r="L4" s="191">
        <f>SUM(F4:K4)</f>
        <v>0</v>
      </c>
      <c r="M4" s="192">
        <f>60%*(D4+G4)</f>
        <v>0</v>
      </c>
      <c r="N4" s="192">
        <f>L4-M4</f>
        <v>0</v>
      </c>
      <c r="O4" s="196"/>
      <c r="P4" s="197"/>
      <c r="Q4" s="194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208"/>
      <c r="AC4" s="208"/>
      <c r="AD4" s="208"/>
      <c r="AE4" s="208"/>
      <c r="AF4" s="208"/>
      <c r="AG4" s="208"/>
      <c r="AH4" s="208"/>
      <c r="AI4" s="208"/>
      <c r="AJ4" s="208"/>
      <c r="AK4" s="208"/>
      <c r="AL4" s="208"/>
      <c r="AM4" s="208"/>
      <c r="AN4" s="208"/>
      <c r="AO4" s="208"/>
      <c r="AP4" s="208"/>
      <c r="AQ4" s="208"/>
      <c r="AR4" s="208"/>
      <c r="AS4" s="208"/>
      <c r="AT4" s="208"/>
      <c r="AU4" s="208"/>
      <c r="AV4" s="208"/>
    </row>
    <row r="5" spans="1:48" s="148" customFormat="1" ht="15.6" customHeight="1" x14ac:dyDescent="0.3">
      <c r="A5" s="194"/>
      <c r="B5" s="194"/>
      <c r="C5" s="194"/>
      <c r="D5" s="192">
        <v>0</v>
      </c>
      <c r="E5" s="192">
        <v>0</v>
      </c>
      <c r="F5" s="196">
        <f t="shared" ref="F5" si="1">D5-E5</f>
        <v>0</v>
      </c>
      <c r="G5" s="192">
        <v>0</v>
      </c>
      <c r="H5" s="192">
        <v>0</v>
      </c>
      <c r="I5" s="192">
        <v>0</v>
      </c>
      <c r="J5" s="192">
        <v>0</v>
      </c>
      <c r="K5" s="192">
        <v>0</v>
      </c>
      <c r="L5" s="191">
        <f>SUM(F5:K5)</f>
        <v>0</v>
      </c>
      <c r="M5" s="192">
        <f>60%*(D5+G5)</f>
        <v>0</v>
      </c>
      <c r="N5" s="192">
        <f>L5-M5</f>
        <v>0</v>
      </c>
      <c r="O5" s="196"/>
      <c r="P5" s="197"/>
      <c r="Q5" s="194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</row>
    <row r="6" spans="1:48" s="10" customFormat="1" x14ac:dyDescent="0.3">
      <c r="A6" s="518" t="s">
        <v>4</v>
      </c>
      <c r="B6" s="518"/>
      <c r="C6" s="95"/>
      <c r="D6" s="109">
        <f>SUM(D4:D5)</f>
        <v>0</v>
      </c>
      <c r="E6" s="109">
        <f t="shared" ref="E6:N6" si="2">SUM(E4:E5)</f>
        <v>0</v>
      </c>
      <c r="F6" s="109">
        <f t="shared" si="2"/>
        <v>0</v>
      </c>
      <c r="G6" s="109">
        <f t="shared" si="2"/>
        <v>0</v>
      </c>
      <c r="H6" s="109">
        <f t="shared" si="2"/>
        <v>0</v>
      </c>
      <c r="I6" s="109">
        <f t="shared" si="2"/>
        <v>0</v>
      </c>
      <c r="J6" s="109">
        <f t="shared" si="2"/>
        <v>0</v>
      </c>
      <c r="K6" s="109">
        <f t="shared" si="2"/>
        <v>0</v>
      </c>
      <c r="L6" s="109">
        <f>SUM(L4:L5)</f>
        <v>0</v>
      </c>
      <c r="M6" s="109">
        <f t="shared" si="2"/>
        <v>0</v>
      </c>
      <c r="N6" s="109">
        <f t="shared" si="2"/>
        <v>0</v>
      </c>
      <c r="O6" s="90"/>
      <c r="P6" s="3"/>
      <c r="Q6" s="3"/>
    </row>
    <row r="7" spans="1:48" s="10" customFormat="1" ht="28.5" customHeight="1" x14ac:dyDescent="0.3">
      <c r="A7" s="571" t="s">
        <v>998</v>
      </c>
      <c r="B7" s="572"/>
      <c r="C7" s="572"/>
      <c r="D7" s="572"/>
      <c r="E7" s="572"/>
      <c r="F7" s="572"/>
      <c r="G7" s="572"/>
      <c r="H7" s="572"/>
      <c r="I7" s="572"/>
      <c r="J7" s="572"/>
      <c r="K7" s="572"/>
      <c r="L7" s="572"/>
      <c r="M7" s="572"/>
      <c r="N7" s="572"/>
      <c r="O7" s="572"/>
      <c r="P7" s="572"/>
      <c r="Q7" s="573"/>
    </row>
    <row r="8" spans="1:48" s="11" customFormat="1" ht="34.5" customHeight="1" x14ac:dyDescent="0.3">
      <c r="A8" s="83" t="s">
        <v>3</v>
      </c>
      <c r="B8" s="83" t="s">
        <v>0</v>
      </c>
      <c r="C8" s="83" t="s">
        <v>821</v>
      </c>
      <c r="D8" s="84" t="s">
        <v>1</v>
      </c>
      <c r="E8" s="84" t="s">
        <v>68</v>
      </c>
      <c r="F8" s="84" t="s">
        <v>69</v>
      </c>
      <c r="G8" s="85" t="s">
        <v>2</v>
      </c>
      <c r="H8" s="85" t="s">
        <v>592</v>
      </c>
      <c r="I8" s="84" t="s">
        <v>6</v>
      </c>
      <c r="J8" s="84" t="s">
        <v>764</v>
      </c>
      <c r="K8" s="84" t="s">
        <v>7</v>
      </c>
      <c r="L8" s="84" t="s">
        <v>4</v>
      </c>
      <c r="M8" s="84" t="s">
        <v>5</v>
      </c>
      <c r="N8" s="84" t="s">
        <v>70</v>
      </c>
      <c r="O8" s="83" t="s">
        <v>59</v>
      </c>
      <c r="P8" s="86" t="s">
        <v>8</v>
      </c>
      <c r="Q8" s="86" t="s">
        <v>10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</row>
    <row r="9" spans="1:48" s="199" customFormat="1" ht="16.8" customHeight="1" x14ac:dyDescent="0.3">
      <c r="A9" s="195" t="s">
        <v>766</v>
      </c>
      <c r="B9" s="193">
        <v>1</v>
      </c>
      <c r="C9" s="209" t="s">
        <v>822</v>
      </c>
      <c r="D9" s="196">
        <f>(550+(2.45026%*550))/31*5</f>
        <v>90.883295161290334</v>
      </c>
      <c r="E9" s="192">
        <v>0</v>
      </c>
      <c r="F9" s="192">
        <f t="shared" ref="F9:F25" si="3">D9-E9</f>
        <v>90.883295161290334</v>
      </c>
      <c r="G9" s="196">
        <f>50/31*5</f>
        <v>8.064516129032258</v>
      </c>
      <c r="H9" s="192">
        <f>(1541.7/27)/31*5</f>
        <v>9.2096774193548399</v>
      </c>
      <c r="I9" s="192">
        <f>'GERAL 2024'!I3/31*5</f>
        <v>0.21137420880042701</v>
      </c>
      <c r="J9" s="192">
        <f>'GERAL 2024'!K3/31*5</f>
        <v>0.12877011362769769</v>
      </c>
      <c r="K9" s="192">
        <v>0</v>
      </c>
      <c r="L9" s="191">
        <f t="shared" ref="L9:L36" si="4">SUM(F9:K9)</f>
        <v>108.49763303210555</v>
      </c>
      <c r="M9" s="192">
        <f>7%*L9</f>
        <v>7.5948343122473894</v>
      </c>
      <c r="N9" s="192">
        <f>L9-M9</f>
        <v>100.90279871985817</v>
      </c>
      <c r="O9" s="196" t="s">
        <v>1010</v>
      </c>
      <c r="P9" s="197">
        <v>10</v>
      </c>
      <c r="Q9" s="197">
        <v>11</v>
      </c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  <c r="AQ9" s="198"/>
    </row>
    <row r="10" spans="1:48" s="203" customFormat="1" x14ac:dyDescent="0.3">
      <c r="A10" s="209" t="s">
        <v>1004</v>
      </c>
      <c r="B10" s="194">
        <v>2</v>
      </c>
      <c r="C10" s="209" t="s">
        <v>822</v>
      </c>
      <c r="D10" s="196">
        <f>'GERAL 2024'!G41/31*27</f>
        <v>531.29032258064512</v>
      </c>
      <c r="E10" s="196">
        <v>0</v>
      </c>
      <c r="F10" s="196">
        <f t="shared" si="3"/>
        <v>531.29032258064512</v>
      </c>
      <c r="G10" s="196">
        <v>0</v>
      </c>
      <c r="H10" s="192">
        <f>(1541.7/27)/31*27</f>
        <v>49.732258064516131</v>
      </c>
      <c r="I10" s="192">
        <f>'GERAL 2024'!I41/31*27</f>
        <v>1.1414207275223058</v>
      </c>
      <c r="J10" s="192">
        <f>'GERAL 2024'!K41/31*27</f>
        <v>0.69535861358956752</v>
      </c>
      <c r="K10" s="196">
        <v>126.81</v>
      </c>
      <c r="L10" s="191">
        <f t="shared" si="4"/>
        <v>709.66935998627309</v>
      </c>
      <c r="M10" s="192">
        <f>7%*L10</f>
        <v>49.676855199039124</v>
      </c>
      <c r="N10" s="192">
        <f t="shared" ref="N10:N35" si="5">L10-M10</f>
        <v>659.992504787234</v>
      </c>
      <c r="O10" s="193" t="s">
        <v>1006</v>
      </c>
      <c r="P10" s="197">
        <v>10</v>
      </c>
      <c r="Q10" s="197">
        <v>11</v>
      </c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0"/>
      <c r="AM10" s="201"/>
      <c r="AN10" s="202"/>
      <c r="AO10" s="202"/>
      <c r="AP10" s="202"/>
      <c r="AQ10" s="202"/>
    </row>
    <row r="11" spans="1:48" s="204" customFormat="1" x14ac:dyDescent="0.3">
      <c r="A11" s="209" t="s">
        <v>1005</v>
      </c>
      <c r="B11" s="194">
        <v>3</v>
      </c>
      <c r="C11" s="209" t="s">
        <v>822</v>
      </c>
      <c r="D11" s="196">
        <f>'GERAL 2024'!G42/31*12</f>
        <v>236.12903225806451</v>
      </c>
      <c r="E11" s="196">
        <v>0</v>
      </c>
      <c r="F11" s="196">
        <f t="shared" si="3"/>
        <v>236.12903225806451</v>
      </c>
      <c r="G11" s="196">
        <v>0</v>
      </c>
      <c r="H11" s="192">
        <f>(1541.7/27)/31*12</f>
        <v>22.103225806451615</v>
      </c>
      <c r="I11" s="192">
        <f>'GERAL 2024'!I42/31*12</f>
        <v>0.50729810112102491</v>
      </c>
      <c r="J11" s="192">
        <f>'GERAL 2024'!K42/31*12</f>
        <v>0.3090482727064745</v>
      </c>
      <c r="K11" s="196">
        <v>126.81</v>
      </c>
      <c r="L11" s="191">
        <f t="shared" si="4"/>
        <v>385.85860443834366</v>
      </c>
      <c r="M11" s="192">
        <f t="shared" ref="M11:M36" si="6">7%*L11</f>
        <v>27.010102310684058</v>
      </c>
      <c r="N11" s="192">
        <f t="shared" si="5"/>
        <v>358.84850212765963</v>
      </c>
      <c r="O11" s="193" t="s">
        <v>1008</v>
      </c>
      <c r="P11" s="197">
        <v>10</v>
      </c>
      <c r="Q11" s="197">
        <v>11</v>
      </c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  <c r="AQ11" s="200"/>
    </row>
    <row r="12" spans="1:48" s="199" customFormat="1" ht="15" customHeight="1" x14ac:dyDescent="0.3">
      <c r="A12" s="193" t="s">
        <v>842</v>
      </c>
      <c r="B12" s="193">
        <v>4</v>
      </c>
      <c r="C12" s="193" t="s">
        <v>832</v>
      </c>
      <c r="D12" s="196">
        <f>'GERAL 2023'!G40</f>
        <v>610</v>
      </c>
      <c r="E12" s="196">
        <v>0</v>
      </c>
      <c r="F12" s="196">
        <f t="shared" si="3"/>
        <v>610</v>
      </c>
      <c r="G12" s="192">
        <v>50</v>
      </c>
      <c r="H12" s="192">
        <f t="shared" ref="H12:H36" si="7">(1541.7/27)</f>
        <v>57.1</v>
      </c>
      <c r="I12" s="192">
        <f>'GERAL 2024'!I6</f>
        <v>1.3105200945626476</v>
      </c>
      <c r="J12" s="192">
        <f>'GERAL 2024'!K6</f>
        <v>0.79837470449172576</v>
      </c>
      <c r="K12" s="192">
        <v>0</v>
      </c>
      <c r="L12" s="191">
        <f t="shared" si="4"/>
        <v>719.20889479905441</v>
      </c>
      <c r="M12" s="192">
        <f>7%*L12</f>
        <v>50.34462263593381</v>
      </c>
      <c r="N12" s="192">
        <f t="shared" si="5"/>
        <v>668.86427216312063</v>
      </c>
      <c r="O12" s="193" t="s">
        <v>1001</v>
      </c>
      <c r="P12" s="197">
        <v>10</v>
      </c>
      <c r="Q12" s="194">
        <v>11</v>
      </c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</row>
    <row r="13" spans="1:48" s="199" customFormat="1" x14ac:dyDescent="0.3">
      <c r="A13" s="193" t="s">
        <v>744</v>
      </c>
      <c r="B13" s="193">
        <v>5</v>
      </c>
      <c r="C13" s="193" t="s">
        <v>823</v>
      </c>
      <c r="D13" s="196">
        <f>'GERAL 2023'!G7</f>
        <v>580</v>
      </c>
      <c r="E13" s="192">
        <v>0</v>
      </c>
      <c r="F13" s="192">
        <f t="shared" si="3"/>
        <v>580</v>
      </c>
      <c r="G13" s="192">
        <f>50</f>
        <v>50</v>
      </c>
      <c r="H13" s="192">
        <f t="shared" si="7"/>
        <v>57.1</v>
      </c>
      <c r="I13" s="192">
        <f>'GERAL 2024'!I7</f>
        <v>1.3105200945626476</v>
      </c>
      <c r="J13" s="192">
        <f>'GERAL 2024'!K7</f>
        <v>0.79837470449172576</v>
      </c>
      <c r="K13" s="192">
        <v>0</v>
      </c>
      <c r="L13" s="191">
        <f t="shared" si="4"/>
        <v>689.20889479905441</v>
      </c>
      <c r="M13" s="192">
        <f>7%*L13</f>
        <v>48.244622635933816</v>
      </c>
      <c r="N13" s="192">
        <f t="shared" si="5"/>
        <v>640.96427216312054</v>
      </c>
      <c r="O13" s="193" t="s">
        <v>1001</v>
      </c>
      <c r="P13" s="197">
        <v>10</v>
      </c>
      <c r="Q13" s="197">
        <v>11</v>
      </c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</row>
    <row r="14" spans="1:48" s="206" customFormat="1" x14ac:dyDescent="0.3">
      <c r="A14" s="193" t="s">
        <v>745</v>
      </c>
      <c r="B14" s="193">
        <v>6</v>
      </c>
      <c r="C14" s="193" t="s">
        <v>823</v>
      </c>
      <c r="D14" s="196">
        <f>'GERAL 2023'!G8</f>
        <v>680</v>
      </c>
      <c r="E14" s="196">
        <v>0</v>
      </c>
      <c r="F14" s="192">
        <f t="shared" si="3"/>
        <v>680</v>
      </c>
      <c r="G14" s="192">
        <v>50</v>
      </c>
      <c r="H14" s="192">
        <f t="shared" si="7"/>
        <v>57.1</v>
      </c>
      <c r="I14" s="192">
        <f>'GERAL 2024'!I8</f>
        <v>1.8347281323877069</v>
      </c>
      <c r="J14" s="192">
        <f>'GERAL 2024'!K8</f>
        <v>1.1177245862884162</v>
      </c>
      <c r="K14" s="192">
        <v>0</v>
      </c>
      <c r="L14" s="191">
        <f t="shared" si="4"/>
        <v>790.05245271867614</v>
      </c>
      <c r="M14" s="192">
        <f t="shared" si="6"/>
        <v>55.303671690307333</v>
      </c>
      <c r="N14" s="192">
        <f>L14-M14</f>
        <v>734.74878102836885</v>
      </c>
      <c r="O14" s="193" t="s">
        <v>1001</v>
      </c>
      <c r="P14" s="197">
        <v>10</v>
      </c>
      <c r="Q14" s="197">
        <v>11</v>
      </c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  <c r="AQ14" s="205"/>
    </row>
    <row r="15" spans="1:48" s="199" customFormat="1" x14ac:dyDescent="0.3">
      <c r="A15" s="193" t="s">
        <v>791</v>
      </c>
      <c r="B15" s="193">
        <v>7</v>
      </c>
      <c r="C15" s="209" t="s">
        <v>822</v>
      </c>
      <c r="D15" s="196">
        <f>'GERAL 2023'!G35+(2.45026%*610)</f>
        <v>624.94658600000002</v>
      </c>
      <c r="E15" s="192">
        <v>0</v>
      </c>
      <c r="F15" s="196">
        <f t="shared" si="3"/>
        <v>624.94658600000002</v>
      </c>
      <c r="G15" s="192">
        <v>50</v>
      </c>
      <c r="H15" s="192">
        <f t="shared" si="7"/>
        <v>57.1</v>
      </c>
      <c r="I15" s="192">
        <f>'GERAL 2024'!I9</f>
        <v>1.3105200945626476</v>
      </c>
      <c r="J15" s="192">
        <f>'GERAL 2024'!K9</f>
        <v>0.79837470449172576</v>
      </c>
      <c r="K15" s="192">
        <v>126.81</v>
      </c>
      <c r="L15" s="191">
        <f t="shared" si="4"/>
        <v>860.96548079905438</v>
      </c>
      <c r="M15" s="192">
        <f t="shared" si="6"/>
        <v>60.267583655933812</v>
      </c>
      <c r="N15" s="192">
        <f t="shared" si="5"/>
        <v>800.6978971431206</v>
      </c>
      <c r="O15" s="193" t="s">
        <v>1003</v>
      </c>
      <c r="P15" s="197">
        <v>10</v>
      </c>
      <c r="Q15" s="197">
        <v>11</v>
      </c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</row>
    <row r="16" spans="1:48" s="199" customFormat="1" x14ac:dyDescent="0.3">
      <c r="A16" s="193"/>
      <c r="B16" s="193">
        <v>8</v>
      </c>
      <c r="C16" s="193"/>
      <c r="D16" s="196">
        <v>0</v>
      </c>
      <c r="E16" s="192">
        <v>0</v>
      </c>
      <c r="F16" s="196">
        <f t="shared" si="3"/>
        <v>0</v>
      </c>
      <c r="G16" s="192">
        <v>0</v>
      </c>
      <c r="H16" s="192">
        <v>0</v>
      </c>
      <c r="I16" s="192">
        <v>0</v>
      </c>
      <c r="J16" s="192">
        <v>0</v>
      </c>
      <c r="K16" s="192">
        <v>0</v>
      </c>
      <c r="L16" s="191">
        <f t="shared" si="4"/>
        <v>0</v>
      </c>
      <c r="M16" s="192">
        <f>7%*L16</f>
        <v>0</v>
      </c>
      <c r="N16" s="192">
        <f>L16-M16</f>
        <v>0</v>
      </c>
      <c r="O16" s="193" t="s">
        <v>525</v>
      </c>
      <c r="P16" s="207"/>
      <c r="Q16" s="197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  <c r="AQ16" s="198"/>
    </row>
    <row r="17" spans="1:48" s="199" customFormat="1" x14ac:dyDescent="0.3">
      <c r="A17" s="193" t="s">
        <v>852</v>
      </c>
      <c r="B17" s="193">
        <v>9</v>
      </c>
      <c r="C17" s="193" t="s">
        <v>828</v>
      </c>
      <c r="D17" s="196">
        <f>'GERAL 2024'!G11</f>
        <v>640</v>
      </c>
      <c r="E17" s="192">
        <v>0</v>
      </c>
      <c r="F17" s="196">
        <f t="shared" si="3"/>
        <v>640</v>
      </c>
      <c r="G17" s="192">
        <v>0</v>
      </c>
      <c r="H17" s="192">
        <f>(1541.7/27)</f>
        <v>57.1</v>
      </c>
      <c r="I17" s="192">
        <f>'GERAL 2024'!I11</f>
        <v>1.3105200945626476</v>
      </c>
      <c r="J17" s="192">
        <f>'GERAL 2024'!K11</f>
        <v>0.79837470449172576</v>
      </c>
      <c r="K17" s="192">
        <v>0</v>
      </c>
      <c r="L17" s="191">
        <f t="shared" si="4"/>
        <v>699.20889479905441</v>
      </c>
      <c r="M17" s="192">
        <f>7%*L17</f>
        <v>48.944622635933811</v>
      </c>
      <c r="N17" s="192">
        <f>L17-M17</f>
        <v>650.26427216312061</v>
      </c>
      <c r="O17" s="193" t="s">
        <v>1001</v>
      </c>
      <c r="P17" s="207">
        <v>10</v>
      </c>
      <c r="Q17" s="197">
        <v>11</v>
      </c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  <c r="AQ17" s="198"/>
    </row>
    <row r="18" spans="1:48" s="148" customFormat="1" x14ac:dyDescent="0.3">
      <c r="A18" s="194" t="s">
        <v>739</v>
      </c>
      <c r="B18" s="194">
        <v>10</v>
      </c>
      <c r="C18" s="194" t="s">
        <v>825</v>
      </c>
      <c r="D18" s="196">
        <v>0</v>
      </c>
      <c r="E18" s="192">
        <v>0</v>
      </c>
      <c r="F18" s="196">
        <f t="shared" si="3"/>
        <v>0</v>
      </c>
      <c r="G18" s="192">
        <v>0</v>
      </c>
      <c r="H18" s="192">
        <v>0</v>
      </c>
      <c r="I18" s="192">
        <v>0</v>
      </c>
      <c r="J18" s="192">
        <v>0</v>
      </c>
      <c r="K18" s="192">
        <v>0</v>
      </c>
      <c r="L18" s="191">
        <f t="shared" si="4"/>
        <v>0</v>
      </c>
      <c r="M18" s="192">
        <f t="shared" si="6"/>
        <v>0</v>
      </c>
      <c r="N18" s="192">
        <f t="shared" si="5"/>
        <v>0</v>
      </c>
      <c r="O18" s="193" t="s">
        <v>1001</v>
      </c>
      <c r="P18" s="197">
        <v>10</v>
      </c>
      <c r="Q18" s="194">
        <v>11</v>
      </c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  <c r="AI18" s="208"/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  <c r="AT18" s="208"/>
      <c r="AU18" s="208"/>
      <c r="AV18" s="208"/>
    </row>
    <row r="19" spans="1:48" s="148" customFormat="1" ht="15.6" customHeight="1" x14ac:dyDescent="0.3">
      <c r="A19" s="194" t="s">
        <v>965</v>
      </c>
      <c r="B19" s="194">
        <v>11</v>
      </c>
      <c r="C19" s="194" t="s">
        <v>827</v>
      </c>
      <c r="D19" s="192">
        <f>'GERAL 2024'!G39</f>
        <v>610</v>
      </c>
      <c r="E19" s="192">
        <v>0</v>
      </c>
      <c r="F19" s="196">
        <f t="shared" si="3"/>
        <v>610</v>
      </c>
      <c r="G19" s="192">
        <v>0</v>
      </c>
      <c r="H19" s="192">
        <f t="shared" si="7"/>
        <v>57.1</v>
      </c>
      <c r="I19" s="192">
        <f>'GERAL 2024'!I39</f>
        <v>1.3105200945626476</v>
      </c>
      <c r="J19" s="192">
        <f>'GERAL 2024'!K39</f>
        <v>0.79837470449172576</v>
      </c>
      <c r="K19" s="192">
        <v>0</v>
      </c>
      <c r="L19" s="191">
        <f t="shared" si="4"/>
        <v>669.20889479905441</v>
      </c>
      <c r="M19" s="192">
        <f>7%*L19</f>
        <v>46.84462263593381</v>
      </c>
      <c r="N19" s="192">
        <f t="shared" si="5"/>
        <v>622.36427216312063</v>
      </c>
      <c r="O19" s="196" t="s">
        <v>1000</v>
      </c>
      <c r="P19" s="197">
        <v>10</v>
      </c>
      <c r="Q19" s="194">
        <v>11</v>
      </c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8"/>
      <c r="AR19" s="208"/>
      <c r="AS19" s="208"/>
      <c r="AT19" s="208"/>
      <c r="AU19" s="208"/>
      <c r="AV19" s="208"/>
    </row>
    <row r="20" spans="1:48" s="199" customFormat="1" x14ac:dyDescent="0.3">
      <c r="A20" s="193" t="s">
        <v>929</v>
      </c>
      <c r="B20" s="193">
        <v>12</v>
      </c>
      <c r="C20" s="193" t="s">
        <v>829</v>
      </c>
      <c r="D20" s="196">
        <v>610</v>
      </c>
      <c r="E20" s="192">
        <v>0</v>
      </c>
      <c r="F20" s="196">
        <f t="shared" si="3"/>
        <v>610</v>
      </c>
      <c r="G20" s="196">
        <v>50</v>
      </c>
      <c r="H20" s="192">
        <f t="shared" si="7"/>
        <v>57.1</v>
      </c>
      <c r="I20" s="192">
        <f>'GERAL 2024'!I37</f>
        <v>1.3105200945626476</v>
      </c>
      <c r="J20" s="192">
        <f>'GERAL 2024'!K37</f>
        <v>0.79837470449172576</v>
      </c>
      <c r="K20" s="196">
        <v>0</v>
      </c>
      <c r="L20" s="191">
        <f t="shared" si="4"/>
        <v>719.20889479905441</v>
      </c>
      <c r="M20" s="192">
        <f t="shared" si="6"/>
        <v>50.34462263593381</v>
      </c>
      <c r="N20" s="192">
        <f t="shared" si="5"/>
        <v>668.86427216312063</v>
      </c>
      <c r="O20" s="196" t="s">
        <v>1000</v>
      </c>
      <c r="P20" s="197">
        <v>10</v>
      </c>
      <c r="Q20" s="197">
        <v>11</v>
      </c>
      <c r="R20" s="198"/>
      <c r="S20" s="198"/>
      <c r="T20" s="198"/>
      <c r="U20" s="198"/>
      <c r="V20" s="198"/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  <c r="AQ20" s="198"/>
    </row>
    <row r="21" spans="1:48" s="206" customFormat="1" ht="16.5" customHeight="1" x14ac:dyDescent="0.3">
      <c r="A21" s="193" t="s">
        <v>756</v>
      </c>
      <c r="B21" s="193">
        <v>13</v>
      </c>
      <c r="C21" s="193" t="s">
        <v>827</v>
      </c>
      <c r="D21" s="196">
        <f>'GERAL 2022'!G15</f>
        <v>550</v>
      </c>
      <c r="E21" s="196">
        <v>0</v>
      </c>
      <c r="F21" s="196">
        <f t="shared" si="3"/>
        <v>550</v>
      </c>
      <c r="G21" s="192">
        <v>0</v>
      </c>
      <c r="H21" s="192">
        <f t="shared" si="7"/>
        <v>57.1</v>
      </c>
      <c r="I21" s="192">
        <f>'GERAL 2024'!I15</f>
        <v>1.3105200945626476</v>
      </c>
      <c r="J21" s="192">
        <f>'GERAL 2024'!K15</f>
        <v>0.79837470449172576</v>
      </c>
      <c r="K21" s="192">
        <v>0</v>
      </c>
      <c r="L21" s="191">
        <f t="shared" si="4"/>
        <v>609.20889479905441</v>
      </c>
      <c r="M21" s="192">
        <f t="shared" si="6"/>
        <v>42.644622635933814</v>
      </c>
      <c r="N21" s="192">
        <f t="shared" si="5"/>
        <v>566.56427216312056</v>
      </c>
      <c r="O21" s="196" t="s">
        <v>1000</v>
      </c>
      <c r="P21" s="197">
        <v>10</v>
      </c>
      <c r="Q21" s="197">
        <v>11</v>
      </c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  <c r="AQ21" s="205"/>
    </row>
    <row r="22" spans="1:48" s="148" customFormat="1" x14ac:dyDescent="0.3">
      <c r="A22" s="194" t="s">
        <v>747</v>
      </c>
      <c r="B22" s="194">
        <v>14</v>
      </c>
      <c r="C22" s="193" t="s">
        <v>832</v>
      </c>
      <c r="D22" s="196">
        <f>'GERAL 2022'!G39</f>
        <v>580</v>
      </c>
      <c r="E22" s="192">
        <v>0</v>
      </c>
      <c r="F22" s="196">
        <f t="shared" si="3"/>
        <v>580</v>
      </c>
      <c r="G22" s="192">
        <f>50</f>
        <v>50</v>
      </c>
      <c r="H22" s="192">
        <f t="shared" si="7"/>
        <v>57.1</v>
      </c>
      <c r="I22" s="192">
        <f>'GERAL 2024'!I16</f>
        <v>1.3105200945626476</v>
      </c>
      <c r="J22" s="192">
        <f>'GERAL 2024'!K16</f>
        <v>0.79837470449172576</v>
      </c>
      <c r="K22" s="192">
        <v>0</v>
      </c>
      <c r="L22" s="191">
        <f t="shared" si="4"/>
        <v>689.20889479905441</v>
      </c>
      <c r="M22" s="192">
        <f t="shared" si="6"/>
        <v>48.244622635933816</v>
      </c>
      <c r="N22" s="192">
        <f t="shared" si="5"/>
        <v>640.96427216312054</v>
      </c>
      <c r="O22" s="196" t="s">
        <v>1000</v>
      </c>
      <c r="P22" s="197">
        <v>10</v>
      </c>
      <c r="Q22" s="194">
        <v>11</v>
      </c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  <c r="AD22" s="208"/>
      <c r="AE22" s="208"/>
      <c r="AF22" s="208"/>
      <c r="AG22" s="208"/>
      <c r="AH22" s="208"/>
      <c r="AI22" s="208"/>
      <c r="AJ22" s="208"/>
      <c r="AK22" s="208"/>
      <c r="AL22" s="208"/>
      <c r="AM22" s="208"/>
      <c r="AN22" s="208"/>
      <c r="AO22" s="208"/>
      <c r="AP22" s="208"/>
      <c r="AQ22" s="208"/>
      <c r="AR22" s="208"/>
      <c r="AS22" s="208"/>
      <c r="AT22" s="208"/>
      <c r="AU22" s="208"/>
      <c r="AV22" s="208"/>
    </row>
    <row r="23" spans="1:48" s="204" customFormat="1" x14ac:dyDescent="0.3">
      <c r="A23" s="193" t="s">
        <v>748</v>
      </c>
      <c r="B23" s="193">
        <v>15</v>
      </c>
      <c r="C23" s="193" t="s">
        <v>827</v>
      </c>
      <c r="D23" s="196">
        <f>'GERAL 2023'!G36</f>
        <v>680</v>
      </c>
      <c r="E23" s="192">
        <v>0</v>
      </c>
      <c r="F23" s="196">
        <f t="shared" si="3"/>
        <v>680</v>
      </c>
      <c r="G23" s="192">
        <v>25</v>
      </c>
      <c r="H23" s="192">
        <f t="shared" si="7"/>
        <v>57.1</v>
      </c>
      <c r="I23" s="192">
        <f>'GERAL 2024'!I17</f>
        <v>1.8347281323877069</v>
      </c>
      <c r="J23" s="192">
        <f>'GERAL 2024'!K17</f>
        <v>1.1177245862884162</v>
      </c>
      <c r="K23" s="192">
        <v>0</v>
      </c>
      <c r="L23" s="191">
        <f t="shared" si="4"/>
        <v>765.05245271867614</v>
      </c>
      <c r="M23" s="192">
        <f t="shared" si="6"/>
        <v>53.553671690307333</v>
      </c>
      <c r="N23" s="192">
        <f t="shared" si="5"/>
        <v>711.49878102836885</v>
      </c>
      <c r="O23" s="196" t="s">
        <v>1000</v>
      </c>
      <c r="P23" s="197">
        <v>10</v>
      </c>
      <c r="Q23" s="194">
        <v>11</v>
      </c>
      <c r="R23" s="200"/>
      <c r="S23" s="200"/>
      <c r="T23" s="200"/>
      <c r="U23" s="200"/>
      <c r="V23" s="200"/>
      <c r="W23" s="200"/>
      <c r="X23" s="200"/>
      <c r="Y23" s="200"/>
      <c r="Z23" s="200"/>
    </row>
    <row r="24" spans="1:48" s="206" customFormat="1" x14ac:dyDescent="0.3">
      <c r="A24" s="197" t="s">
        <v>977</v>
      </c>
      <c r="B24" s="197">
        <v>16</v>
      </c>
      <c r="C24" s="193" t="s">
        <v>827</v>
      </c>
      <c r="D24" s="196">
        <f>'GERAL 2024'!G40</f>
        <v>640</v>
      </c>
      <c r="E24" s="192">
        <v>0</v>
      </c>
      <c r="F24" s="196">
        <f>D24-E24</f>
        <v>640</v>
      </c>
      <c r="G24" s="192">
        <v>0</v>
      </c>
      <c r="H24" s="192">
        <f>(1541.7/27)</f>
        <v>57.1</v>
      </c>
      <c r="I24" s="192">
        <f>'GERAL 2024'!I40</f>
        <v>1.3105200945626476</v>
      </c>
      <c r="J24" s="192">
        <f>'GERAL 2024'!K40</f>
        <v>0.79837470449172576</v>
      </c>
      <c r="K24" s="192">
        <v>0</v>
      </c>
      <c r="L24" s="191">
        <f t="shared" si="4"/>
        <v>699.20889479905441</v>
      </c>
      <c r="M24" s="192">
        <f t="shared" si="6"/>
        <v>48.944622635933811</v>
      </c>
      <c r="N24" s="192">
        <f>L24-M24</f>
        <v>650.26427216312061</v>
      </c>
      <c r="O24" s="196" t="s">
        <v>1000</v>
      </c>
      <c r="P24" s="197">
        <v>10</v>
      </c>
      <c r="Q24" s="197">
        <v>11</v>
      </c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  <c r="AP24" s="205"/>
      <c r="AQ24" s="205"/>
    </row>
    <row r="25" spans="1:48" s="206" customFormat="1" x14ac:dyDescent="0.3">
      <c r="A25" s="195"/>
      <c r="B25" s="195">
        <v>17</v>
      </c>
      <c r="C25" s="195"/>
      <c r="D25" s="196">
        <v>0</v>
      </c>
      <c r="E25" s="192">
        <v>0</v>
      </c>
      <c r="F25" s="196">
        <f t="shared" si="3"/>
        <v>0</v>
      </c>
      <c r="G25" s="192">
        <v>0</v>
      </c>
      <c r="H25" s="192">
        <v>0</v>
      </c>
      <c r="I25" s="192">
        <v>0</v>
      </c>
      <c r="J25" s="192">
        <v>0</v>
      </c>
      <c r="K25" s="192">
        <v>0</v>
      </c>
      <c r="L25" s="191">
        <f t="shared" si="4"/>
        <v>0</v>
      </c>
      <c r="M25" s="192">
        <f>7%*L25</f>
        <v>0</v>
      </c>
      <c r="N25" s="192">
        <f>L25-M25</f>
        <v>0</v>
      </c>
      <c r="O25" s="193" t="s">
        <v>525</v>
      </c>
      <c r="P25" s="197"/>
      <c r="Q25" s="197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  <c r="AQ25" s="205"/>
    </row>
    <row r="26" spans="1:48" s="206" customFormat="1" x14ac:dyDescent="0.3">
      <c r="A26" s="195"/>
      <c r="B26" s="193">
        <v>18</v>
      </c>
      <c r="C26" s="193"/>
      <c r="D26" s="196">
        <v>0</v>
      </c>
      <c r="E26" s="192">
        <v>0</v>
      </c>
      <c r="F26" s="196">
        <f>D26-E26</f>
        <v>0</v>
      </c>
      <c r="G26" s="192">
        <v>0</v>
      </c>
      <c r="H26" s="192">
        <v>0</v>
      </c>
      <c r="I26" s="192">
        <v>0</v>
      </c>
      <c r="J26" s="192">
        <v>0</v>
      </c>
      <c r="K26" s="192">
        <v>0</v>
      </c>
      <c r="L26" s="191">
        <f t="shared" si="4"/>
        <v>0</v>
      </c>
      <c r="M26" s="192">
        <f t="shared" si="6"/>
        <v>0</v>
      </c>
      <c r="N26" s="192">
        <f t="shared" si="5"/>
        <v>0</v>
      </c>
      <c r="O26" s="193" t="s">
        <v>525</v>
      </c>
      <c r="P26" s="197"/>
      <c r="Q26" s="197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  <c r="AQ26" s="205"/>
    </row>
    <row r="27" spans="1:48" s="206" customFormat="1" x14ac:dyDescent="0.3">
      <c r="A27" s="193" t="s">
        <v>738</v>
      </c>
      <c r="B27" s="193">
        <v>19</v>
      </c>
      <c r="C27" s="193" t="s">
        <v>825</v>
      </c>
      <c r="D27" s="196">
        <f>'GERAL 2023'!G38/31*7</f>
        <v>137.74193548387095</v>
      </c>
      <c r="E27" s="192">
        <v>0</v>
      </c>
      <c r="F27" s="196">
        <f>(D27-E27)</f>
        <v>137.74193548387095</v>
      </c>
      <c r="G27" s="192">
        <f>25/31*7</f>
        <v>5.6451612903225801</v>
      </c>
      <c r="H27" s="192">
        <f>(1541.7/27)/31*7</f>
        <v>12.893548387096775</v>
      </c>
      <c r="I27" s="192">
        <f>'GERAL 2024'!I21/31*7</f>
        <v>0.29592389232059785</v>
      </c>
      <c r="J27" s="192">
        <f>'GERAL 2024'!K21/31*7</f>
        <v>0.18027815907877678</v>
      </c>
      <c r="K27" s="192">
        <v>0</v>
      </c>
      <c r="L27" s="191">
        <f t="shared" si="4"/>
        <v>156.75684721268968</v>
      </c>
      <c r="M27" s="192">
        <f t="shared" si="6"/>
        <v>10.972979304888279</v>
      </c>
      <c r="N27" s="192">
        <f t="shared" si="5"/>
        <v>145.78386790780141</v>
      </c>
      <c r="O27" s="196" t="s">
        <v>1014</v>
      </c>
      <c r="P27" s="197">
        <v>10</v>
      </c>
      <c r="Q27" s="197">
        <v>11</v>
      </c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  <c r="AQ27" s="205"/>
    </row>
    <row r="28" spans="1:48" s="206" customFormat="1" x14ac:dyDescent="0.3">
      <c r="A28" s="209" t="s">
        <v>1012</v>
      </c>
      <c r="B28" s="193">
        <v>19</v>
      </c>
      <c r="C28" s="209" t="s">
        <v>822</v>
      </c>
      <c r="D28" s="196">
        <f>'GERAL 2024'!G44/31*14</f>
        <v>261.93548387096774</v>
      </c>
      <c r="E28" s="192">
        <v>0</v>
      </c>
      <c r="F28" s="196">
        <f>(D28-E28)</f>
        <v>261.93548387096774</v>
      </c>
      <c r="G28" s="192">
        <v>0</v>
      </c>
      <c r="H28" s="192">
        <f>(1541.7/27)/31*14</f>
        <v>25.78709677419355</v>
      </c>
      <c r="I28" s="192">
        <f>'GERAL 2024'!I44/31*14</f>
        <v>0.5918477846411957</v>
      </c>
      <c r="J28" s="192">
        <f>'GERAL 2024'!K44/31*14</f>
        <v>0.36055631815755357</v>
      </c>
      <c r="K28" s="192">
        <v>126.44</v>
      </c>
      <c r="L28" s="191">
        <f t="shared" si="4"/>
        <v>415.11498474796002</v>
      </c>
      <c r="M28" s="192">
        <f t="shared" si="6"/>
        <v>29.058048932357206</v>
      </c>
      <c r="N28" s="192">
        <f t="shared" si="5"/>
        <v>386.0569358156028</v>
      </c>
      <c r="O28" s="193" t="s">
        <v>1013</v>
      </c>
      <c r="P28" s="207">
        <v>10</v>
      </c>
      <c r="Q28" s="197">
        <v>11</v>
      </c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  <c r="AQ28" s="205"/>
    </row>
    <row r="29" spans="1:48" s="206" customFormat="1" x14ac:dyDescent="0.3">
      <c r="A29" s="195" t="s">
        <v>919</v>
      </c>
      <c r="B29" s="193">
        <v>20</v>
      </c>
      <c r="C29" s="193" t="s">
        <v>917</v>
      </c>
      <c r="D29" s="196">
        <f>'GERAL 2024'!G36</f>
        <v>780</v>
      </c>
      <c r="E29" s="192">
        <v>0</v>
      </c>
      <c r="F29" s="196">
        <f t="shared" ref="F29:F36" si="8">D29-E29</f>
        <v>780</v>
      </c>
      <c r="G29" s="192">
        <v>25</v>
      </c>
      <c r="H29" s="192">
        <f>(1541.7/27)</f>
        <v>57.1</v>
      </c>
      <c r="I29" s="192">
        <f>'GERAL 2024'!I36</f>
        <v>1.3105200945626476</v>
      </c>
      <c r="J29" s="192">
        <f>'GERAL 2024'!K36</f>
        <v>0.79837470449172576</v>
      </c>
      <c r="K29" s="192">
        <v>21.48</v>
      </c>
      <c r="L29" s="191">
        <f t="shared" si="4"/>
        <v>885.68889479905442</v>
      </c>
      <c r="M29" s="192">
        <f t="shared" si="6"/>
        <v>61.998222635933814</v>
      </c>
      <c r="N29" s="192">
        <f t="shared" si="5"/>
        <v>823.69067216312055</v>
      </c>
      <c r="O29" s="193" t="s">
        <v>1002</v>
      </c>
      <c r="P29" s="207">
        <v>10</v>
      </c>
      <c r="Q29" s="197">
        <v>11</v>
      </c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  <c r="AQ29" s="205"/>
    </row>
    <row r="30" spans="1:48" s="206" customFormat="1" x14ac:dyDescent="0.3">
      <c r="A30" s="195" t="s">
        <v>788</v>
      </c>
      <c r="B30" s="193">
        <v>21</v>
      </c>
      <c r="C30" s="209" t="s">
        <v>822</v>
      </c>
      <c r="D30" s="196">
        <f>'GERAL 2023'!G39+(2.45026%*580)</f>
        <v>594.21150799999998</v>
      </c>
      <c r="E30" s="192">
        <v>0</v>
      </c>
      <c r="F30" s="196">
        <f t="shared" si="8"/>
        <v>594.21150799999998</v>
      </c>
      <c r="G30" s="192">
        <v>25</v>
      </c>
      <c r="H30" s="192">
        <f t="shared" si="7"/>
        <v>57.1</v>
      </c>
      <c r="I30" s="192">
        <f>'GERAL 2024'!I23</f>
        <v>1.3105200945626476</v>
      </c>
      <c r="J30" s="192">
        <f>'GERAL 2024'!K23</f>
        <v>0.79837470449172576</v>
      </c>
      <c r="K30" s="192">
        <v>126.44</v>
      </c>
      <c r="L30" s="191">
        <f t="shared" si="4"/>
        <v>804.86040279905433</v>
      </c>
      <c r="M30" s="192">
        <f t="shared" si="6"/>
        <v>56.340228195933811</v>
      </c>
      <c r="N30" s="192">
        <f t="shared" si="5"/>
        <v>748.52017460312049</v>
      </c>
      <c r="O30" s="193" t="s">
        <v>1003</v>
      </c>
      <c r="P30" s="207">
        <v>10</v>
      </c>
      <c r="Q30" s="197">
        <v>11</v>
      </c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  <c r="AQ30" s="205"/>
    </row>
    <row r="31" spans="1:48" s="206" customFormat="1" x14ac:dyDescent="0.3">
      <c r="A31" s="195" t="s">
        <v>950</v>
      </c>
      <c r="B31" s="193">
        <v>22</v>
      </c>
      <c r="C31" s="193" t="s">
        <v>951</v>
      </c>
      <c r="D31" s="196">
        <f>'GERAL 2024'!G38</f>
        <v>610</v>
      </c>
      <c r="E31" s="192">
        <v>0</v>
      </c>
      <c r="F31" s="196">
        <f t="shared" si="8"/>
        <v>610</v>
      </c>
      <c r="G31" s="192">
        <v>25</v>
      </c>
      <c r="H31" s="192">
        <f t="shared" si="7"/>
        <v>57.1</v>
      </c>
      <c r="I31" s="192">
        <f>'GERAL 2024'!I38</f>
        <v>1.3105200945626476</v>
      </c>
      <c r="J31" s="192">
        <f>'GERAL 2024'!K38</f>
        <v>0.79837470449172576</v>
      </c>
      <c r="K31" s="192">
        <v>0</v>
      </c>
      <c r="L31" s="191">
        <f t="shared" si="4"/>
        <v>694.20889479905441</v>
      </c>
      <c r="M31" s="192">
        <f>7%*L31</f>
        <v>48.59462263593381</v>
      </c>
      <c r="N31" s="192">
        <f>L31-M31</f>
        <v>645.61427216312063</v>
      </c>
      <c r="O31" s="196" t="s">
        <v>1001</v>
      </c>
      <c r="P31" s="207">
        <v>10</v>
      </c>
      <c r="Q31" s="197">
        <v>11</v>
      </c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  <c r="AC31" s="205"/>
      <c r="AD31" s="205"/>
      <c r="AE31" s="205"/>
      <c r="AF31" s="205"/>
      <c r="AG31" s="205"/>
      <c r="AH31" s="205"/>
      <c r="AI31" s="205"/>
      <c r="AJ31" s="205"/>
      <c r="AK31" s="205"/>
      <c r="AL31" s="205"/>
      <c r="AM31" s="205"/>
      <c r="AN31" s="205"/>
      <c r="AO31" s="205"/>
      <c r="AP31" s="205"/>
      <c r="AQ31" s="205"/>
    </row>
    <row r="32" spans="1:48" s="206" customFormat="1" x14ac:dyDescent="0.3">
      <c r="A32" s="195" t="s">
        <v>750</v>
      </c>
      <c r="B32" s="193">
        <v>23</v>
      </c>
      <c r="C32" s="193" t="s">
        <v>827</v>
      </c>
      <c r="D32" s="196">
        <f>'GERAL 2022'!G25</f>
        <v>550</v>
      </c>
      <c r="E32" s="192">
        <v>0</v>
      </c>
      <c r="F32" s="196">
        <f t="shared" si="8"/>
        <v>550</v>
      </c>
      <c r="G32" s="192">
        <v>0</v>
      </c>
      <c r="H32" s="192">
        <f t="shared" si="7"/>
        <v>57.1</v>
      </c>
      <c r="I32" s="192">
        <f>'GERAL 2024'!I25</f>
        <v>1.3105200945626476</v>
      </c>
      <c r="J32" s="192">
        <f>'GERAL 2024'!K25</f>
        <v>0.79837470449172576</v>
      </c>
      <c r="K32" s="192">
        <v>0</v>
      </c>
      <c r="L32" s="191">
        <f t="shared" si="4"/>
        <v>609.20889479905441</v>
      </c>
      <c r="M32" s="192">
        <f t="shared" si="6"/>
        <v>42.644622635933814</v>
      </c>
      <c r="N32" s="192">
        <f t="shared" si="5"/>
        <v>566.56427216312056</v>
      </c>
      <c r="O32" s="196" t="s">
        <v>1001</v>
      </c>
      <c r="P32" s="197">
        <v>10</v>
      </c>
      <c r="Q32" s="197">
        <v>11</v>
      </c>
      <c r="R32" s="205"/>
      <c r="S32" s="205"/>
      <c r="T32" s="205"/>
      <c r="U32" s="205"/>
      <c r="V32" s="205"/>
      <c r="W32" s="205"/>
      <c r="X32" s="205"/>
      <c r="Y32" s="205"/>
      <c r="Z32" s="205"/>
      <c r="AA32" s="205"/>
      <c r="AB32" s="205"/>
      <c r="AC32" s="205"/>
      <c r="AD32" s="205"/>
      <c r="AE32" s="205"/>
      <c r="AF32" s="205"/>
      <c r="AG32" s="205"/>
      <c r="AH32" s="205"/>
      <c r="AI32" s="205"/>
      <c r="AJ32" s="205"/>
      <c r="AK32" s="205"/>
      <c r="AL32" s="205"/>
      <c r="AM32" s="205"/>
      <c r="AN32" s="205"/>
      <c r="AO32" s="205"/>
      <c r="AP32" s="205"/>
      <c r="AQ32" s="205"/>
    </row>
    <row r="33" spans="1:43" s="204" customFormat="1" ht="15.75" customHeight="1" x14ac:dyDescent="0.3">
      <c r="A33" s="193"/>
      <c r="B33" s="193">
        <v>24</v>
      </c>
      <c r="C33" s="193"/>
      <c r="D33" s="196">
        <v>0</v>
      </c>
      <c r="E33" s="192">
        <v>0</v>
      </c>
      <c r="F33" s="196">
        <f>D33-E33</f>
        <v>0</v>
      </c>
      <c r="G33" s="192">
        <v>0</v>
      </c>
      <c r="H33" s="192">
        <v>0</v>
      </c>
      <c r="I33" s="192">
        <v>0</v>
      </c>
      <c r="J33" s="192">
        <v>0</v>
      </c>
      <c r="K33" s="192">
        <v>0</v>
      </c>
      <c r="L33" s="191">
        <f t="shared" si="4"/>
        <v>0</v>
      </c>
      <c r="M33" s="192">
        <f t="shared" si="6"/>
        <v>0</v>
      </c>
      <c r="N33" s="192">
        <f t="shared" si="5"/>
        <v>0</v>
      </c>
      <c r="O33" s="193" t="s">
        <v>525</v>
      </c>
      <c r="P33" s="207"/>
      <c r="Q33" s="197"/>
      <c r="R33" s="200"/>
      <c r="S33" s="200"/>
      <c r="T33" s="200"/>
      <c r="U33" s="200"/>
      <c r="V33" s="200"/>
      <c r="W33" s="200"/>
      <c r="X33" s="200"/>
      <c r="Y33" s="200"/>
      <c r="Z33" s="200"/>
    </row>
    <row r="34" spans="1:43" s="204" customFormat="1" ht="15" customHeight="1" x14ac:dyDescent="0.3">
      <c r="A34" s="199" t="s">
        <v>1007</v>
      </c>
      <c r="B34" s="193">
        <v>25</v>
      </c>
      <c r="C34" s="209" t="s">
        <v>822</v>
      </c>
      <c r="D34" s="196">
        <f>'GERAL 2024'!G43/31*23</f>
        <v>474.83870967741933</v>
      </c>
      <c r="E34" s="192">
        <v>0</v>
      </c>
      <c r="F34" s="196">
        <f t="shared" si="8"/>
        <v>474.83870967741933</v>
      </c>
      <c r="G34" s="192">
        <f>25/31*23</f>
        <v>18.548387096774192</v>
      </c>
      <c r="H34" s="192">
        <f>(1541.7/27)/31*23</f>
        <v>42.36451612903226</v>
      </c>
      <c r="I34" s="192">
        <f>'GERAL 2024'!I43/31*23</f>
        <v>0.97232136048196427</v>
      </c>
      <c r="J34" s="192">
        <f>'GERAL 2024'!K43/31*23</f>
        <v>0.59234252268740939</v>
      </c>
      <c r="K34" s="192">
        <v>127.18</v>
      </c>
      <c r="L34" s="191">
        <f t="shared" si="4"/>
        <v>664.49627678639513</v>
      </c>
      <c r="M34" s="192">
        <f t="shared" si="6"/>
        <v>46.514739375047661</v>
      </c>
      <c r="N34" s="192">
        <f t="shared" si="5"/>
        <v>617.98153741134752</v>
      </c>
      <c r="O34" s="193" t="s">
        <v>1009</v>
      </c>
      <c r="P34" s="207">
        <v>10</v>
      </c>
      <c r="Q34" s="197">
        <v>11</v>
      </c>
      <c r="R34" s="200"/>
      <c r="S34" s="200"/>
      <c r="T34" s="200"/>
      <c r="U34" s="200"/>
      <c r="V34" s="200"/>
      <c r="W34" s="200"/>
      <c r="X34" s="200"/>
      <c r="Y34" s="200"/>
      <c r="Z34" s="200"/>
    </row>
    <row r="35" spans="1:43" s="206" customFormat="1" x14ac:dyDescent="0.3">
      <c r="A35" s="195" t="s">
        <v>751</v>
      </c>
      <c r="B35" s="193">
        <v>26</v>
      </c>
      <c r="C35" s="193" t="s">
        <v>827</v>
      </c>
      <c r="D35" s="196">
        <f>'GERAL 2022'!G28</f>
        <v>560</v>
      </c>
      <c r="E35" s="192">
        <v>0</v>
      </c>
      <c r="F35" s="196">
        <f t="shared" si="8"/>
        <v>560</v>
      </c>
      <c r="G35" s="192">
        <v>25</v>
      </c>
      <c r="H35" s="192">
        <f t="shared" si="7"/>
        <v>57.1</v>
      </c>
      <c r="I35" s="192">
        <f>'GERAL 2024'!I28</f>
        <v>1.3105200945626476</v>
      </c>
      <c r="J35" s="192">
        <f>'GERAL 2024'!K29</f>
        <v>0.79837470449172576</v>
      </c>
      <c r="K35" s="192">
        <v>0</v>
      </c>
      <c r="L35" s="191">
        <f t="shared" si="4"/>
        <v>644.20889479905441</v>
      </c>
      <c r="M35" s="192">
        <f t="shared" si="6"/>
        <v>45.09462263593381</v>
      </c>
      <c r="N35" s="192">
        <f t="shared" si="5"/>
        <v>599.11427216312063</v>
      </c>
      <c r="O35" s="196" t="s">
        <v>1001</v>
      </c>
      <c r="P35" s="197">
        <v>10</v>
      </c>
      <c r="Q35" s="197">
        <v>11</v>
      </c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  <c r="AQ35" s="205"/>
    </row>
    <row r="36" spans="1:43" s="206" customFormat="1" x14ac:dyDescent="0.3">
      <c r="A36" s="195" t="s">
        <v>752</v>
      </c>
      <c r="B36" s="193">
        <v>27</v>
      </c>
      <c r="C36" s="216" t="s">
        <v>827</v>
      </c>
      <c r="D36" s="217">
        <f>'GERAL 2022'!G45</f>
        <v>580</v>
      </c>
      <c r="E36" s="210">
        <v>0</v>
      </c>
      <c r="F36" s="196">
        <f t="shared" si="8"/>
        <v>580</v>
      </c>
      <c r="G36" s="210">
        <v>0</v>
      </c>
      <c r="H36" s="192">
        <f t="shared" si="7"/>
        <v>57.1</v>
      </c>
      <c r="I36" s="210">
        <f>'GERAL 2024'!I29</f>
        <v>1.3105200945626476</v>
      </c>
      <c r="J36" s="192">
        <f>'GERAL 2024'!K29</f>
        <v>0.79837470449172576</v>
      </c>
      <c r="K36" s="210">
        <v>0</v>
      </c>
      <c r="L36" s="191">
        <f t="shared" si="4"/>
        <v>639.20889479905441</v>
      </c>
      <c r="M36" s="192">
        <f t="shared" si="6"/>
        <v>44.744622635933816</v>
      </c>
      <c r="N36" s="192">
        <f>L36-M36</f>
        <v>594.46427216312054</v>
      </c>
      <c r="O36" s="196" t="s">
        <v>1001</v>
      </c>
      <c r="P36" s="197">
        <v>10</v>
      </c>
      <c r="Q36" s="197">
        <v>11</v>
      </c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  <c r="AQ36" s="205"/>
    </row>
    <row r="37" spans="1:43" s="206" customFormat="1" x14ac:dyDescent="0.3">
      <c r="A37" s="584" t="s">
        <v>4</v>
      </c>
      <c r="B37" s="584"/>
      <c r="C37" s="209"/>
      <c r="D37" s="191">
        <f>SUM(D9:D36)</f>
        <v>12211.976873032258</v>
      </c>
      <c r="E37" s="191">
        <f t="shared" ref="E37:N37" si="9">SUM(E9:E36)</f>
        <v>0</v>
      </c>
      <c r="F37" s="191">
        <f t="shared" si="9"/>
        <v>12211.976873032258</v>
      </c>
      <c r="G37" s="191">
        <f t="shared" si="9"/>
        <v>457.25806451612902</v>
      </c>
      <c r="H37" s="191">
        <f t="shared" si="9"/>
        <v>1132.7903225806451</v>
      </c>
      <c r="I37" s="191">
        <f t="shared" si="9"/>
        <v>27.047443758102645</v>
      </c>
      <c r="J37" s="191">
        <f>SUM(J9:J36)</f>
        <v>16.477423739800205</v>
      </c>
      <c r="K37" s="191">
        <f t="shared" si="9"/>
        <v>781.97</v>
      </c>
      <c r="L37" s="191">
        <f t="shared" si="9"/>
        <v>14627.520127626931</v>
      </c>
      <c r="M37" s="191">
        <f t="shared" si="9"/>
        <v>1023.9264089338857</v>
      </c>
      <c r="N37" s="191">
        <f t="shared" si="9"/>
        <v>13603.59371869305</v>
      </c>
      <c r="O37" s="193"/>
      <c r="P37" s="197"/>
      <c r="Q37" s="197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  <c r="AC37" s="205"/>
      <c r="AD37" s="205"/>
      <c r="AE37" s="205"/>
      <c r="AF37" s="205"/>
      <c r="AG37" s="205"/>
      <c r="AH37" s="205"/>
      <c r="AI37" s="205"/>
      <c r="AJ37" s="205"/>
      <c r="AK37" s="205"/>
      <c r="AL37" s="205"/>
      <c r="AM37" s="205"/>
      <c r="AN37" s="205"/>
      <c r="AO37" s="205"/>
      <c r="AP37" s="205"/>
      <c r="AQ37" s="205"/>
    </row>
    <row r="38" spans="1:43" s="11" customFormat="1" ht="28.5" customHeight="1" x14ac:dyDescent="0.3">
      <c r="A38" s="521" t="s">
        <v>999</v>
      </c>
      <c r="B38" s="521"/>
      <c r="C38" s="521"/>
      <c r="D38" s="521"/>
      <c r="E38" s="521"/>
      <c r="F38" s="521"/>
      <c r="G38" s="521"/>
      <c r="H38" s="521"/>
      <c r="I38" s="521"/>
      <c r="J38" s="521"/>
      <c r="K38" s="521"/>
      <c r="L38" s="521"/>
      <c r="M38" s="521"/>
      <c r="N38" s="521"/>
      <c r="O38" s="521"/>
      <c r="P38" s="521"/>
      <c r="Q38" s="521"/>
      <c r="R38" s="10"/>
      <c r="S38" s="10"/>
      <c r="T38" s="10"/>
      <c r="U38" s="10"/>
      <c r="V38" s="10"/>
      <c r="W38" s="10"/>
      <c r="X38" s="10"/>
      <c r="Y38" s="10"/>
      <c r="Z38" s="10"/>
    </row>
    <row r="39" spans="1:43" s="11" customFormat="1" ht="27.75" customHeight="1" x14ac:dyDescent="0.3">
      <c r="A39" s="127" t="s">
        <v>3</v>
      </c>
      <c r="B39" s="127" t="s">
        <v>0</v>
      </c>
      <c r="C39" s="127" t="s">
        <v>821</v>
      </c>
      <c r="D39" s="128" t="s">
        <v>174</v>
      </c>
      <c r="E39" s="555" t="s">
        <v>175</v>
      </c>
      <c r="F39" s="556"/>
      <c r="G39" s="556"/>
      <c r="H39" s="556"/>
      <c r="I39" s="556"/>
      <c r="J39" s="556"/>
      <c r="K39" s="557"/>
      <c r="L39" s="128" t="s">
        <v>4</v>
      </c>
      <c r="M39" s="128" t="s">
        <v>5</v>
      </c>
      <c r="N39" s="128" t="s">
        <v>70</v>
      </c>
      <c r="O39" s="127" t="s">
        <v>59</v>
      </c>
      <c r="P39" s="130" t="s">
        <v>8</v>
      </c>
      <c r="Q39" s="130" t="s">
        <v>10</v>
      </c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spans="1:43" s="204" customFormat="1" ht="15.75" customHeight="1" x14ac:dyDescent="0.3">
      <c r="A40" s="195" t="s">
        <v>902</v>
      </c>
      <c r="B40" s="195">
        <v>17</v>
      </c>
      <c r="C40" s="195" t="s">
        <v>823</v>
      </c>
      <c r="D40" s="196">
        <v>2080.41</v>
      </c>
      <c r="E40" s="551" t="s">
        <v>1011</v>
      </c>
      <c r="F40" s="580"/>
      <c r="G40" s="580"/>
      <c r="H40" s="580"/>
      <c r="I40" s="580"/>
      <c r="J40" s="580"/>
      <c r="K40" s="552"/>
      <c r="L40" s="196">
        <v>300</v>
      </c>
      <c r="M40" s="192">
        <f>7%*L40</f>
        <v>21.000000000000004</v>
      </c>
      <c r="N40" s="192">
        <f>L40-M40</f>
        <v>279</v>
      </c>
      <c r="O40" s="193" t="s">
        <v>1038</v>
      </c>
      <c r="P40" s="207">
        <v>10</v>
      </c>
      <c r="Q40" s="197">
        <v>11</v>
      </c>
      <c r="R40" s="200"/>
      <c r="S40" s="200"/>
      <c r="T40" s="200"/>
      <c r="U40" s="200"/>
      <c r="V40" s="200"/>
      <c r="W40" s="200"/>
      <c r="X40" s="200"/>
      <c r="Y40" s="200"/>
      <c r="Z40" s="200"/>
    </row>
    <row r="41" spans="1:43" s="204" customFormat="1" ht="15.75" customHeight="1" x14ac:dyDescent="0.3">
      <c r="A41" s="193" t="s">
        <v>738</v>
      </c>
      <c r="B41" s="193">
        <v>19</v>
      </c>
      <c r="C41" s="193" t="s">
        <v>825</v>
      </c>
      <c r="D41" s="196">
        <v>1037</v>
      </c>
      <c r="E41" s="551" t="s">
        <v>1024</v>
      </c>
      <c r="F41" s="580"/>
      <c r="G41" s="580"/>
      <c r="H41" s="580"/>
      <c r="I41" s="580"/>
      <c r="J41" s="580"/>
      <c r="K41" s="552"/>
      <c r="L41" s="196">
        <v>83.24</v>
      </c>
      <c r="M41" s="192">
        <f>7%*L41</f>
        <v>5.8268000000000004</v>
      </c>
      <c r="N41" s="192">
        <f>L41-M41</f>
        <v>77.413199999999989</v>
      </c>
      <c r="O41" s="193" t="s">
        <v>1023</v>
      </c>
      <c r="P41" s="207">
        <v>10</v>
      </c>
      <c r="Q41" s="197">
        <v>11</v>
      </c>
      <c r="R41" s="200"/>
      <c r="S41" s="200"/>
      <c r="T41" s="200"/>
      <c r="U41" s="200"/>
      <c r="V41" s="200"/>
      <c r="W41" s="200"/>
      <c r="X41" s="200"/>
      <c r="Y41" s="200"/>
      <c r="Z41" s="200"/>
    </row>
    <row r="42" spans="1:43" s="11" customFormat="1" x14ac:dyDescent="0.3">
      <c r="A42" s="518" t="s">
        <v>4</v>
      </c>
      <c r="B42" s="518"/>
      <c r="C42" s="518"/>
      <c r="D42" s="518"/>
      <c r="E42" s="518"/>
      <c r="F42" s="518"/>
      <c r="G42" s="518"/>
      <c r="H42" s="518"/>
      <c r="I42" s="518"/>
      <c r="J42" s="518"/>
      <c r="K42" s="518"/>
      <c r="L42" s="109">
        <f>SUM(L40:L41)</f>
        <v>383.24</v>
      </c>
      <c r="M42" s="109">
        <f>SUM(M40:M41)</f>
        <v>26.826800000000006</v>
      </c>
      <c r="N42" s="109">
        <f>SUM(N40:N41)</f>
        <v>356.41319999999996</v>
      </c>
      <c r="O42" s="527"/>
      <c r="P42" s="527"/>
      <c r="Q42" s="527"/>
      <c r="R42" s="10"/>
      <c r="S42" s="10"/>
      <c r="T42" s="10"/>
      <c r="U42" s="10"/>
      <c r="V42" s="10"/>
      <c r="W42" s="10"/>
      <c r="X42" s="10"/>
      <c r="Y42" s="10"/>
      <c r="Z42" s="10"/>
    </row>
    <row r="43" spans="1:43" s="11" customFormat="1" x14ac:dyDescent="0.3">
      <c r="A43" s="518"/>
      <c r="B43" s="518"/>
      <c r="C43" s="518"/>
      <c r="D43" s="518"/>
      <c r="E43" s="518"/>
      <c r="F43" s="518"/>
      <c r="G43" s="518"/>
      <c r="H43" s="518"/>
      <c r="I43" s="518"/>
      <c r="J43" s="518"/>
      <c r="K43" s="518"/>
      <c r="L43" s="518"/>
      <c r="M43" s="518"/>
      <c r="N43" s="518"/>
      <c r="O43" s="518"/>
      <c r="P43" s="109"/>
      <c r="Q43" s="109"/>
      <c r="R43" s="10"/>
      <c r="S43" s="10"/>
      <c r="T43" s="10"/>
      <c r="U43" s="10"/>
      <c r="V43" s="10"/>
      <c r="W43" s="10"/>
      <c r="X43" s="10"/>
      <c r="Y43" s="10"/>
      <c r="Z43" s="10"/>
    </row>
    <row r="44" spans="1:43" s="11" customFormat="1" ht="28.5" customHeight="1" x14ac:dyDescent="0.3">
      <c r="A44" s="521" t="s">
        <v>177</v>
      </c>
      <c r="B44" s="521"/>
      <c r="C44" s="521"/>
      <c r="D44" s="521"/>
      <c r="E44" s="521"/>
      <c r="F44" s="521"/>
      <c r="G44" s="521"/>
      <c r="H44" s="521"/>
      <c r="I44" s="521"/>
      <c r="J44" s="521"/>
      <c r="K44" s="521"/>
      <c r="L44" s="521"/>
      <c r="M44" s="521"/>
      <c r="N44" s="521"/>
      <c r="O44" s="521"/>
      <c r="P44" s="521"/>
      <c r="Q44" s="521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43" s="11" customFormat="1" ht="25.5" customHeight="1" x14ac:dyDescent="0.3">
      <c r="A45" s="126" t="s">
        <v>173</v>
      </c>
      <c r="B45" s="126" t="s">
        <v>0</v>
      </c>
      <c r="C45" s="126"/>
      <c r="D45" s="126" t="s">
        <v>174</v>
      </c>
      <c r="E45" s="521" t="s">
        <v>175</v>
      </c>
      <c r="F45" s="521"/>
      <c r="G45" s="521"/>
      <c r="H45" s="521"/>
      <c r="I45" s="521"/>
      <c r="J45" s="521"/>
      <c r="K45" s="521"/>
      <c r="L45" s="129" t="s">
        <v>4</v>
      </c>
      <c r="M45" s="128"/>
      <c r="N45" s="128"/>
      <c r="O45" s="127" t="s">
        <v>59</v>
      </c>
      <c r="P45" s="130" t="s">
        <v>8</v>
      </c>
      <c r="Q45" s="130" t="s">
        <v>10</v>
      </c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43" s="69" customFormat="1" ht="15" customHeight="1" x14ac:dyDescent="0.3">
      <c r="A46" s="4" t="s">
        <v>132</v>
      </c>
      <c r="B46" s="4">
        <v>1</v>
      </c>
      <c r="C46" s="4"/>
      <c r="D46" s="5">
        <f>4977.59-1520</f>
        <v>3457.59</v>
      </c>
      <c r="E46" s="546" t="s">
        <v>284</v>
      </c>
      <c r="F46" s="547"/>
      <c r="G46" s="547"/>
      <c r="H46" s="547"/>
      <c r="I46" s="547"/>
      <c r="J46" s="547"/>
      <c r="K46" s="548"/>
      <c r="L46" s="5">
        <f>4977.59-1520</f>
        <v>3457.59</v>
      </c>
      <c r="M46" s="5"/>
      <c r="N46" s="5"/>
      <c r="O46" s="5" t="s">
        <v>510</v>
      </c>
      <c r="P46" s="140">
        <v>10</v>
      </c>
      <c r="Q46" s="4">
        <v>11</v>
      </c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</row>
    <row r="47" spans="1:43" s="11" customFormat="1" x14ac:dyDescent="0.3">
      <c r="A47" s="90" t="s">
        <v>87</v>
      </c>
      <c r="B47" s="90">
        <v>25</v>
      </c>
      <c r="C47" s="90"/>
      <c r="D47" s="5">
        <v>3013.33</v>
      </c>
      <c r="E47" s="546" t="s">
        <v>543</v>
      </c>
      <c r="F47" s="547"/>
      <c r="G47" s="547"/>
      <c r="H47" s="547"/>
      <c r="I47" s="547"/>
      <c r="J47" s="547"/>
      <c r="K47" s="548"/>
      <c r="L47" s="5">
        <v>3040.58</v>
      </c>
      <c r="M47" s="2"/>
      <c r="N47" s="2"/>
      <c r="O47" s="5" t="s">
        <v>545</v>
      </c>
      <c r="P47" s="98">
        <v>10</v>
      </c>
      <c r="Q47" s="3">
        <v>11</v>
      </c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</row>
    <row r="48" spans="1:43" s="11" customFormat="1" ht="15" customHeight="1" x14ac:dyDescent="0.3">
      <c r="A48" s="3" t="s">
        <v>894</v>
      </c>
      <c r="B48" s="90">
        <v>16</v>
      </c>
      <c r="C48" s="90" t="s">
        <v>823</v>
      </c>
      <c r="D48" s="5">
        <f>144.52+11.29+12.89+0.3+0.18+1664</f>
        <v>1833.18</v>
      </c>
      <c r="E48" s="546" t="s">
        <v>969</v>
      </c>
      <c r="F48" s="547"/>
      <c r="G48" s="547"/>
      <c r="H48" s="547"/>
      <c r="I48" s="547"/>
      <c r="J48" s="547"/>
      <c r="K48" s="548"/>
      <c r="L48" s="5">
        <f>144.52+11.29+12.89+0.3+0.18+1664</f>
        <v>1833.18</v>
      </c>
      <c r="M48" s="2"/>
      <c r="N48" s="2"/>
      <c r="O48" s="90" t="s">
        <v>969</v>
      </c>
      <c r="P48" s="98">
        <v>10</v>
      </c>
      <c r="Q48" s="3">
        <v>11</v>
      </c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</row>
    <row r="49" spans="1:61" s="206" customFormat="1" ht="15" customHeight="1" x14ac:dyDescent="0.3">
      <c r="A49" s="194" t="s">
        <v>739</v>
      </c>
      <c r="B49" s="194">
        <v>10</v>
      </c>
      <c r="C49" s="194" t="s">
        <v>825</v>
      </c>
      <c r="D49" s="196">
        <f>550+50+57.1+1.31+0.8</f>
        <v>659.20999999999992</v>
      </c>
      <c r="E49" s="551" t="s">
        <v>1015</v>
      </c>
      <c r="F49" s="580"/>
      <c r="G49" s="580"/>
      <c r="H49" s="580"/>
      <c r="I49" s="580"/>
      <c r="J49" s="580"/>
      <c r="K49" s="552"/>
      <c r="L49" s="234">
        <f>550+50+57.1+1.31+0.8</f>
        <v>659.20999999999992</v>
      </c>
      <c r="M49" s="192"/>
      <c r="N49" s="192"/>
      <c r="O49" s="193" t="s">
        <v>1015</v>
      </c>
      <c r="P49" s="235">
        <v>10</v>
      </c>
      <c r="Q49" s="197">
        <v>11</v>
      </c>
      <c r="R49" s="205"/>
      <c r="S49" s="205"/>
      <c r="T49" s="205"/>
      <c r="U49" s="205"/>
      <c r="V49" s="205"/>
      <c r="W49" s="205"/>
      <c r="X49" s="205"/>
      <c r="Y49" s="205"/>
      <c r="Z49" s="205"/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</row>
    <row r="50" spans="1:61" s="40" customFormat="1" ht="15" customHeight="1" thickBot="1" x14ac:dyDescent="0.35">
      <c r="A50" s="534" t="s">
        <v>4</v>
      </c>
      <c r="B50" s="549"/>
      <c r="C50" s="549"/>
      <c r="D50" s="549"/>
      <c r="E50" s="549"/>
      <c r="F50" s="549"/>
      <c r="G50" s="549"/>
      <c r="H50" s="549"/>
      <c r="I50" s="549"/>
      <c r="J50" s="549"/>
      <c r="K50" s="535"/>
      <c r="L50" s="114">
        <f>SUM(L46:L49)</f>
        <v>8990.56</v>
      </c>
      <c r="M50" s="90"/>
      <c r="N50" s="90"/>
      <c r="O50" s="90"/>
      <c r="P50" s="90"/>
      <c r="Q50" s="9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1"/>
      <c r="AV50" s="11"/>
      <c r="AW50" s="11"/>
      <c r="AX50" s="11"/>
    </row>
    <row r="51" spans="1:61" s="19" customFormat="1" x14ac:dyDescent="0.3">
      <c r="A51" s="179"/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1"/>
      <c r="Q51" s="182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</row>
    <row r="52" spans="1:61" s="40" customFormat="1" x14ac:dyDescent="0.3">
      <c r="A52" s="585"/>
      <c r="B52" s="585"/>
      <c r="C52" s="585"/>
      <c r="D52" s="585"/>
      <c r="E52" s="585"/>
      <c r="F52" s="46"/>
      <c r="G52" s="46"/>
      <c r="H52" s="46"/>
      <c r="I52" s="46"/>
      <c r="J52" s="46"/>
      <c r="K52" s="46"/>
      <c r="L52" s="46"/>
      <c r="M52" s="46"/>
      <c r="N52" s="46"/>
      <c r="O52" s="544" t="s">
        <v>315</v>
      </c>
      <c r="P52" s="544"/>
      <c r="Q52" s="545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1"/>
      <c r="AV52" s="11"/>
      <c r="AW52" s="11"/>
      <c r="AX52" s="11"/>
    </row>
    <row r="53" spans="1:61" s="40" customFormat="1" x14ac:dyDescent="0.3">
      <c r="A53" s="206"/>
      <c r="B53" s="223"/>
      <c r="C53" s="223"/>
      <c r="D53" s="224"/>
      <c r="E53" s="223"/>
      <c r="F53" s="46"/>
      <c r="G53" s="46"/>
      <c r="H53" s="46"/>
      <c r="I53" s="11"/>
      <c r="J53" s="11"/>
      <c r="K53" s="11"/>
      <c r="L53" s="87"/>
      <c r="M53" s="87"/>
      <c r="N53" s="87"/>
      <c r="O53" s="527" t="s">
        <v>94</v>
      </c>
      <c r="P53" s="527"/>
      <c r="Q53" s="114">
        <f>M37+M42</f>
        <v>1050.7532089338856</v>
      </c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1"/>
      <c r="AV53" s="11"/>
      <c r="AW53" s="11"/>
      <c r="AX53" s="11"/>
    </row>
    <row r="54" spans="1:61" s="40" customFormat="1" x14ac:dyDescent="0.3">
      <c r="A54" s="206"/>
      <c r="B54" s="223"/>
      <c r="C54" s="223"/>
      <c r="D54" s="224"/>
      <c r="E54" s="223"/>
      <c r="F54" s="46"/>
      <c r="G54" s="46"/>
      <c r="H54" s="46"/>
      <c r="I54" s="11"/>
      <c r="J54" s="11"/>
      <c r="K54" s="11"/>
      <c r="L54" s="14"/>
      <c r="M54" s="14"/>
      <c r="N54" s="14"/>
      <c r="O54" s="518" t="s">
        <v>260</v>
      </c>
      <c r="P54" s="518"/>
      <c r="Q54" s="114">
        <f>M6</f>
        <v>0</v>
      </c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1"/>
      <c r="AV54" s="11"/>
      <c r="AW54" s="11"/>
      <c r="AX54" s="11"/>
    </row>
    <row r="55" spans="1:61" s="40" customFormat="1" x14ac:dyDescent="0.3">
      <c r="A55" s="206"/>
      <c r="B55" s="223"/>
      <c r="C55" s="223"/>
      <c r="D55" s="224"/>
      <c r="E55" s="223"/>
      <c r="F55" s="46"/>
      <c r="G55" s="46"/>
      <c r="H55" s="46"/>
      <c r="I55" s="11"/>
      <c r="J55" s="11"/>
      <c r="K55" s="11"/>
      <c r="L55" s="14"/>
      <c r="M55" s="14"/>
      <c r="N55" s="14"/>
      <c r="O55" s="520"/>
      <c r="P55" s="520"/>
      <c r="Q55" s="52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1"/>
      <c r="AV55" s="11"/>
      <c r="AW55" s="11"/>
      <c r="AX55" s="11"/>
    </row>
    <row r="56" spans="1:61" s="40" customFormat="1" x14ac:dyDescent="0.3">
      <c r="A56" s="206"/>
      <c r="B56" s="223"/>
      <c r="C56" s="223"/>
      <c r="D56" s="224"/>
      <c r="E56" s="223"/>
      <c r="F56" s="46"/>
      <c r="G56" s="46"/>
      <c r="H56" s="46"/>
      <c r="I56" s="11"/>
      <c r="J56" s="11"/>
      <c r="K56" s="11"/>
      <c r="L56" s="62"/>
      <c r="M56" s="62"/>
      <c r="N56" s="62"/>
      <c r="O56" s="520"/>
      <c r="P56" s="520"/>
      <c r="Q56" s="52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1"/>
      <c r="AV56" s="11"/>
      <c r="AW56" s="11"/>
      <c r="AX56" s="11"/>
    </row>
    <row r="57" spans="1:61" s="40" customFormat="1" ht="14.4" x14ac:dyDescent="0.3">
      <c r="A57" s="206"/>
      <c r="B57" s="223"/>
      <c r="C57" s="223"/>
      <c r="D57" s="224"/>
      <c r="E57" s="223"/>
      <c r="F57" s="46"/>
      <c r="G57" s="46"/>
      <c r="H57" s="46"/>
      <c r="I57" s="11"/>
      <c r="J57" s="11"/>
      <c r="K57" s="11"/>
      <c r="L57" s="14"/>
      <c r="M57" s="14"/>
      <c r="N57" s="14"/>
      <c r="O57" s="529" t="s">
        <v>12</v>
      </c>
      <c r="P57" s="529"/>
      <c r="Q57" s="529"/>
      <c r="R57" s="175"/>
      <c r="S57" s="178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1"/>
      <c r="AV57" s="11"/>
      <c r="AW57" s="11"/>
      <c r="AX57" s="11"/>
    </row>
    <row r="58" spans="1:61" s="11" customFormat="1" ht="15" customHeight="1" x14ac:dyDescent="0.3">
      <c r="A58" s="206"/>
      <c r="B58" s="223"/>
      <c r="C58" s="223"/>
      <c r="D58" s="224"/>
      <c r="E58" s="223"/>
      <c r="F58" s="46"/>
      <c r="G58" s="46"/>
      <c r="H58" s="46"/>
      <c r="L58" s="63"/>
      <c r="M58" s="63"/>
      <c r="N58" s="63"/>
      <c r="O58" s="514" t="s">
        <v>1019</v>
      </c>
      <c r="P58" s="514"/>
      <c r="Q58" s="192">
        <v>126.81</v>
      </c>
      <c r="R58" s="190"/>
      <c r="S58" s="178"/>
    </row>
    <row r="59" spans="1:61" s="11" customFormat="1" ht="14.4" x14ac:dyDescent="0.3">
      <c r="A59" s="206"/>
      <c r="B59" s="223"/>
      <c r="C59" s="223"/>
      <c r="D59" s="224"/>
      <c r="E59" s="223"/>
      <c r="F59" s="46"/>
      <c r="G59" s="46"/>
      <c r="H59" s="46"/>
      <c r="L59" s="14"/>
      <c r="M59" s="14"/>
      <c r="N59" s="14"/>
      <c r="O59" s="581" t="s">
        <v>1017</v>
      </c>
      <c r="P59" s="582"/>
      <c r="Q59" s="192">
        <v>126.81</v>
      </c>
      <c r="R59" s="175"/>
      <c r="S59" s="178"/>
    </row>
    <row r="60" spans="1:61" s="11" customFormat="1" ht="15" customHeight="1" x14ac:dyDescent="0.3">
      <c r="A60" s="206"/>
      <c r="B60" s="223"/>
      <c r="C60" s="223"/>
      <c r="D60" s="224"/>
      <c r="E60" s="223"/>
      <c r="F60" s="46"/>
      <c r="G60" s="46"/>
      <c r="H60" s="46"/>
      <c r="L60" s="63"/>
      <c r="M60" s="63"/>
      <c r="N60" s="63"/>
      <c r="O60" s="581" t="s">
        <v>1018</v>
      </c>
      <c r="P60" s="582"/>
      <c r="Q60" s="192">
        <v>126.81</v>
      </c>
      <c r="R60" s="190"/>
      <c r="S60" s="178"/>
    </row>
    <row r="61" spans="1:61" s="11" customFormat="1" ht="14.4" x14ac:dyDescent="0.3">
      <c r="A61" s="206"/>
      <c r="B61" s="223"/>
      <c r="C61" s="223"/>
      <c r="D61" s="224"/>
      <c r="E61" s="223"/>
      <c r="F61" s="46"/>
      <c r="G61" s="46"/>
      <c r="H61" s="46"/>
      <c r="L61" s="14"/>
      <c r="M61" s="14"/>
      <c r="N61" s="14"/>
      <c r="O61" s="514" t="s">
        <v>1020</v>
      </c>
      <c r="P61" s="514"/>
      <c r="Q61" s="192">
        <v>126.44</v>
      </c>
      <c r="R61" s="222"/>
      <c r="S61" s="178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</row>
    <row r="62" spans="1:61" s="11" customFormat="1" ht="14.4" x14ac:dyDescent="0.3">
      <c r="A62" s="206"/>
      <c r="B62" s="223"/>
      <c r="C62" s="223"/>
      <c r="D62" s="224"/>
      <c r="E62" s="223"/>
      <c r="F62" s="46"/>
      <c r="G62" s="46"/>
      <c r="H62" s="46"/>
      <c r="L62" s="63"/>
      <c r="M62" s="63"/>
      <c r="N62" s="63"/>
      <c r="O62" s="581" t="s">
        <v>572</v>
      </c>
      <c r="P62" s="582"/>
      <c r="Q62" s="192">
        <v>21.48</v>
      </c>
      <c r="R62" s="175"/>
      <c r="S62" s="178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</row>
    <row r="63" spans="1:61" s="11" customFormat="1" ht="14.4" x14ac:dyDescent="0.3">
      <c r="A63" s="206"/>
      <c r="B63" s="223"/>
      <c r="C63" s="223"/>
      <c r="D63" s="224"/>
      <c r="E63" s="223"/>
      <c r="F63" s="46"/>
      <c r="G63" s="46"/>
      <c r="H63" s="46"/>
      <c r="L63" s="14"/>
      <c r="M63" s="14"/>
      <c r="N63" s="14"/>
      <c r="O63" s="514" t="s">
        <v>1021</v>
      </c>
      <c r="P63" s="514"/>
      <c r="Q63" s="192">
        <v>126.44</v>
      </c>
      <c r="R63" s="175"/>
      <c r="S63" s="185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</row>
    <row r="64" spans="1:61" s="11" customFormat="1" ht="14.4" x14ac:dyDescent="0.3">
      <c r="A64" s="206"/>
      <c r="B64" s="223"/>
      <c r="C64" s="223"/>
      <c r="D64" s="224"/>
      <c r="E64" s="223"/>
      <c r="F64" s="46"/>
      <c r="G64" s="46"/>
      <c r="H64" s="46"/>
      <c r="L64" s="14"/>
      <c r="M64" s="14"/>
      <c r="N64" s="14"/>
      <c r="O64" s="514" t="s">
        <v>1022</v>
      </c>
      <c r="P64" s="514"/>
      <c r="Q64" s="192">
        <v>127.18</v>
      </c>
      <c r="R64" s="175"/>
      <c r="S64" s="185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</row>
    <row r="65" spans="1:49" s="11" customFormat="1" ht="14.4" x14ac:dyDescent="0.3">
      <c r="A65" s="206"/>
      <c r="B65" s="223"/>
      <c r="C65" s="223"/>
      <c r="D65" s="224"/>
      <c r="E65" s="223"/>
      <c r="F65" s="46"/>
      <c r="G65" s="46"/>
      <c r="H65" s="46"/>
      <c r="L65" s="63"/>
      <c r="M65" s="63"/>
      <c r="N65" s="63"/>
      <c r="O65" s="514" t="s">
        <v>126</v>
      </c>
      <c r="P65" s="514"/>
      <c r="Q65" s="236">
        <v>100.88</v>
      </c>
      <c r="R65" s="175"/>
      <c r="S65" s="178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</row>
    <row r="66" spans="1:49" s="11" customFormat="1" ht="14.4" x14ac:dyDescent="0.3">
      <c r="A66" s="206"/>
      <c r="B66" s="223"/>
      <c r="C66" s="223"/>
      <c r="D66" s="224"/>
      <c r="E66" s="223"/>
      <c r="F66" s="46"/>
      <c r="G66" s="46"/>
      <c r="H66" s="46"/>
      <c r="L66" s="14"/>
      <c r="M66" s="14"/>
      <c r="N66" s="14"/>
      <c r="O66" s="583" t="s">
        <v>127</v>
      </c>
      <c r="P66" s="583"/>
      <c r="Q66" s="236">
        <v>1541.7</v>
      </c>
      <c r="R66" s="175"/>
      <c r="S66" s="178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</row>
    <row r="67" spans="1:49" s="11" customFormat="1" ht="15" customHeight="1" x14ac:dyDescent="0.3">
      <c r="A67" s="206"/>
      <c r="B67" s="223"/>
      <c r="C67" s="223"/>
      <c r="D67" s="224"/>
      <c r="E67" s="223"/>
      <c r="F67" s="46"/>
      <c r="G67" s="46"/>
      <c r="H67" s="46"/>
      <c r="L67" s="63"/>
      <c r="M67" s="63"/>
      <c r="N67" s="63"/>
      <c r="O67" s="514" t="s">
        <v>1016</v>
      </c>
      <c r="P67" s="514"/>
      <c r="Q67" s="236">
        <v>800</v>
      </c>
      <c r="S67" s="14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</row>
    <row r="68" spans="1:49" s="11" customFormat="1" ht="14.4" x14ac:dyDescent="0.3">
      <c r="A68" s="206"/>
      <c r="B68" s="223"/>
      <c r="C68" s="223"/>
      <c r="D68" s="224"/>
      <c r="E68" s="223"/>
      <c r="F68" s="46"/>
      <c r="G68" s="46"/>
      <c r="H68" s="46"/>
      <c r="L68" s="14"/>
      <c r="M68" s="14"/>
      <c r="N68" s="14"/>
      <c r="O68" s="518" t="s">
        <v>26</v>
      </c>
      <c r="P68" s="518"/>
      <c r="Q68" s="109">
        <f>SUM(Q53:Q67)</f>
        <v>4275.3032089338858</v>
      </c>
      <c r="R68" s="190"/>
      <c r="S68" s="178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</row>
    <row r="69" spans="1:49" s="11" customFormat="1" ht="14.4" x14ac:dyDescent="0.3">
      <c r="A69" s="206"/>
      <c r="B69" s="223"/>
      <c r="C69" s="223"/>
      <c r="D69" s="224"/>
      <c r="E69" s="223"/>
      <c r="F69" s="46"/>
      <c r="G69" s="46"/>
      <c r="H69" s="46"/>
      <c r="L69" s="63"/>
      <c r="M69" s="63"/>
      <c r="N69" s="63"/>
      <c r="O69" s="543"/>
      <c r="P69" s="543"/>
      <c r="Q69" s="135"/>
      <c r="R69" s="175"/>
      <c r="S69" s="178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</row>
    <row r="70" spans="1:49" s="11" customFormat="1" ht="14.4" x14ac:dyDescent="0.3">
      <c r="A70" s="206"/>
      <c r="B70" s="223"/>
      <c r="C70" s="223"/>
      <c r="D70" s="224"/>
      <c r="E70" s="223"/>
      <c r="F70" s="46"/>
      <c r="G70" s="46"/>
      <c r="H70" s="46"/>
      <c r="O70" s="564" t="s">
        <v>11</v>
      </c>
      <c r="P70" s="565"/>
      <c r="Q70" s="153">
        <f>L6+L37+L42</f>
        <v>15010.760127626931</v>
      </c>
      <c r="R70" s="175"/>
      <c r="S70" s="178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</row>
    <row r="71" spans="1:49" s="11" customFormat="1" ht="14.4" x14ac:dyDescent="0.3">
      <c r="A71" s="206"/>
      <c r="B71" s="223"/>
      <c r="C71" s="223"/>
      <c r="D71" s="224"/>
      <c r="E71" s="223"/>
      <c r="F71" s="46"/>
      <c r="G71" s="46"/>
      <c r="H71" s="46"/>
      <c r="L71" s="63"/>
      <c r="M71" s="63"/>
      <c r="N71" s="63"/>
      <c r="O71" s="518"/>
      <c r="P71" s="518"/>
      <c r="Q71" s="519"/>
      <c r="R71" s="175"/>
      <c r="S71" s="178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</row>
    <row r="72" spans="1:49" s="11" customFormat="1" ht="14.4" x14ac:dyDescent="0.3">
      <c r="A72" s="206"/>
      <c r="B72" s="223"/>
      <c r="C72" s="223"/>
      <c r="D72" s="224"/>
      <c r="E72" s="223"/>
      <c r="F72" s="46"/>
      <c r="G72" s="46"/>
      <c r="H72" s="46"/>
      <c r="L72" s="14"/>
      <c r="M72" s="14"/>
      <c r="N72" s="14"/>
      <c r="O72" s="513" t="s">
        <v>13</v>
      </c>
      <c r="P72" s="513"/>
      <c r="Q72" s="151">
        <f>Q70-Q68</f>
        <v>10735.456918693046</v>
      </c>
      <c r="R72" s="175"/>
      <c r="S72" s="185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</row>
    <row r="73" spans="1:49" s="11" customFormat="1" ht="14.4" x14ac:dyDescent="0.3">
      <c r="A73" s="206"/>
      <c r="B73" s="223"/>
      <c r="C73" s="223"/>
      <c r="D73" s="224"/>
      <c r="E73" s="223"/>
      <c r="F73" s="46"/>
      <c r="G73" s="46"/>
      <c r="H73" s="46"/>
      <c r="O73" s="124"/>
      <c r="P73" s="124"/>
      <c r="Q73" s="57"/>
      <c r="R73" s="175"/>
      <c r="S73" s="176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</row>
    <row r="74" spans="1:49" s="11" customFormat="1" ht="14.4" x14ac:dyDescent="0.3">
      <c r="A74" s="206"/>
      <c r="B74" s="223"/>
      <c r="C74" s="223"/>
      <c r="D74" s="224"/>
      <c r="E74" s="223"/>
      <c r="F74" s="46"/>
      <c r="G74" s="46"/>
      <c r="H74" s="46"/>
      <c r="O74" s="124"/>
      <c r="P74" s="124"/>
      <c r="Q74" s="57"/>
      <c r="R74" s="175"/>
      <c r="S74" s="176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</row>
    <row r="75" spans="1:49" s="11" customFormat="1" ht="14.4" x14ac:dyDescent="0.3">
      <c r="A75" s="206"/>
      <c r="B75" s="223"/>
      <c r="C75" s="223"/>
      <c r="D75" s="224"/>
      <c r="E75" s="223"/>
      <c r="F75" s="46"/>
      <c r="G75" s="46"/>
      <c r="H75" s="46"/>
      <c r="O75" s="124"/>
      <c r="P75" s="124"/>
      <c r="Q75" s="57"/>
      <c r="R75" s="175"/>
      <c r="S75" s="178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</row>
    <row r="76" spans="1:49" s="11" customFormat="1" ht="14.4" x14ac:dyDescent="0.3">
      <c r="A76" s="206"/>
      <c r="B76" s="223"/>
      <c r="C76" s="223"/>
      <c r="D76" s="224"/>
      <c r="E76" s="223"/>
      <c r="F76" s="46"/>
      <c r="G76" s="46"/>
      <c r="H76" s="46"/>
      <c r="L76" s="14"/>
      <c r="M76" s="14"/>
      <c r="N76" s="14"/>
      <c r="O76" s="124"/>
      <c r="P76" s="124"/>
      <c r="Q76" s="57"/>
      <c r="R76" s="175"/>
      <c r="S76" s="178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</row>
    <row r="77" spans="1:49" s="11" customFormat="1" ht="14.4" x14ac:dyDescent="0.3">
      <c r="A77" s="206"/>
      <c r="B77" s="223"/>
      <c r="C77" s="223"/>
      <c r="D77" s="224"/>
      <c r="E77" s="223"/>
      <c r="F77" s="46"/>
      <c r="G77" s="46"/>
      <c r="H77" s="46"/>
      <c r="L77" s="15"/>
      <c r="M77" s="15"/>
      <c r="N77" s="15"/>
      <c r="O77" s="15"/>
      <c r="P77" s="14"/>
      <c r="Q77" s="57"/>
      <c r="R77" s="175"/>
      <c r="S77" s="178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</row>
    <row r="78" spans="1:49" s="11" customFormat="1" ht="14.4" x14ac:dyDescent="0.3">
      <c r="A78" s="206"/>
      <c r="B78" s="223"/>
      <c r="C78" s="223"/>
      <c r="D78" s="224"/>
      <c r="E78" s="223"/>
      <c r="F78" s="46"/>
      <c r="G78" s="46"/>
      <c r="H78" s="46"/>
      <c r="L78" s="14"/>
      <c r="M78" s="14"/>
      <c r="N78" s="14"/>
      <c r="P78" s="15"/>
      <c r="Q78" s="57"/>
      <c r="R78" s="175"/>
      <c r="S78" s="178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</row>
    <row r="79" spans="1:49" s="11" customFormat="1" ht="14.4" x14ac:dyDescent="0.3">
      <c r="A79" s="206"/>
      <c r="B79" s="223"/>
      <c r="C79" s="223"/>
      <c r="D79" s="224"/>
      <c r="E79" s="223"/>
      <c r="F79" s="46"/>
      <c r="G79" s="46"/>
      <c r="H79" s="46"/>
      <c r="L79" s="14"/>
      <c r="M79" s="14"/>
      <c r="N79" s="14"/>
      <c r="Q79" s="57"/>
      <c r="R79" s="175"/>
      <c r="S79" s="178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</row>
    <row r="80" spans="1:49" s="11" customFormat="1" ht="14.4" x14ac:dyDescent="0.3">
      <c r="A80" s="206"/>
      <c r="B80" s="223"/>
      <c r="C80" s="223"/>
      <c r="D80" s="224"/>
      <c r="E80" s="223"/>
      <c r="F80" s="46"/>
      <c r="G80" s="46"/>
      <c r="H80" s="46"/>
      <c r="L80" s="14"/>
      <c r="M80" s="14"/>
      <c r="N80" s="14"/>
      <c r="O80" s="14"/>
      <c r="P80" s="14"/>
      <c r="Q80" s="57"/>
      <c r="R80" s="175"/>
      <c r="S80" s="178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</row>
    <row r="81" spans="1:49" s="11" customFormat="1" x14ac:dyDescent="0.3">
      <c r="A81" s="206"/>
      <c r="B81" s="223"/>
      <c r="C81" s="223"/>
      <c r="D81" s="224"/>
      <c r="E81" s="223"/>
      <c r="F81" s="46"/>
      <c r="G81" s="46"/>
      <c r="H81" s="46"/>
      <c r="L81" s="14"/>
      <c r="M81" s="14"/>
      <c r="N81" s="14"/>
      <c r="O81" s="14"/>
      <c r="P81" s="15"/>
      <c r="Q81" s="57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</row>
    <row r="82" spans="1:49" s="69" customFormat="1" x14ac:dyDescent="0.3">
      <c r="A82" s="206"/>
      <c r="B82" s="223"/>
      <c r="C82" s="223"/>
      <c r="D82" s="224"/>
      <c r="E82" s="223"/>
      <c r="F82" s="46"/>
      <c r="G82" s="46"/>
      <c r="H82" s="46"/>
      <c r="I82" s="11"/>
      <c r="J82" s="11"/>
      <c r="K82" s="11"/>
      <c r="L82" s="14"/>
      <c r="M82" s="14"/>
      <c r="N82" s="14"/>
      <c r="O82" s="14"/>
      <c r="P82" s="11"/>
      <c r="Q82" s="57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s="69" customFormat="1" x14ac:dyDescent="0.3">
      <c r="A83" s="206"/>
      <c r="B83" s="223"/>
      <c r="C83" s="223"/>
      <c r="D83" s="224"/>
      <c r="E83" s="223"/>
      <c r="F83" s="46"/>
      <c r="G83" s="46"/>
      <c r="H83" s="46"/>
      <c r="I83" s="11"/>
      <c r="J83" s="11"/>
      <c r="K83" s="11"/>
      <c r="L83" s="14"/>
      <c r="M83" s="14"/>
      <c r="N83" s="14"/>
      <c r="O83" s="14"/>
      <c r="P83" s="11"/>
      <c r="Q83" s="57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s="69" customFormat="1" x14ac:dyDescent="0.3">
      <c r="A84" s="206"/>
      <c r="B84" s="223"/>
      <c r="C84" s="223"/>
      <c r="D84" s="224"/>
      <c r="E84" s="223"/>
      <c r="F84" s="46"/>
      <c r="G84" s="46"/>
      <c r="H84" s="46"/>
      <c r="I84" s="11"/>
      <c r="J84" s="11"/>
      <c r="K84" s="11"/>
      <c r="L84" s="14"/>
      <c r="M84" s="14"/>
      <c r="N84" s="14"/>
      <c r="O84" s="11"/>
      <c r="P84" s="11"/>
      <c r="Q84" s="57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s="69" customFormat="1" x14ac:dyDescent="0.3">
      <c r="A85" s="206"/>
      <c r="B85" s="223"/>
      <c r="C85" s="223"/>
      <c r="D85" s="224"/>
      <c r="E85" s="223"/>
      <c r="F85" s="46"/>
      <c r="G85" s="46"/>
      <c r="H85" s="46"/>
      <c r="I85" s="11"/>
      <c r="J85" s="11"/>
      <c r="K85" s="11"/>
      <c r="L85" s="14"/>
      <c r="M85" s="14"/>
      <c r="N85" s="14"/>
      <c r="O85" s="11"/>
      <c r="P85" s="14"/>
      <c r="Q85" s="57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s="69" customFormat="1" x14ac:dyDescent="0.3">
      <c r="A86" s="206"/>
      <c r="B86" s="223"/>
      <c r="C86" s="223"/>
      <c r="D86" s="224"/>
      <c r="E86" s="223"/>
      <c r="F86" s="46"/>
      <c r="G86" s="46"/>
      <c r="H86" s="46"/>
      <c r="I86" s="11"/>
      <c r="J86" s="11"/>
      <c r="K86" s="11"/>
      <c r="L86" s="14"/>
      <c r="M86" s="14"/>
      <c r="N86" s="14"/>
      <c r="O86" s="11"/>
      <c r="P86" s="14"/>
      <c r="Q86" s="57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s="69" customFormat="1" x14ac:dyDescent="0.3">
      <c r="A87" s="206"/>
      <c r="B87" s="223"/>
      <c r="C87" s="223"/>
      <c r="D87" s="224"/>
      <c r="E87" s="223"/>
      <c r="F87" s="46"/>
      <c r="G87" s="46"/>
      <c r="H87" s="46"/>
      <c r="I87" s="11"/>
      <c r="J87" s="11"/>
      <c r="K87" s="11"/>
      <c r="L87" s="14"/>
      <c r="M87" s="14"/>
      <c r="N87" s="14"/>
      <c r="O87" s="11"/>
      <c r="P87" s="14"/>
      <c r="Q87" s="57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s="69" customFormat="1" x14ac:dyDescent="0.3">
      <c r="A88" s="206"/>
      <c r="B88" s="223"/>
      <c r="C88" s="223"/>
      <c r="D88" s="224"/>
      <c r="E88" s="223"/>
      <c r="F88" s="46"/>
      <c r="G88" s="46"/>
      <c r="H88" s="46"/>
      <c r="I88" s="11"/>
      <c r="J88" s="11"/>
      <c r="K88" s="11"/>
      <c r="L88" s="14"/>
      <c r="M88" s="14"/>
      <c r="N88" s="14"/>
      <c r="O88" s="11"/>
      <c r="P88" s="14"/>
      <c r="Q88" s="57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69" customFormat="1" x14ac:dyDescent="0.3">
      <c r="A89" s="206"/>
      <c r="B89" s="223"/>
      <c r="C89" s="223"/>
      <c r="D89" s="224"/>
      <c r="E89" s="223"/>
      <c r="F89" s="46"/>
      <c r="G89" s="46"/>
      <c r="H89" s="46"/>
      <c r="I89" s="11"/>
      <c r="J89" s="11"/>
      <c r="K89" s="11"/>
      <c r="L89" s="14"/>
      <c r="M89" s="14"/>
      <c r="N89" s="14"/>
      <c r="O89" s="11"/>
      <c r="P89" s="11"/>
      <c r="Q89" s="57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s="69" customFormat="1" x14ac:dyDescent="0.3">
      <c r="A90" s="206"/>
      <c r="B90" s="223"/>
      <c r="C90" s="223"/>
      <c r="D90" s="224"/>
      <c r="E90" s="223"/>
      <c r="F90" s="46"/>
      <c r="G90" s="46"/>
      <c r="H90" s="46"/>
      <c r="I90" s="11"/>
      <c r="J90" s="11"/>
      <c r="K90" s="11"/>
      <c r="L90" s="14"/>
      <c r="M90" s="14"/>
      <c r="N90" s="14"/>
      <c r="O90" s="11"/>
      <c r="P90" s="11"/>
      <c r="Q90" s="57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s="69" customFormat="1" x14ac:dyDescent="0.3">
      <c r="A91" s="206"/>
      <c r="B91" s="223"/>
      <c r="C91" s="223"/>
      <c r="D91" s="224"/>
      <c r="E91" s="223"/>
      <c r="F91" s="46"/>
      <c r="G91" s="46"/>
      <c r="H91" s="46"/>
      <c r="I91" s="11"/>
      <c r="J91" s="11"/>
      <c r="K91" s="11"/>
      <c r="L91" s="14"/>
      <c r="M91" s="14"/>
      <c r="N91" s="14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</row>
    <row r="92" spans="1:49" s="69" customFormat="1" x14ac:dyDescent="0.3">
      <c r="A92" s="206"/>
      <c r="B92" s="223"/>
      <c r="C92" s="223"/>
      <c r="D92" s="224"/>
      <c r="E92" s="223"/>
      <c r="F92" s="46"/>
      <c r="G92" s="46"/>
      <c r="H92" s="46"/>
      <c r="I92" s="11"/>
      <c r="J92" s="11"/>
      <c r="K92" s="11"/>
      <c r="L92" s="14"/>
      <c r="M92" s="14"/>
      <c r="N92" s="14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</row>
    <row r="93" spans="1:49" s="69" customFormat="1" x14ac:dyDescent="0.3">
      <c r="A93" s="206"/>
      <c r="B93" s="223"/>
      <c r="C93" s="223"/>
      <c r="D93" s="224"/>
      <c r="E93" s="223"/>
      <c r="F93" s="46"/>
      <c r="G93" s="46"/>
      <c r="H93" s="46"/>
      <c r="L93" s="142"/>
      <c r="M93" s="142"/>
      <c r="N93" s="142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s="70" customFormat="1" x14ac:dyDescent="0.3">
      <c r="A94" s="206"/>
      <c r="B94" s="223"/>
      <c r="C94" s="223"/>
      <c r="D94" s="224"/>
      <c r="E94" s="223"/>
      <c r="F94" s="46"/>
      <c r="G94" s="46"/>
      <c r="H94" s="46"/>
      <c r="I94" s="63"/>
      <c r="J94" s="63"/>
      <c r="K94" s="63"/>
      <c r="L94" s="69"/>
      <c r="M94" s="69"/>
      <c r="N94" s="69"/>
      <c r="O94" s="69"/>
      <c r="P94" s="69"/>
      <c r="Q94" s="69"/>
    </row>
    <row r="95" spans="1:49" s="70" customFormat="1" ht="15" customHeight="1" x14ac:dyDescent="0.3">
      <c r="A95" s="206"/>
      <c r="B95" s="223"/>
      <c r="C95" s="223"/>
      <c r="D95" s="224"/>
      <c r="E95" s="223"/>
      <c r="F95" s="46"/>
      <c r="G95" s="46"/>
      <c r="H95" s="46"/>
      <c r="I95" s="11"/>
      <c r="J95" s="11"/>
      <c r="K95" s="63"/>
      <c r="L95" s="142"/>
      <c r="M95" s="142"/>
      <c r="N95" s="142"/>
      <c r="O95" s="69"/>
      <c r="P95" s="69"/>
      <c r="Q95" s="69"/>
      <c r="AW95" s="69"/>
    </row>
    <row r="96" spans="1:49" s="70" customFormat="1" x14ac:dyDescent="0.3">
      <c r="A96" s="206"/>
      <c r="B96" s="223"/>
      <c r="C96" s="223"/>
      <c r="D96" s="224"/>
      <c r="E96" s="223"/>
      <c r="F96" s="46"/>
      <c r="G96" s="46"/>
      <c r="H96" s="46"/>
      <c r="I96" s="142"/>
      <c r="J96" s="142"/>
      <c r="K96" s="142"/>
      <c r="L96" s="142"/>
      <c r="M96" s="142"/>
      <c r="N96" s="142"/>
      <c r="O96" s="69"/>
      <c r="P96" s="69"/>
      <c r="Q96" s="69"/>
      <c r="AW96" s="69"/>
    </row>
    <row r="97" spans="1:49" s="70" customFormat="1" x14ac:dyDescent="0.3">
      <c r="A97" s="206"/>
      <c r="B97" s="223"/>
      <c r="C97" s="223"/>
      <c r="D97" s="224"/>
      <c r="E97" s="223"/>
      <c r="F97" s="46"/>
      <c r="G97" s="46"/>
      <c r="H97" s="46"/>
      <c r="I97" s="11"/>
      <c r="J97" s="11"/>
      <c r="K97" s="63"/>
      <c r="L97" s="142"/>
      <c r="M97" s="142"/>
      <c r="N97" s="142"/>
      <c r="O97" s="69"/>
      <c r="P97" s="69"/>
      <c r="Q97" s="69"/>
      <c r="AW97" s="69"/>
    </row>
    <row r="98" spans="1:49" s="70" customFormat="1" x14ac:dyDescent="0.3">
      <c r="A98" s="206"/>
      <c r="B98" s="223"/>
      <c r="C98" s="223"/>
      <c r="D98" s="224"/>
      <c r="E98" s="223"/>
      <c r="F98" s="46"/>
      <c r="G98" s="46"/>
      <c r="H98" s="46"/>
      <c r="I98" s="142"/>
      <c r="J98" s="142"/>
      <c r="K98" s="142"/>
      <c r="L98" s="142"/>
      <c r="M98" s="142"/>
      <c r="N98" s="142"/>
      <c r="O98" s="144"/>
      <c r="P98" s="69"/>
      <c r="Q98" s="69"/>
      <c r="AW98" s="69"/>
    </row>
    <row r="99" spans="1:49" s="70" customFormat="1" x14ac:dyDescent="0.3">
      <c r="A99" s="206"/>
      <c r="B99" s="223"/>
      <c r="C99" s="223"/>
      <c r="D99" s="224"/>
      <c r="E99" s="223"/>
      <c r="F99" s="46"/>
      <c r="G99" s="46"/>
      <c r="H99" s="46"/>
      <c r="I99" s="11"/>
      <c r="J99" s="11"/>
      <c r="K99" s="63"/>
      <c r="L99" s="142"/>
      <c r="M99" s="142"/>
      <c r="N99" s="142"/>
      <c r="O99" s="144"/>
      <c r="P99" s="69"/>
      <c r="Q99" s="69"/>
      <c r="AW99" s="69"/>
    </row>
    <row r="100" spans="1:49" s="70" customFormat="1" x14ac:dyDescent="0.3">
      <c r="A100" s="206"/>
      <c r="B100" s="223"/>
      <c r="C100" s="223"/>
      <c r="D100" s="224"/>
      <c r="E100" s="223"/>
      <c r="F100" s="46"/>
      <c r="G100" s="46"/>
      <c r="H100" s="46"/>
      <c r="I100" s="142"/>
      <c r="J100" s="142"/>
      <c r="K100" s="142"/>
      <c r="L100" s="142"/>
      <c r="M100" s="142"/>
      <c r="N100" s="142"/>
      <c r="O100" s="144"/>
      <c r="P100" s="69"/>
      <c r="AW100" s="69"/>
    </row>
    <row r="101" spans="1:49" s="70" customFormat="1" x14ac:dyDescent="0.3">
      <c r="A101" s="206"/>
      <c r="B101" s="223"/>
      <c r="C101" s="223"/>
      <c r="D101" s="224"/>
      <c r="E101" s="223"/>
      <c r="F101" s="46"/>
      <c r="G101" s="46"/>
      <c r="H101" s="46"/>
      <c r="I101" s="11"/>
      <c r="J101" s="11"/>
      <c r="K101" s="63"/>
      <c r="L101" s="142"/>
      <c r="M101" s="142"/>
      <c r="N101" s="142"/>
      <c r="O101" s="144"/>
      <c r="P101" s="69"/>
      <c r="AW101" s="69"/>
    </row>
    <row r="102" spans="1:49" s="70" customFormat="1" x14ac:dyDescent="0.3">
      <c r="A102" s="206"/>
      <c r="B102" s="223"/>
      <c r="C102" s="223"/>
      <c r="D102" s="224"/>
      <c r="E102" s="223"/>
      <c r="F102" s="46"/>
      <c r="G102" s="46"/>
      <c r="H102" s="46"/>
      <c r="I102" s="142"/>
      <c r="J102" s="142"/>
      <c r="K102" s="142"/>
      <c r="L102" s="142"/>
      <c r="M102" s="142"/>
      <c r="N102" s="142"/>
      <c r="O102" s="144"/>
      <c r="P102" s="69"/>
      <c r="AW102" s="69"/>
    </row>
    <row r="103" spans="1:49" s="70" customFormat="1" x14ac:dyDescent="0.3">
      <c r="A103" s="206"/>
      <c r="B103" s="223"/>
      <c r="C103" s="223"/>
      <c r="D103" s="224"/>
      <c r="E103" s="223"/>
      <c r="F103" s="46"/>
      <c r="G103" s="46"/>
      <c r="H103" s="46"/>
      <c r="I103" s="11"/>
      <c r="J103" s="11"/>
      <c r="K103" s="63"/>
      <c r="L103" s="142"/>
      <c r="M103" s="142"/>
      <c r="N103" s="142"/>
      <c r="O103" s="144"/>
      <c r="P103" s="144"/>
      <c r="AW103" s="69"/>
    </row>
    <row r="104" spans="1:49" s="70" customFormat="1" x14ac:dyDescent="0.3">
      <c r="A104" s="148"/>
      <c r="B104" s="225"/>
      <c r="C104" s="225"/>
      <c r="D104" s="225"/>
      <c r="E104" s="225"/>
      <c r="F104" s="46"/>
      <c r="G104" s="46"/>
      <c r="H104" s="46"/>
      <c r="I104" s="142"/>
      <c r="J104" s="142"/>
      <c r="K104" s="142"/>
      <c r="L104" s="142"/>
      <c r="M104" s="142"/>
      <c r="N104" s="142"/>
      <c r="O104" s="144"/>
      <c r="P104" s="144"/>
      <c r="AW104" s="69"/>
    </row>
    <row r="105" spans="1:49" s="70" customFormat="1" x14ac:dyDescent="0.3">
      <c r="A105" s="69"/>
      <c r="B105" s="69"/>
      <c r="C105" s="69"/>
      <c r="D105" s="69"/>
      <c r="E105" s="69"/>
      <c r="F105" s="69"/>
      <c r="G105" s="69"/>
      <c r="H105" s="69"/>
      <c r="I105" s="142"/>
      <c r="J105" s="142"/>
      <c r="K105" s="142"/>
      <c r="L105" s="142"/>
      <c r="M105" s="142"/>
      <c r="N105" s="142"/>
      <c r="O105" s="144"/>
      <c r="P105" s="144"/>
      <c r="AW105" s="69"/>
    </row>
    <row r="106" spans="1:49" s="70" customFormat="1" x14ac:dyDescent="0.3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142"/>
      <c r="M106" s="142"/>
      <c r="N106" s="142"/>
      <c r="O106" s="144"/>
      <c r="P106" s="144"/>
      <c r="AW106" s="69"/>
    </row>
    <row r="107" spans="1:49" s="70" customFormat="1" x14ac:dyDescent="0.3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142"/>
      <c r="M107" s="142"/>
      <c r="N107" s="142"/>
      <c r="O107" s="144"/>
      <c r="P107" s="144"/>
      <c r="AW107" s="69"/>
    </row>
    <row r="108" spans="1:49" s="70" customFormat="1" x14ac:dyDescent="0.3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142"/>
      <c r="M108" s="142"/>
      <c r="N108" s="142"/>
      <c r="O108" s="144"/>
      <c r="P108" s="144"/>
      <c r="AW108" s="69"/>
    </row>
    <row r="109" spans="1:49" s="70" customFormat="1" x14ac:dyDescent="0.3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142"/>
      <c r="M109" s="142"/>
      <c r="N109" s="142"/>
      <c r="O109" s="144"/>
      <c r="P109" s="144"/>
      <c r="AW109" s="69"/>
    </row>
    <row r="110" spans="1:49" s="70" customFormat="1" x14ac:dyDescent="0.3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142"/>
      <c r="M110" s="142"/>
      <c r="N110" s="142"/>
      <c r="O110" s="144"/>
      <c r="P110" s="144"/>
      <c r="AW110" s="69"/>
    </row>
    <row r="111" spans="1:49" s="70" customFormat="1" x14ac:dyDescent="0.3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142"/>
      <c r="M111" s="142"/>
      <c r="N111" s="142"/>
      <c r="O111" s="144"/>
      <c r="P111" s="144"/>
      <c r="AW111" s="69"/>
    </row>
    <row r="112" spans="1:49" s="70" customFormat="1" x14ac:dyDescent="0.3">
      <c r="F112" s="69"/>
      <c r="G112" s="69"/>
      <c r="H112" s="69"/>
      <c r="I112" s="69"/>
      <c r="J112" s="69"/>
      <c r="K112" s="69"/>
      <c r="L112" s="142"/>
      <c r="M112" s="142"/>
      <c r="N112" s="142"/>
      <c r="O112" s="144"/>
      <c r="P112" s="144"/>
      <c r="AW112" s="69"/>
    </row>
    <row r="113" spans="9:49" s="70" customFormat="1" x14ac:dyDescent="0.3">
      <c r="I113" s="69"/>
      <c r="J113" s="69"/>
      <c r="K113" s="69"/>
      <c r="L113" s="142"/>
      <c r="M113" s="142"/>
      <c r="N113" s="142"/>
      <c r="O113" s="144"/>
      <c r="P113" s="144"/>
      <c r="AW113" s="69"/>
    </row>
    <row r="114" spans="9:49" s="70" customFormat="1" x14ac:dyDescent="0.3">
      <c r="L114" s="142"/>
      <c r="M114" s="142"/>
      <c r="N114" s="142"/>
      <c r="O114" s="144"/>
      <c r="P114" s="144"/>
      <c r="AW114" s="69"/>
    </row>
    <row r="115" spans="9:49" s="70" customFormat="1" x14ac:dyDescent="0.3">
      <c r="L115" s="142"/>
      <c r="M115" s="142"/>
      <c r="N115" s="142"/>
      <c r="O115" s="144"/>
      <c r="P115" s="144"/>
      <c r="AW115" s="69"/>
    </row>
    <row r="116" spans="9:49" s="70" customFormat="1" x14ac:dyDescent="0.3">
      <c r="L116" s="142"/>
      <c r="M116" s="142"/>
      <c r="N116" s="142"/>
      <c r="O116" s="144"/>
      <c r="P116" s="144"/>
      <c r="AW116" s="69"/>
    </row>
    <row r="117" spans="9:49" s="70" customFormat="1" x14ac:dyDescent="0.3">
      <c r="L117" s="142"/>
      <c r="M117" s="142"/>
      <c r="N117" s="142"/>
      <c r="O117" s="144"/>
      <c r="P117" s="144"/>
      <c r="AW117" s="69"/>
    </row>
    <row r="118" spans="9:49" s="70" customFormat="1" x14ac:dyDescent="0.3">
      <c r="L118" s="142"/>
      <c r="M118" s="142"/>
      <c r="N118" s="142"/>
      <c r="O118" s="144"/>
      <c r="P118" s="144"/>
      <c r="AW118" s="69"/>
    </row>
    <row r="119" spans="9:49" s="70" customFormat="1" x14ac:dyDescent="0.3">
      <c r="L119" s="142"/>
      <c r="M119" s="142"/>
      <c r="N119" s="142"/>
      <c r="O119" s="144"/>
      <c r="P119" s="144"/>
      <c r="AW119" s="69"/>
    </row>
    <row r="120" spans="9:49" s="70" customFormat="1" x14ac:dyDescent="0.3">
      <c r="L120" s="142"/>
      <c r="M120" s="142"/>
      <c r="N120" s="142"/>
      <c r="O120" s="144"/>
      <c r="P120" s="144"/>
      <c r="AW120" s="69"/>
    </row>
    <row r="121" spans="9:49" s="70" customFormat="1" x14ac:dyDescent="0.3">
      <c r="L121" s="142"/>
      <c r="M121" s="142"/>
      <c r="N121" s="142"/>
      <c r="O121" s="144"/>
      <c r="P121" s="144"/>
      <c r="AW121" s="69"/>
    </row>
    <row r="122" spans="9:49" s="70" customFormat="1" x14ac:dyDescent="0.3">
      <c r="L122" s="142"/>
      <c r="M122" s="142"/>
      <c r="N122" s="142"/>
      <c r="O122" s="144"/>
      <c r="P122" s="144"/>
      <c r="AW122" s="69"/>
    </row>
    <row r="123" spans="9:49" s="70" customFormat="1" x14ac:dyDescent="0.3">
      <c r="L123" s="142"/>
      <c r="M123" s="142"/>
      <c r="N123" s="142"/>
      <c r="O123" s="144"/>
      <c r="P123" s="144"/>
      <c r="AW123" s="69"/>
    </row>
    <row r="124" spans="9:49" s="70" customFormat="1" x14ac:dyDescent="0.3">
      <c r="L124" s="142"/>
      <c r="M124" s="142"/>
      <c r="N124" s="142"/>
      <c r="O124" s="144"/>
      <c r="P124" s="144"/>
      <c r="AW124" s="69"/>
    </row>
    <row r="125" spans="9:49" s="70" customFormat="1" x14ac:dyDescent="0.3">
      <c r="L125" s="142"/>
      <c r="M125" s="142"/>
      <c r="N125" s="142"/>
      <c r="O125" s="144"/>
      <c r="P125" s="144"/>
      <c r="AW125" s="69"/>
    </row>
    <row r="126" spans="9:49" s="70" customFormat="1" x14ac:dyDescent="0.3">
      <c r="L126" s="142"/>
      <c r="M126" s="142"/>
      <c r="N126" s="142"/>
      <c r="O126" s="144"/>
      <c r="P126" s="144"/>
      <c r="AW126" s="69"/>
    </row>
    <row r="127" spans="9:49" s="70" customFormat="1" x14ac:dyDescent="0.3">
      <c r="L127" s="142"/>
      <c r="M127" s="142"/>
      <c r="N127" s="142"/>
      <c r="O127" s="144"/>
      <c r="P127" s="144"/>
      <c r="AW127" s="69"/>
    </row>
    <row r="128" spans="9:49" s="70" customFormat="1" x14ac:dyDescent="0.3">
      <c r="L128" s="142"/>
      <c r="M128" s="142"/>
      <c r="N128" s="142"/>
      <c r="O128" s="144"/>
      <c r="P128" s="144"/>
      <c r="AW128" s="69"/>
    </row>
    <row r="129" spans="12:49" s="70" customFormat="1" x14ac:dyDescent="0.3">
      <c r="L129" s="142"/>
      <c r="M129" s="142"/>
      <c r="N129" s="142"/>
      <c r="O129" s="144"/>
      <c r="P129" s="144"/>
      <c r="AW129" s="69"/>
    </row>
    <row r="130" spans="12:49" s="70" customFormat="1" x14ac:dyDescent="0.3">
      <c r="L130" s="142"/>
      <c r="M130" s="142"/>
      <c r="N130" s="142"/>
      <c r="O130" s="144"/>
      <c r="P130" s="144"/>
      <c r="AW130" s="69"/>
    </row>
    <row r="131" spans="12:49" s="70" customFormat="1" x14ac:dyDescent="0.3">
      <c r="L131" s="142"/>
      <c r="M131" s="142"/>
      <c r="N131" s="142"/>
      <c r="O131" s="144"/>
      <c r="P131" s="144"/>
      <c r="AW131" s="69"/>
    </row>
    <row r="132" spans="12:49" s="70" customFormat="1" x14ac:dyDescent="0.3">
      <c r="L132" s="142"/>
      <c r="M132" s="142"/>
      <c r="N132" s="142"/>
      <c r="O132" s="144"/>
      <c r="P132" s="144"/>
      <c r="AW132" s="69"/>
    </row>
    <row r="133" spans="12:49" s="70" customFormat="1" x14ac:dyDescent="0.3">
      <c r="L133" s="142"/>
      <c r="M133" s="142"/>
      <c r="N133" s="142"/>
      <c r="O133" s="144"/>
      <c r="P133" s="144"/>
      <c r="AW133" s="69"/>
    </row>
    <row r="134" spans="12:49" s="70" customFormat="1" x14ac:dyDescent="0.3">
      <c r="L134" s="142"/>
      <c r="M134" s="142"/>
      <c r="N134" s="142"/>
      <c r="O134" s="144"/>
      <c r="P134" s="144"/>
      <c r="AW134" s="69"/>
    </row>
    <row r="135" spans="12:49" s="70" customFormat="1" x14ac:dyDescent="0.3">
      <c r="L135" s="142"/>
      <c r="M135" s="142"/>
      <c r="N135" s="142"/>
      <c r="O135" s="144"/>
      <c r="P135" s="144"/>
      <c r="AW135" s="69"/>
    </row>
    <row r="136" spans="12:49" s="70" customFormat="1" x14ac:dyDescent="0.3">
      <c r="L136" s="142"/>
      <c r="M136" s="142"/>
      <c r="N136" s="142"/>
      <c r="O136" s="144"/>
      <c r="P136" s="144"/>
      <c r="AW136" s="69"/>
    </row>
    <row r="137" spans="12:49" s="70" customFormat="1" x14ac:dyDescent="0.3">
      <c r="L137" s="142"/>
      <c r="M137" s="142"/>
      <c r="N137" s="142"/>
      <c r="O137" s="144"/>
      <c r="P137" s="144"/>
      <c r="AW137" s="69"/>
    </row>
    <row r="138" spans="12:49" s="70" customFormat="1" x14ac:dyDescent="0.3">
      <c r="L138" s="142"/>
      <c r="M138" s="142"/>
      <c r="N138" s="142"/>
      <c r="O138" s="144"/>
      <c r="P138" s="144"/>
      <c r="AW138" s="69"/>
    </row>
    <row r="139" spans="12:49" s="70" customFormat="1" x14ac:dyDescent="0.3">
      <c r="L139" s="142"/>
      <c r="M139" s="142"/>
      <c r="N139" s="142"/>
      <c r="O139" s="144"/>
      <c r="P139" s="144"/>
      <c r="AW139" s="69"/>
    </row>
    <row r="140" spans="12:49" s="70" customFormat="1" x14ac:dyDescent="0.3">
      <c r="L140" s="142"/>
      <c r="M140" s="142"/>
      <c r="N140" s="142"/>
      <c r="O140" s="144"/>
      <c r="P140" s="144"/>
      <c r="AW140" s="69"/>
    </row>
    <row r="141" spans="12:49" s="70" customFormat="1" x14ac:dyDescent="0.3">
      <c r="L141" s="142"/>
      <c r="M141" s="142"/>
      <c r="N141" s="142"/>
      <c r="O141" s="144"/>
      <c r="P141" s="144"/>
      <c r="AW141" s="69"/>
    </row>
    <row r="142" spans="12:49" s="70" customFormat="1" x14ac:dyDescent="0.3">
      <c r="L142" s="142"/>
      <c r="M142" s="142"/>
      <c r="N142" s="142"/>
      <c r="O142" s="144"/>
      <c r="P142" s="144"/>
      <c r="AW142" s="69"/>
    </row>
    <row r="143" spans="12:49" s="70" customFormat="1" x14ac:dyDescent="0.3">
      <c r="L143" s="142"/>
      <c r="M143" s="142"/>
      <c r="N143" s="142"/>
      <c r="O143" s="144"/>
      <c r="P143" s="144"/>
      <c r="AW143" s="69"/>
    </row>
    <row r="144" spans="12:49" s="70" customFormat="1" x14ac:dyDescent="0.3">
      <c r="L144" s="142"/>
      <c r="M144" s="142"/>
      <c r="N144" s="142"/>
      <c r="O144" s="144"/>
      <c r="P144" s="144"/>
      <c r="AW144" s="69"/>
    </row>
    <row r="145" spans="12:49" s="70" customFormat="1" x14ac:dyDescent="0.3">
      <c r="L145" s="142"/>
      <c r="M145" s="142"/>
      <c r="N145" s="142"/>
      <c r="O145" s="144"/>
      <c r="P145" s="144"/>
      <c r="AW145" s="69"/>
    </row>
    <row r="146" spans="12:49" s="70" customFormat="1" x14ac:dyDescent="0.3">
      <c r="L146" s="142"/>
      <c r="M146" s="142"/>
      <c r="N146" s="142"/>
      <c r="O146" s="144"/>
      <c r="P146" s="144"/>
      <c r="AW146" s="69"/>
    </row>
    <row r="147" spans="12:49" s="70" customFormat="1" x14ac:dyDescent="0.3">
      <c r="L147" s="142"/>
      <c r="M147" s="142"/>
      <c r="N147" s="142"/>
      <c r="O147" s="144"/>
      <c r="P147" s="144"/>
      <c r="AW147" s="69"/>
    </row>
    <row r="148" spans="12:49" s="70" customFormat="1" x14ac:dyDescent="0.3">
      <c r="L148" s="142"/>
      <c r="M148" s="142"/>
      <c r="N148" s="142"/>
      <c r="O148" s="144"/>
      <c r="P148" s="144"/>
      <c r="AW148" s="69"/>
    </row>
    <row r="149" spans="12:49" s="70" customFormat="1" x14ac:dyDescent="0.3">
      <c r="L149" s="142"/>
      <c r="M149" s="142"/>
      <c r="N149" s="142"/>
      <c r="O149" s="144"/>
      <c r="P149" s="144"/>
      <c r="AW149" s="69"/>
    </row>
    <row r="150" spans="12:49" s="70" customFormat="1" x14ac:dyDescent="0.3">
      <c r="L150" s="142"/>
      <c r="M150" s="142"/>
      <c r="N150" s="142"/>
      <c r="O150" s="144"/>
      <c r="P150" s="144"/>
      <c r="AW150" s="69"/>
    </row>
    <row r="151" spans="12:49" s="70" customFormat="1" x14ac:dyDescent="0.3">
      <c r="L151" s="142"/>
      <c r="M151" s="142"/>
      <c r="N151" s="142"/>
      <c r="O151" s="144"/>
      <c r="P151" s="144"/>
      <c r="AW151" s="69"/>
    </row>
    <row r="152" spans="12:49" s="70" customFormat="1" x14ac:dyDescent="0.3">
      <c r="L152" s="142"/>
      <c r="M152" s="142"/>
      <c r="N152" s="142"/>
      <c r="O152" s="144"/>
      <c r="P152" s="144"/>
      <c r="AW152" s="69"/>
    </row>
    <row r="153" spans="12:49" s="70" customFormat="1" x14ac:dyDescent="0.3">
      <c r="L153" s="142"/>
      <c r="M153" s="142"/>
      <c r="N153" s="142"/>
      <c r="O153" s="144"/>
      <c r="P153" s="144"/>
      <c r="AW153" s="69"/>
    </row>
    <row r="154" spans="12:49" s="70" customFormat="1" x14ac:dyDescent="0.3">
      <c r="L154" s="142"/>
      <c r="M154" s="142"/>
      <c r="N154" s="142"/>
      <c r="O154" s="144"/>
      <c r="P154" s="144"/>
      <c r="AW154" s="69"/>
    </row>
    <row r="155" spans="12:49" s="70" customFormat="1" x14ac:dyDescent="0.3">
      <c r="L155" s="142"/>
      <c r="M155" s="142"/>
      <c r="N155" s="142"/>
      <c r="O155" s="144"/>
      <c r="P155" s="144"/>
      <c r="AW155" s="69"/>
    </row>
    <row r="156" spans="12:49" s="70" customFormat="1" x14ac:dyDescent="0.3">
      <c r="L156" s="142"/>
      <c r="M156" s="142"/>
      <c r="N156" s="142"/>
      <c r="O156" s="144"/>
      <c r="P156" s="144"/>
      <c r="AW156" s="69"/>
    </row>
    <row r="157" spans="12:49" s="70" customFormat="1" x14ac:dyDescent="0.3">
      <c r="L157" s="142"/>
      <c r="M157" s="142"/>
      <c r="N157" s="142"/>
      <c r="O157" s="144"/>
      <c r="P157" s="144"/>
      <c r="AW157" s="69"/>
    </row>
    <row r="158" spans="12:49" s="70" customFormat="1" x14ac:dyDescent="0.3">
      <c r="L158" s="142"/>
      <c r="M158" s="142"/>
      <c r="N158" s="142"/>
      <c r="O158" s="144"/>
      <c r="P158" s="144"/>
      <c r="AW158" s="69"/>
    </row>
    <row r="159" spans="12:49" s="70" customFormat="1" x14ac:dyDescent="0.3">
      <c r="L159" s="142"/>
      <c r="M159" s="142"/>
      <c r="N159" s="142"/>
      <c r="O159" s="144"/>
      <c r="P159" s="144"/>
      <c r="AW159" s="69"/>
    </row>
    <row r="160" spans="12:49" s="70" customFormat="1" x14ac:dyDescent="0.3">
      <c r="L160" s="142"/>
      <c r="M160" s="142"/>
      <c r="N160" s="142"/>
      <c r="O160" s="144"/>
      <c r="P160" s="144"/>
      <c r="AW160" s="69"/>
    </row>
    <row r="161" spans="1:50" s="70" customFormat="1" x14ac:dyDescent="0.3">
      <c r="L161" s="142"/>
      <c r="M161" s="142"/>
      <c r="N161" s="142"/>
      <c r="O161" s="144"/>
      <c r="P161" s="144"/>
      <c r="AW161" s="69"/>
    </row>
    <row r="162" spans="1:50" s="70" customFormat="1" x14ac:dyDescent="0.3">
      <c r="L162" s="142"/>
      <c r="M162" s="142"/>
      <c r="N162" s="142"/>
      <c r="O162" s="144"/>
      <c r="P162" s="144"/>
      <c r="AW162" s="69"/>
    </row>
    <row r="163" spans="1:50" s="70" customFormat="1" x14ac:dyDescent="0.3">
      <c r="L163" s="142"/>
      <c r="M163" s="142"/>
      <c r="N163" s="142"/>
      <c r="O163" s="144"/>
      <c r="P163" s="144"/>
      <c r="AW163" s="69"/>
    </row>
    <row r="164" spans="1:50" s="70" customFormat="1" x14ac:dyDescent="0.3">
      <c r="L164" s="142"/>
      <c r="M164" s="142"/>
      <c r="N164" s="142"/>
      <c r="O164" s="144"/>
      <c r="P164" s="144"/>
      <c r="AW164" s="69"/>
    </row>
    <row r="165" spans="1:50" s="70" customFormat="1" x14ac:dyDescent="0.3">
      <c r="L165" s="142"/>
      <c r="M165" s="142"/>
      <c r="N165" s="142"/>
      <c r="O165" s="144"/>
      <c r="P165" s="144"/>
      <c r="AW165" s="69"/>
    </row>
    <row r="166" spans="1:50" s="70" customFormat="1" x14ac:dyDescent="0.3">
      <c r="L166" s="142"/>
      <c r="M166" s="142"/>
      <c r="N166" s="142"/>
      <c r="O166" s="144"/>
      <c r="P166" s="144"/>
      <c r="AW166" s="69"/>
    </row>
    <row r="167" spans="1:50" s="70" customFormat="1" x14ac:dyDescent="0.3">
      <c r="L167" s="142"/>
      <c r="M167" s="142"/>
      <c r="N167" s="142"/>
      <c r="O167" s="144"/>
      <c r="P167" s="144"/>
      <c r="AW167" s="69"/>
    </row>
    <row r="168" spans="1:50" s="70" customFormat="1" x14ac:dyDescent="0.3">
      <c r="L168" s="142"/>
      <c r="M168" s="142"/>
      <c r="N168" s="142"/>
      <c r="O168" s="144"/>
      <c r="P168" s="144"/>
      <c r="AW168" s="69"/>
    </row>
    <row r="169" spans="1:50" s="145" customFormat="1" x14ac:dyDescent="0.3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142"/>
      <c r="M169" s="142"/>
      <c r="N169" s="142"/>
      <c r="O169" s="144"/>
      <c r="P169" s="144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69"/>
      <c r="AX169" s="70"/>
    </row>
    <row r="170" spans="1:50" s="145" customFormat="1" x14ac:dyDescent="0.3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142"/>
      <c r="M170" s="142"/>
      <c r="N170" s="142"/>
      <c r="O170" s="144"/>
      <c r="P170" s="144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69"/>
      <c r="AX170" s="70"/>
    </row>
    <row r="171" spans="1:50" s="145" customFormat="1" x14ac:dyDescent="0.3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142"/>
      <c r="M171" s="142"/>
      <c r="N171" s="142"/>
      <c r="O171" s="144"/>
      <c r="P171" s="144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69"/>
      <c r="AX171" s="70"/>
    </row>
    <row r="172" spans="1:50" s="145" customFormat="1" x14ac:dyDescent="0.3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142"/>
      <c r="M172" s="142"/>
      <c r="N172" s="142"/>
      <c r="O172" s="144"/>
      <c r="P172" s="144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69"/>
      <c r="AX172" s="70"/>
    </row>
    <row r="173" spans="1:50" s="145" customFormat="1" x14ac:dyDescent="0.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142"/>
      <c r="M173" s="142"/>
      <c r="N173" s="142"/>
      <c r="O173" s="144"/>
      <c r="P173" s="144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69"/>
      <c r="AX173" s="70"/>
    </row>
    <row r="174" spans="1:50" s="145" customFormat="1" x14ac:dyDescent="0.3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142"/>
      <c r="M174" s="142"/>
      <c r="N174" s="142"/>
      <c r="O174" s="144"/>
      <c r="P174" s="144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69"/>
      <c r="AX174" s="70"/>
    </row>
    <row r="175" spans="1:50" s="145" customFormat="1" x14ac:dyDescent="0.3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142"/>
      <c r="M175" s="142"/>
      <c r="N175" s="142"/>
      <c r="O175" s="147"/>
      <c r="P175" s="144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69"/>
      <c r="AX175" s="70"/>
    </row>
    <row r="176" spans="1:50" s="145" customFormat="1" x14ac:dyDescent="0.3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142"/>
      <c r="M176" s="142"/>
      <c r="N176" s="142"/>
      <c r="O176" s="147"/>
      <c r="P176" s="144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69"/>
      <c r="AX176" s="70"/>
    </row>
    <row r="177" spans="1:50" s="145" customFormat="1" x14ac:dyDescent="0.3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142"/>
      <c r="M177" s="142"/>
      <c r="N177" s="142"/>
      <c r="O177" s="147"/>
      <c r="P177" s="144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69"/>
      <c r="AX177" s="70"/>
    </row>
    <row r="178" spans="1:50" s="145" customFormat="1" x14ac:dyDescent="0.3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142"/>
      <c r="M178" s="142"/>
      <c r="N178" s="142"/>
      <c r="O178" s="147"/>
      <c r="P178" s="144"/>
      <c r="Q178" s="149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69"/>
      <c r="AX178" s="70"/>
    </row>
    <row r="179" spans="1:50" s="145" customFormat="1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142"/>
      <c r="M179" s="142"/>
      <c r="N179" s="142"/>
      <c r="O179" s="147"/>
      <c r="P179" s="144"/>
      <c r="Q179" s="149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69"/>
      <c r="AX179" s="70"/>
    </row>
    <row r="180" spans="1:50" s="145" customFormat="1" x14ac:dyDescent="0.3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142"/>
      <c r="M180" s="142"/>
      <c r="N180" s="142"/>
      <c r="O180" s="147"/>
      <c r="P180" s="147"/>
      <c r="Q180" s="149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69"/>
      <c r="AX180" s="70"/>
    </row>
    <row r="181" spans="1:50" s="145" customFormat="1" x14ac:dyDescent="0.3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146"/>
      <c r="M181" s="146"/>
      <c r="N181" s="146"/>
      <c r="O181" s="147"/>
      <c r="P181" s="147"/>
      <c r="Q181" s="149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69"/>
      <c r="AX181" s="70"/>
    </row>
    <row r="182" spans="1:50" s="145" customFormat="1" x14ac:dyDescent="0.3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146"/>
      <c r="M182" s="146"/>
      <c r="N182" s="146"/>
      <c r="O182" s="147"/>
      <c r="P182" s="147"/>
      <c r="Q182" s="149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69"/>
      <c r="AX182" s="70"/>
    </row>
    <row r="183" spans="1:50" s="145" customFormat="1" x14ac:dyDescent="0.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146"/>
      <c r="M183" s="146"/>
      <c r="N183" s="146"/>
      <c r="O183" s="147"/>
      <c r="P183" s="147"/>
      <c r="Q183" s="149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69"/>
      <c r="AX183" s="70"/>
    </row>
    <row r="184" spans="1:50" s="145" customFormat="1" x14ac:dyDescent="0.3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146"/>
      <c r="M184" s="146"/>
      <c r="N184" s="146"/>
      <c r="O184" s="147"/>
      <c r="P184" s="147"/>
      <c r="Q184" s="149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69"/>
      <c r="AX184" s="70"/>
    </row>
    <row r="185" spans="1:50" s="145" customFormat="1" x14ac:dyDescent="0.3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146"/>
      <c r="M185" s="146"/>
      <c r="N185" s="146"/>
      <c r="O185" s="147"/>
      <c r="P185" s="147"/>
      <c r="Q185" s="149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69"/>
      <c r="AX185" s="70"/>
    </row>
    <row r="186" spans="1:50" x14ac:dyDescent="0.3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146"/>
      <c r="M186" s="146"/>
      <c r="N186" s="146"/>
      <c r="O186" s="147"/>
      <c r="P186" s="147"/>
      <c r="Q186" s="149"/>
      <c r="AW186" s="148"/>
      <c r="AX186" s="148"/>
    </row>
    <row r="187" spans="1:50" x14ac:dyDescent="0.3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146"/>
      <c r="M187" s="146"/>
      <c r="N187" s="146"/>
      <c r="O187" s="147"/>
      <c r="P187" s="147"/>
      <c r="Q187" s="149"/>
      <c r="AW187" s="148"/>
      <c r="AX187" s="148"/>
    </row>
    <row r="188" spans="1:50" x14ac:dyDescent="0.3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146"/>
      <c r="M188" s="146"/>
      <c r="N188" s="146"/>
      <c r="O188" s="147"/>
      <c r="P188" s="147"/>
      <c r="Q188" s="149"/>
      <c r="AW188" s="148"/>
      <c r="AX188" s="148"/>
    </row>
    <row r="189" spans="1:50" x14ac:dyDescent="0.3">
      <c r="A189" s="149"/>
      <c r="B189" s="149"/>
      <c r="C189" s="149"/>
      <c r="D189" s="149"/>
      <c r="E189" s="149"/>
      <c r="F189" s="70"/>
      <c r="G189" s="70"/>
      <c r="H189" s="70"/>
      <c r="I189" s="70"/>
      <c r="J189" s="70"/>
      <c r="K189" s="70"/>
      <c r="L189" s="146"/>
      <c r="M189" s="146"/>
      <c r="N189" s="146"/>
      <c r="O189" s="147"/>
      <c r="P189" s="147"/>
      <c r="Q189" s="149"/>
      <c r="AW189" s="148"/>
      <c r="AX189" s="148"/>
    </row>
    <row r="190" spans="1:50" x14ac:dyDescent="0.3">
      <c r="A190" s="149"/>
      <c r="B190" s="149"/>
      <c r="C190" s="149"/>
      <c r="D190" s="149"/>
      <c r="E190" s="149"/>
      <c r="F190" s="149"/>
      <c r="G190" s="149"/>
      <c r="H190" s="149"/>
      <c r="I190" s="70"/>
      <c r="J190" s="70"/>
      <c r="K190" s="70"/>
      <c r="L190" s="146"/>
      <c r="M190" s="146"/>
      <c r="N190" s="146"/>
      <c r="O190" s="147"/>
      <c r="P190" s="147"/>
      <c r="AW190" s="148"/>
      <c r="AX190" s="148"/>
    </row>
    <row r="191" spans="1:50" x14ac:dyDescent="0.3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6"/>
      <c r="M191" s="146"/>
      <c r="N191" s="146"/>
      <c r="O191" s="147"/>
      <c r="P191" s="147"/>
      <c r="AW191" s="148"/>
      <c r="AX191" s="148"/>
    </row>
    <row r="192" spans="1:50" x14ac:dyDescent="0.3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6"/>
      <c r="M192" s="146"/>
      <c r="N192" s="146"/>
      <c r="P192" s="147"/>
      <c r="AW192" s="148"/>
      <c r="AX192" s="148"/>
    </row>
    <row r="193" spans="1:50" x14ac:dyDescent="0.3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6"/>
      <c r="M193" s="146"/>
      <c r="N193" s="146"/>
      <c r="P193" s="147"/>
      <c r="AW193" s="148"/>
      <c r="AX193" s="148"/>
    </row>
    <row r="194" spans="1:50" x14ac:dyDescent="0.3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6"/>
      <c r="M194" s="146"/>
      <c r="N194" s="146"/>
      <c r="P194" s="147"/>
      <c r="AW194" s="148"/>
      <c r="AX194" s="148"/>
    </row>
    <row r="195" spans="1:50" x14ac:dyDescent="0.3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6"/>
      <c r="M195" s="146"/>
      <c r="N195" s="146"/>
      <c r="P195" s="147"/>
      <c r="AW195" s="148"/>
      <c r="AX195" s="148"/>
    </row>
    <row r="196" spans="1:50" x14ac:dyDescent="0.3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L196" s="146"/>
      <c r="M196" s="146"/>
      <c r="N196" s="146"/>
      <c r="O196" s="148"/>
      <c r="P196" s="147"/>
      <c r="AW196" s="148"/>
      <c r="AX196" s="148"/>
    </row>
    <row r="197" spans="1:50" x14ac:dyDescent="0.3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L197" s="146"/>
      <c r="M197" s="146"/>
      <c r="N197" s="146"/>
      <c r="AW197" s="148"/>
      <c r="AX197" s="148"/>
    </row>
    <row r="198" spans="1:50" x14ac:dyDescent="0.3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</row>
    <row r="199" spans="1:50" x14ac:dyDescent="0.3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69"/>
      <c r="AJ199" s="69"/>
      <c r="AK199" s="69"/>
      <c r="AL199" s="69"/>
      <c r="AM199" s="69"/>
      <c r="AN199" s="69"/>
      <c r="AO199" s="69"/>
      <c r="AP199" s="69"/>
      <c r="AQ199" s="69"/>
      <c r="AR199" s="69"/>
      <c r="AS199" s="69"/>
      <c r="AT199" s="69"/>
      <c r="AU199" s="69"/>
      <c r="AV199" s="69"/>
      <c r="AW199" s="148"/>
      <c r="AX199" s="148"/>
    </row>
    <row r="200" spans="1:50" x14ac:dyDescent="0.3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</row>
    <row r="201" spans="1:50" x14ac:dyDescent="0.3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</row>
    <row r="202" spans="1:50" x14ac:dyDescent="0.3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</row>
    <row r="203" spans="1:50" x14ac:dyDescent="0.3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</row>
    <row r="204" spans="1:50" x14ac:dyDescent="0.3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  <c r="K204" s="149"/>
    </row>
    <row r="205" spans="1:50" x14ac:dyDescent="0.3">
      <c r="A205" s="149"/>
      <c r="B205" s="149"/>
      <c r="C205" s="149"/>
      <c r="D205" s="149"/>
      <c r="E205" s="149"/>
      <c r="F205" s="149"/>
      <c r="G205" s="149"/>
      <c r="H205" s="149"/>
      <c r="I205" s="149"/>
      <c r="J205" s="149"/>
      <c r="K205" s="149"/>
    </row>
    <row r="206" spans="1:50" x14ac:dyDescent="0.3">
      <c r="F206" s="149"/>
      <c r="G206" s="149"/>
      <c r="H206" s="149"/>
      <c r="I206" s="149"/>
      <c r="J206" s="149"/>
      <c r="K206" s="149"/>
    </row>
    <row r="207" spans="1:50" x14ac:dyDescent="0.3">
      <c r="I207" s="149"/>
      <c r="J207" s="149"/>
      <c r="K207" s="149"/>
    </row>
    <row r="211" spans="12:14" x14ac:dyDescent="0.3">
      <c r="L211" s="148"/>
      <c r="M211" s="148"/>
      <c r="N211" s="148"/>
    </row>
    <row r="1048534" spans="1:61" x14ac:dyDescent="0.3">
      <c r="Q1048534" s="57"/>
    </row>
    <row r="1048543" spans="1:61" s="70" customFormat="1" x14ac:dyDescent="0.3">
      <c r="A1048543" s="148"/>
      <c r="B1048543" s="148"/>
      <c r="C1048543" s="148"/>
      <c r="D1048543" s="148"/>
      <c r="E1048543" s="148"/>
      <c r="F1048543" s="148"/>
      <c r="G1048543" s="148"/>
      <c r="H1048543" s="148"/>
      <c r="I1048543" s="148"/>
      <c r="J1048543" s="148"/>
      <c r="K1048543" s="148"/>
      <c r="L1048543" s="150"/>
      <c r="M1048543" s="150"/>
      <c r="N1048543" s="150"/>
      <c r="O1048543" s="150"/>
      <c r="P1048543" s="150"/>
      <c r="Q1048543" s="148"/>
      <c r="AW1048543" s="69"/>
      <c r="AX1048543" s="69"/>
      <c r="AY1048543" s="148"/>
      <c r="AZ1048543" s="148"/>
      <c r="BA1048543" s="148"/>
      <c r="BB1048543" s="148"/>
      <c r="BC1048543" s="148"/>
      <c r="BD1048543" s="148"/>
      <c r="BE1048543" s="148"/>
      <c r="BF1048543" s="148"/>
      <c r="BG1048543" s="148"/>
      <c r="BH1048543" s="148"/>
      <c r="BI1048543" s="148"/>
    </row>
  </sheetData>
  <mergeCells count="40">
    <mergeCell ref="O60:P60"/>
    <mergeCell ref="E41:K41"/>
    <mergeCell ref="O68:P68"/>
    <mergeCell ref="O69:P69"/>
    <mergeCell ref="O70:P70"/>
    <mergeCell ref="O59:P59"/>
    <mergeCell ref="E45:K45"/>
    <mergeCell ref="E46:K46"/>
    <mergeCell ref="E47:K47"/>
    <mergeCell ref="E48:K48"/>
    <mergeCell ref="A50:K50"/>
    <mergeCell ref="A52:E52"/>
    <mergeCell ref="O52:Q52"/>
    <mergeCell ref="O53:P53"/>
    <mergeCell ref="O54:P54"/>
    <mergeCell ref="O55:Q56"/>
    <mergeCell ref="O71:Q71"/>
    <mergeCell ref="O72:P72"/>
    <mergeCell ref="O62:P62"/>
    <mergeCell ref="O61:P61"/>
    <mergeCell ref="O63:P63"/>
    <mergeCell ref="O65:P65"/>
    <mergeCell ref="O66:P66"/>
    <mergeCell ref="O67:P67"/>
    <mergeCell ref="O64:P64"/>
    <mergeCell ref="O57:Q57"/>
    <mergeCell ref="E49:K49"/>
    <mergeCell ref="O58:P58"/>
    <mergeCell ref="A44:Q44"/>
    <mergeCell ref="A1:Q1"/>
    <mergeCell ref="A2:Q2"/>
    <mergeCell ref="A6:B6"/>
    <mergeCell ref="A7:Q7"/>
    <mergeCell ref="A37:B37"/>
    <mergeCell ref="A38:Q38"/>
    <mergeCell ref="E39:K39"/>
    <mergeCell ref="E40:K40"/>
    <mergeCell ref="A42:K42"/>
    <mergeCell ref="O42:Q42"/>
    <mergeCell ref="A43:O43"/>
  </mergeCells>
  <pageMargins left="0.19685039370078741" right="0.19685039370078741" top="0.19685039370078741" bottom="0.19685039370078741" header="0.19685039370078741" footer="0.19685039370078741"/>
  <pageSetup paperSize="9" scale="1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ED5AB-D3F3-4633-A600-AA4B4E463ADD}">
  <sheetPr>
    <pageSetUpPr fitToPage="1"/>
  </sheetPr>
  <dimension ref="A1:BI1048545"/>
  <sheetViews>
    <sheetView topLeftCell="A22" zoomScale="70" zoomScaleNormal="70" workbookViewId="0">
      <selection activeCell="O50" sqref="O50"/>
    </sheetView>
  </sheetViews>
  <sheetFormatPr defaultColWidth="9.109375" defaultRowHeight="13.8" x14ac:dyDescent="0.3"/>
  <cols>
    <col min="1" max="1" width="50.6640625" style="148" bestFit="1" customWidth="1"/>
    <col min="2" max="2" width="8.33203125" style="148" bestFit="1" customWidth="1"/>
    <col min="3" max="4" width="19" style="148" customWidth="1"/>
    <col min="5" max="5" width="17.109375" style="148" customWidth="1"/>
    <col min="6" max="6" width="19" style="148" bestFit="1" customWidth="1"/>
    <col min="7" max="7" width="16" style="148" customWidth="1"/>
    <col min="8" max="8" width="16.6640625" style="148" bestFit="1" customWidth="1"/>
    <col min="9" max="10" width="14.109375" style="148" bestFit="1" customWidth="1"/>
    <col min="11" max="11" width="15.109375" style="148" bestFit="1" customWidth="1"/>
    <col min="12" max="12" width="18.44140625" style="150" bestFit="1" customWidth="1"/>
    <col min="13" max="13" width="17.5546875" style="150" bestFit="1" customWidth="1"/>
    <col min="14" max="14" width="19" style="150" bestFit="1" customWidth="1"/>
    <col min="15" max="15" width="120.77734375" style="150" customWidth="1"/>
    <col min="16" max="16" width="12" style="150" customWidth="1"/>
    <col min="17" max="17" width="18.109375" style="148" bestFit="1" customWidth="1"/>
    <col min="18" max="19" width="13.109375" style="70" bestFit="1" customWidth="1"/>
    <col min="20" max="48" width="9.109375" style="70"/>
    <col min="49" max="50" width="9.109375" style="69"/>
    <col min="51" max="16384" width="9.109375" style="148"/>
  </cols>
  <sheetData>
    <row r="1" spans="1:43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</row>
    <row r="2" spans="1:43" s="10" customFormat="1" ht="28.5" customHeight="1" x14ac:dyDescent="0.3">
      <c r="A2" s="571" t="s">
        <v>1025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3"/>
    </row>
    <row r="3" spans="1:43" s="10" customFormat="1" ht="27.6" x14ac:dyDescent="0.3">
      <c r="A3" s="83" t="s">
        <v>3</v>
      </c>
      <c r="B3" s="83" t="s">
        <v>0</v>
      </c>
      <c r="C3" s="83" t="s">
        <v>821</v>
      </c>
      <c r="D3" s="84" t="s">
        <v>1</v>
      </c>
      <c r="E3" s="84" t="s">
        <v>68</v>
      </c>
      <c r="F3" s="84" t="s">
        <v>69</v>
      </c>
      <c r="G3" s="85" t="s">
        <v>2</v>
      </c>
      <c r="H3" s="85" t="s">
        <v>592</v>
      </c>
      <c r="I3" s="84" t="s">
        <v>6</v>
      </c>
      <c r="J3" s="84" t="s">
        <v>764</v>
      </c>
      <c r="K3" s="84" t="s">
        <v>7</v>
      </c>
      <c r="L3" s="84" t="s">
        <v>4</v>
      </c>
      <c r="M3" s="84" t="s">
        <v>5</v>
      </c>
      <c r="N3" s="84" t="s">
        <v>70</v>
      </c>
      <c r="O3" s="83" t="s">
        <v>59</v>
      </c>
      <c r="P3" s="86" t="s">
        <v>8</v>
      </c>
      <c r="Q3" s="86" t="s">
        <v>10</v>
      </c>
    </row>
    <row r="4" spans="1:43" s="203" customFormat="1" x14ac:dyDescent="0.3">
      <c r="A4" s="193" t="s">
        <v>1004</v>
      </c>
      <c r="B4" s="194">
        <v>2</v>
      </c>
      <c r="C4" s="193" t="s">
        <v>822</v>
      </c>
      <c r="D4" s="196">
        <f>'GERAL 2024'!G41</f>
        <v>610</v>
      </c>
      <c r="E4" s="196">
        <v>0</v>
      </c>
      <c r="F4" s="196">
        <f t="shared" ref="F4:F5" si="0">D4-E4</f>
        <v>610</v>
      </c>
      <c r="G4" s="196">
        <v>0</v>
      </c>
      <c r="H4" s="192">
        <f>(1549.98/27)</f>
        <v>57.406666666666666</v>
      </c>
      <c r="I4" s="192">
        <f>'GERAL 2024'!I41</f>
        <v>1.3105200945626476</v>
      </c>
      <c r="J4" s="192">
        <f>'GERAL 2024'!K41</f>
        <v>0.79837470449172576</v>
      </c>
      <c r="K4" s="196">
        <v>0</v>
      </c>
      <c r="L4" s="191">
        <f>SUM(F4:K4)</f>
        <v>669.51556146572102</v>
      </c>
      <c r="M4" s="192">
        <f>60%*(F4+G4)</f>
        <v>366</v>
      </c>
      <c r="N4" s="192">
        <f>L4-M4</f>
        <v>303.51556146572102</v>
      </c>
      <c r="O4" s="193" t="s">
        <v>1028</v>
      </c>
      <c r="P4" s="197">
        <v>10</v>
      </c>
      <c r="Q4" s="197">
        <v>11</v>
      </c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0"/>
      <c r="AM4" s="201"/>
      <c r="AN4" s="202"/>
      <c r="AO4" s="202"/>
      <c r="AP4" s="202"/>
      <c r="AQ4" s="202"/>
    </row>
    <row r="5" spans="1:43" s="204" customFormat="1" x14ac:dyDescent="0.3">
      <c r="A5" s="193" t="s">
        <v>1005</v>
      </c>
      <c r="B5" s="194">
        <v>3</v>
      </c>
      <c r="C5" s="193" t="s">
        <v>822</v>
      </c>
      <c r="D5" s="196">
        <f>'GERAL 2024'!G42</f>
        <v>610</v>
      </c>
      <c r="E5" s="196">
        <v>0</v>
      </c>
      <c r="F5" s="196">
        <f t="shared" si="0"/>
        <v>610</v>
      </c>
      <c r="G5" s="196">
        <v>0</v>
      </c>
      <c r="H5" s="192">
        <f>(1549.98/27)</f>
        <v>57.406666666666666</v>
      </c>
      <c r="I5" s="192">
        <f>'GERAL 2024'!I42</f>
        <v>1.3105200945626476</v>
      </c>
      <c r="J5" s="192">
        <f>'GERAL 2024'!K42</f>
        <v>0.79837470449172576</v>
      </c>
      <c r="K5" s="196">
        <v>0</v>
      </c>
      <c r="L5" s="191">
        <f>SUM(F5:K5)</f>
        <v>669.51556146572102</v>
      </c>
      <c r="M5" s="192">
        <f>60%*(F5+G5)</f>
        <v>366</v>
      </c>
      <c r="N5" s="192">
        <f>L5-M5</f>
        <v>303.51556146572102</v>
      </c>
      <c r="O5" s="193" t="s">
        <v>1028</v>
      </c>
      <c r="P5" s="197">
        <v>10</v>
      </c>
      <c r="Q5" s="197">
        <v>11</v>
      </c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0"/>
      <c r="AK5" s="200"/>
      <c r="AL5" s="200"/>
      <c r="AM5" s="200"/>
      <c r="AN5" s="200"/>
      <c r="AO5" s="200"/>
      <c r="AP5" s="200"/>
      <c r="AQ5" s="200"/>
    </row>
    <row r="6" spans="1:43" s="206" customFormat="1" x14ac:dyDescent="0.3">
      <c r="A6" s="193" t="s">
        <v>1012</v>
      </c>
      <c r="B6" s="193">
        <v>19</v>
      </c>
      <c r="C6" s="193" t="s">
        <v>822</v>
      </c>
      <c r="D6" s="196">
        <f>'GERAL 2024'!G44</f>
        <v>580</v>
      </c>
      <c r="E6" s="192">
        <v>0</v>
      </c>
      <c r="F6" s="196">
        <f>(D6-E6)</f>
        <v>580</v>
      </c>
      <c r="G6" s="192">
        <v>0</v>
      </c>
      <c r="H6" s="192">
        <f t="shared" ref="H6:H7" si="1">(1549.98/27)</f>
        <v>57.406666666666666</v>
      </c>
      <c r="I6" s="192">
        <f>'GERAL 2024'!I44</f>
        <v>1.3105200945626476</v>
      </c>
      <c r="J6" s="192">
        <f>'GERAL 2024'!K44</f>
        <v>0.79837470449172576</v>
      </c>
      <c r="K6" s="192">
        <v>0</v>
      </c>
      <c r="L6" s="191">
        <f>SUM(F6:K6)</f>
        <v>639.51556146572102</v>
      </c>
      <c r="M6" s="192">
        <f>60%*(F6+G6)</f>
        <v>348</v>
      </c>
      <c r="N6" s="192">
        <f>L6-M6</f>
        <v>291.51556146572102</v>
      </c>
      <c r="O6" s="193" t="s">
        <v>1028</v>
      </c>
      <c r="P6" s="207">
        <v>10</v>
      </c>
      <c r="Q6" s="197">
        <v>11</v>
      </c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  <c r="AD6" s="205"/>
      <c r="AE6" s="205"/>
      <c r="AF6" s="205"/>
      <c r="AG6" s="205"/>
      <c r="AH6" s="205"/>
      <c r="AI6" s="205"/>
      <c r="AJ6" s="205"/>
      <c r="AK6" s="205"/>
      <c r="AL6" s="205"/>
      <c r="AM6" s="205"/>
      <c r="AN6" s="205"/>
      <c r="AO6" s="205"/>
      <c r="AP6" s="205"/>
      <c r="AQ6" s="205"/>
    </row>
    <row r="7" spans="1:43" s="204" customFormat="1" ht="15" customHeight="1" x14ac:dyDescent="0.3">
      <c r="A7" s="206" t="s">
        <v>1007</v>
      </c>
      <c r="B7" s="193">
        <v>25</v>
      </c>
      <c r="C7" s="193" t="s">
        <v>822</v>
      </c>
      <c r="D7" s="196">
        <f>'GERAL 2024'!G43</f>
        <v>640</v>
      </c>
      <c r="E7" s="192">
        <v>0</v>
      </c>
      <c r="F7" s="196">
        <f t="shared" ref="F7" si="2">D7-E7</f>
        <v>640</v>
      </c>
      <c r="G7" s="192">
        <f>25</f>
        <v>25</v>
      </c>
      <c r="H7" s="192">
        <f t="shared" si="1"/>
        <v>57.406666666666666</v>
      </c>
      <c r="I7" s="192">
        <f>'GERAL 2024'!I43</f>
        <v>1.3105200945626476</v>
      </c>
      <c r="J7" s="192">
        <f>'GERAL 2024'!K43</f>
        <v>0.79837470449172576</v>
      </c>
      <c r="K7" s="192">
        <v>0</v>
      </c>
      <c r="L7" s="191">
        <f>SUM(F7:K7)</f>
        <v>724.51556146572102</v>
      </c>
      <c r="M7" s="192">
        <f>60%*(F7+G7)</f>
        <v>399</v>
      </c>
      <c r="N7" s="192">
        <f>L7-M7</f>
        <v>325.51556146572102</v>
      </c>
      <c r="O7" s="193" t="s">
        <v>1034</v>
      </c>
      <c r="P7" s="207">
        <v>10</v>
      </c>
      <c r="Q7" s="197">
        <v>11</v>
      </c>
      <c r="R7" s="200"/>
      <c r="S7" s="200"/>
      <c r="T7" s="200"/>
      <c r="U7" s="200"/>
      <c r="V7" s="200"/>
      <c r="W7" s="200"/>
      <c r="X7" s="200"/>
      <c r="Y7" s="200"/>
      <c r="Z7" s="200"/>
    </row>
    <row r="8" spans="1:43" s="10" customFormat="1" x14ac:dyDescent="0.3">
      <c r="A8" s="518" t="s">
        <v>4</v>
      </c>
      <c r="B8" s="518"/>
      <c r="C8" s="95"/>
      <c r="D8" s="109">
        <f>SUM(D4:D7)</f>
        <v>2440</v>
      </c>
      <c r="E8" s="109">
        <f t="shared" ref="E8:M8" si="3">SUM(E4:E7)</f>
        <v>0</v>
      </c>
      <c r="F8" s="109">
        <f t="shared" si="3"/>
        <v>2440</v>
      </c>
      <c r="G8" s="109">
        <f t="shared" si="3"/>
        <v>25</v>
      </c>
      <c r="H8" s="109">
        <f t="shared" si="3"/>
        <v>229.62666666666667</v>
      </c>
      <c r="I8" s="109">
        <f t="shared" si="3"/>
        <v>5.2420803782505905</v>
      </c>
      <c r="J8" s="109">
        <f t="shared" si="3"/>
        <v>3.193498817966903</v>
      </c>
      <c r="K8" s="109">
        <f t="shared" si="3"/>
        <v>0</v>
      </c>
      <c r="L8" s="109">
        <f>SUM(L4:L7)</f>
        <v>2703.0622458628841</v>
      </c>
      <c r="M8" s="109">
        <f t="shared" si="3"/>
        <v>1479</v>
      </c>
      <c r="N8" s="109">
        <f>SUM(N4:N7)</f>
        <v>1224.0622458628841</v>
      </c>
      <c r="O8" s="90"/>
      <c r="P8" s="3"/>
      <c r="Q8" s="3"/>
    </row>
    <row r="9" spans="1:43" s="10" customFormat="1" ht="28.5" customHeight="1" x14ac:dyDescent="0.3">
      <c r="A9" s="571" t="s">
        <v>1026</v>
      </c>
      <c r="B9" s="572"/>
      <c r="C9" s="572"/>
      <c r="D9" s="572"/>
      <c r="E9" s="572"/>
      <c r="F9" s="572"/>
      <c r="G9" s="572"/>
      <c r="H9" s="572"/>
      <c r="I9" s="572"/>
      <c r="J9" s="572"/>
      <c r="K9" s="572"/>
      <c r="L9" s="572"/>
      <c r="M9" s="572"/>
      <c r="N9" s="572"/>
      <c r="O9" s="572"/>
      <c r="P9" s="572"/>
      <c r="Q9" s="573"/>
    </row>
    <row r="10" spans="1:43" s="11" customFormat="1" ht="34.5" customHeight="1" x14ac:dyDescent="0.3">
      <c r="A10" s="83" t="s">
        <v>3</v>
      </c>
      <c r="B10" s="83" t="s">
        <v>0</v>
      </c>
      <c r="C10" s="83" t="s">
        <v>821</v>
      </c>
      <c r="D10" s="84" t="s">
        <v>1</v>
      </c>
      <c r="E10" s="84" t="s">
        <v>68</v>
      </c>
      <c r="F10" s="84" t="s">
        <v>69</v>
      </c>
      <c r="G10" s="85" t="s">
        <v>2</v>
      </c>
      <c r="H10" s="85" t="s">
        <v>592</v>
      </c>
      <c r="I10" s="84" t="s">
        <v>6</v>
      </c>
      <c r="J10" s="84" t="s">
        <v>764</v>
      </c>
      <c r="K10" s="84" t="s">
        <v>7</v>
      </c>
      <c r="L10" s="84" t="s">
        <v>4</v>
      </c>
      <c r="M10" s="84" t="s">
        <v>5</v>
      </c>
      <c r="N10" s="84" t="s">
        <v>70</v>
      </c>
      <c r="O10" s="83" t="s">
        <v>59</v>
      </c>
      <c r="P10" s="86" t="s">
        <v>8</v>
      </c>
      <c r="Q10" s="86" t="s">
        <v>10</v>
      </c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s="199" customFormat="1" ht="16.8" customHeight="1" x14ac:dyDescent="0.3">
      <c r="A11" s="195"/>
      <c r="B11" s="193">
        <v>1</v>
      </c>
      <c r="C11" s="209"/>
      <c r="D11" s="196">
        <v>0</v>
      </c>
      <c r="E11" s="192">
        <v>0</v>
      </c>
      <c r="F11" s="192">
        <f t="shared" ref="F11:F27" si="4">D11-E11</f>
        <v>0</v>
      </c>
      <c r="G11" s="196">
        <v>0</v>
      </c>
      <c r="H11" s="192">
        <v>0</v>
      </c>
      <c r="I11" s="192">
        <v>0</v>
      </c>
      <c r="J11" s="192">
        <v>0</v>
      </c>
      <c r="K11" s="192">
        <v>0</v>
      </c>
      <c r="L11" s="191">
        <f t="shared" ref="L11:L37" si="5">SUM(F11:K11)</f>
        <v>0</v>
      </c>
      <c r="M11" s="192">
        <f>7%*L11</f>
        <v>0</v>
      </c>
      <c r="N11" s="192">
        <f>L11-M11</f>
        <v>0</v>
      </c>
      <c r="O11" s="196" t="s">
        <v>525</v>
      </c>
      <c r="P11" s="197"/>
      <c r="Q11" s="197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</row>
    <row r="12" spans="1:43" s="203" customFormat="1" x14ac:dyDescent="0.3">
      <c r="A12" s="193" t="s">
        <v>1004</v>
      </c>
      <c r="B12" s="194">
        <v>2</v>
      </c>
      <c r="C12" s="193" t="s">
        <v>822</v>
      </c>
      <c r="D12" s="196">
        <v>0</v>
      </c>
      <c r="E12" s="196">
        <v>0</v>
      </c>
      <c r="F12" s="196">
        <f t="shared" si="4"/>
        <v>0</v>
      </c>
      <c r="G12" s="196">
        <v>0</v>
      </c>
      <c r="H12" s="192">
        <v>0</v>
      </c>
      <c r="I12" s="192">
        <v>0</v>
      </c>
      <c r="J12" s="192">
        <v>0</v>
      </c>
      <c r="K12" s="196">
        <v>0</v>
      </c>
      <c r="L12" s="191">
        <f t="shared" si="5"/>
        <v>0</v>
      </c>
      <c r="M12" s="192">
        <f>7%*L12</f>
        <v>0</v>
      </c>
      <c r="N12" s="192">
        <f t="shared" ref="N12:N36" si="6">L12-M12</f>
        <v>0</v>
      </c>
      <c r="O12" s="193" t="s">
        <v>108</v>
      </c>
      <c r="P12" s="197">
        <v>10</v>
      </c>
      <c r="Q12" s="197">
        <v>11</v>
      </c>
      <c r="R12" s="200"/>
      <c r="S12" s="200"/>
      <c r="T12" s="200"/>
      <c r="U12" s="200"/>
      <c r="V12" s="200"/>
      <c r="W12" s="200"/>
      <c r="X12" s="200"/>
      <c r="Y12" s="200"/>
      <c r="Z12" s="200"/>
      <c r="AA12" s="200"/>
      <c r="AB12" s="200"/>
      <c r="AC12" s="200"/>
      <c r="AD12" s="200"/>
      <c r="AE12" s="200"/>
      <c r="AF12" s="200"/>
      <c r="AG12" s="200"/>
      <c r="AH12" s="200"/>
      <c r="AI12" s="200"/>
      <c r="AJ12" s="200"/>
      <c r="AK12" s="200"/>
      <c r="AL12" s="200"/>
      <c r="AM12" s="201"/>
      <c r="AN12" s="202"/>
      <c r="AO12" s="202"/>
      <c r="AP12" s="202"/>
      <c r="AQ12" s="202"/>
    </row>
    <row r="13" spans="1:43" s="204" customFormat="1" x14ac:dyDescent="0.3">
      <c r="A13" s="193" t="s">
        <v>1005</v>
      </c>
      <c r="B13" s="194">
        <v>3</v>
      </c>
      <c r="C13" s="193" t="s">
        <v>822</v>
      </c>
      <c r="D13" s="196">
        <v>0</v>
      </c>
      <c r="E13" s="196">
        <v>0</v>
      </c>
      <c r="F13" s="196">
        <f t="shared" ref="F13" si="7">D13-E13</f>
        <v>0</v>
      </c>
      <c r="G13" s="196">
        <v>0</v>
      </c>
      <c r="H13" s="192">
        <v>0</v>
      </c>
      <c r="I13" s="192">
        <v>0</v>
      </c>
      <c r="J13" s="192">
        <v>0</v>
      </c>
      <c r="K13" s="196">
        <v>0</v>
      </c>
      <c r="L13" s="191">
        <f t="shared" si="5"/>
        <v>0</v>
      </c>
      <c r="M13" s="192">
        <f>7%*L13</f>
        <v>0</v>
      </c>
      <c r="N13" s="192">
        <f t="shared" ref="N13" si="8">L13-M13</f>
        <v>0</v>
      </c>
      <c r="O13" s="193" t="s">
        <v>108</v>
      </c>
      <c r="P13" s="197">
        <v>10</v>
      </c>
      <c r="Q13" s="197">
        <v>11</v>
      </c>
      <c r="R13" s="200"/>
      <c r="S13" s="200"/>
      <c r="T13" s="200"/>
      <c r="U13" s="200"/>
      <c r="V13" s="200"/>
      <c r="W13" s="200"/>
      <c r="X13" s="200"/>
      <c r="Y13" s="200"/>
      <c r="Z13" s="200"/>
      <c r="AA13" s="200"/>
      <c r="AB13" s="200"/>
      <c r="AC13" s="200"/>
      <c r="AD13" s="200"/>
      <c r="AE13" s="200"/>
      <c r="AF13" s="200"/>
      <c r="AG13" s="200"/>
      <c r="AH13" s="200"/>
      <c r="AI13" s="200"/>
      <c r="AJ13" s="200"/>
      <c r="AK13" s="200"/>
      <c r="AL13" s="200"/>
      <c r="AM13" s="200"/>
      <c r="AN13" s="200"/>
      <c r="AO13" s="200"/>
      <c r="AP13" s="200"/>
      <c r="AQ13" s="200"/>
    </row>
    <row r="14" spans="1:43" s="199" customFormat="1" ht="15.6" customHeight="1" x14ac:dyDescent="0.3">
      <c r="A14" s="193" t="s">
        <v>842</v>
      </c>
      <c r="B14" s="193">
        <v>4</v>
      </c>
      <c r="C14" s="193" t="s">
        <v>832</v>
      </c>
      <c r="D14" s="196">
        <f>'GERAL 2023'!G40</f>
        <v>610</v>
      </c>
      <c r="E14" s="196">
        <v>0</v>
      </c>
      <c r="F14" s="196">
        <f t="shared" si="4"/>
        <v>610</v>
      </c>
      <c r="G14" s="192">
        <v>50</v>
      </c>
      <c r="H14" s="192">
        <f>(1549.98/27)</f>
        <v>57.406666666666666</v>
      </c>
      <c r="I14" s="192">
        <f>'GERAL 2024'!I6</f>
        <v>1.3105200945626476</v>
      </c>
      <c r="J14" s="192">
        <f>'GERAL 2024'!K6</f>
        <v>0.79837470449172576</v>
      </c>
      <c r="K14" s="192">
        <v>0</v>
      </c>
      <c r="L14" s="191">
        <f t="shared" si="5"/>
        <v>719.51556146572102</v>
      </c>
      <c r="M14" s="192">
        <f>7%*L14</f>
        <v>50.366089302600479</v>
      </c>
      <c r="N14" s="192">
        <f t="shared" si="6"/>
        <v>669.14947216312055</v>
      </c>
      <c r="O14" s="193" t="s">
        <v>1035</v>
      </c>
      <c r="P14" s="197">
        <v>10</v>
      </c>
      <c r="Q14" s="194">
        <v>11</v>
      </c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</row>
    <row r="15" spans="1:43" s="199" customFormat="1" x14ac:dyDescent="0.3">
      <c r="A15" s="193" t="s">
        <v>744</v>
      </c>
      <c r="B15" s="193">
        <v>5</v>
      </c>
      <c r="C15" s="193" t="s">
        <v>823</v>
      </c>
      <c r="D15" s="196">
        <f>'GERAL 2023'!G7</f>
        <v>580</v>
      </c>
      <c r="E15" s="192">
        <v>0</v>
      </c>
      <c r="F15" s="192">
        <f t="shared" si="4"/>
        <v>580</v>
      </c>
      <c r="G15" s="192">
        <f>50</f>
        <v>50</v>
      </c>
      <c r="H15" s="192">
        <f>(1549.98/27)</f>
        <v>57.406666666666666</v>
      </c>
      <c r="I15" s="192">
        <f>'GERAL 2024'!I7</f>
        <v>1.3105200945626476</v>
      </c>
      <c r="J15" s="192">
        <f>'GERAL 2024'!K7</f>
        <v>0.79837470449172576</v>
      </c>
      <c r="K15" s="192">
        <v>0</v>
      </c>
      <c r="L15" s="191">
        <f t="shared" si="5"/>
        <v>689.51556146572102</v>
      </c>
      <c r="M15" s="192">
        <f>7%*L15</f>
        <v>48.266089302600477</v>
      </c>
      <c r="N15" s="192">
        <f t="shared" si="6"/>
        <v>641.24947216312057</v>
      </c>
      <c r="O15" s="193" t="s">
        <v>1035</v>
      </c>
      <c r="P15" s="197">
        <v>10</v>
      </c>
      <c r="Q15" s="197">
        <v>11</v>
      </c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</row>
    <row r="16" spans="1:43" s="206" customFormat="1" x14ac:dyDescent="0.3">
      <c r="A16" s="193" t="s">
        <v>745</v>
      </c>
      <c r="B16" s="193">
        <v>6</v>
      </c>
      <c r="C16" s="193" t="s">
        <v>823</v>
      </c>
      <c r="D16" s="196">
        <f>'GERAL 2023'!G8</f>
        <v>680</v>
      </c>
      <c r="E16" s="196">
        <v>0</v>
      </c>
      <c r="F16" s="192">
        <f t="shared" si="4"/>
        <v>680</v>
      </c>
      <c r="G16" s="192">
        <v>50</v>
      </c>
      <c r="H16" s="192">
        <f>(1549.98/27)</f>
        <v>57.406666666666666</v>
      </c>
      <c r="I16" s="192">
        <f>'GERAL 2024'!I8</f>
        <v>1.8347281323877069</v>
      </c>
      <c r="J16" s="192">
        <f>'GERAL 2024'!K8</f>
        <v>1.1177245862884162</v>
      </c>
      <c r="K16" s="192">
        <v>0</v>
      </c>
      <c r="L16" s="191">
        <f t="shared" si="5"/>
        <v>790.35911938534275</v>
      </c>
      <c r="M16" s="192">
        <f t="shared" ref="M16:M37" si="9">7%*L16</f>
        <v>55.325138356974001</v>
      </c>
      <c r="N16" s="192">
        <f>L16-M16</f>
        <v>735.03398102836877</v>
      </c>
      <c r="O16" s="193" t="s">
        <v>1035</v>
      </c>
      <c r="P16" s="197">
        <v>10</v>
      </c>
      <c r="Q16" s="197">
        <v>11</v>
      </c>
      <c r="R16" s="205"/>
      <c r="S16" s="205"/>
      <c r="T16" s="205"/>
      <c r="U16" s="205"/>
      <c r="V16" s="205"/>
      <c r="W16" s="205"/>
      <c r="X16" s="205"/>
      <c r="Y16" s="205"/>
      <c r="Z16" s="205"/>
      <c r="AA16" s="205"/>
      <c r="AB16" s="205"/>
      <c r="AC16" s="205"/>
      <c r="AD16" s="205"/>
      <c r="AE16" s="205"/>
      <c r="AF16" s="205"/>
      <c r="AG16" s="205"/>
      <c r="AH16" s="205"/>
      <c r="AI16" s="205"/>
      <c r="AJ16" s="205"/>
      <c r="AK16" s="205"/>
      <c r="AL16" s="205"/>
      <c r="AM16" s="205"/>
      <c r="AN16" s="205"/>
      <c r="AO16" s="205"/>
      <c r="AP16" s="205"/>
      <c r="AQ16" s="205"/>
    </row>
    <row r="17" spans="1:48" s="199" customFormat="1" x14ac:dyDescent="0.3">
      <c r="A17" s="193" t="s">
        <v>791</v>
      </c>
      <c r="B17" s="193">
        <v>7</v>
      </c>
      <c r="C17" s="193" t="s">
        <v>822</v>
      </c>
      <c r="D17" s="196">
        <f>'GERAL 2023'!G35+(2.45026%*610)</f>
        <v>624.94658600000002</v>
      </c>
      <c r="E17" s="192">
        <v>0</v>
      </c>
      <c r="F17" s="196">
        <f t="shared" si="4"/>
        <v>624.94658600000002</v>
      </c>
      <c r="G17" s="192">
        <v>50</v>
      </c>
      <c r="H17" s="192">
        <f>(1549.98/27)</f>
        <v>57.406666666666666</v>
      </c>
      <c r="I17" s="192">
        <f>'GERAL 2024'!I9</f>
        <v>1.3105200945626476</v>
      </c>
      <c r="J17" s="192">
        <f>'GERAL 2024'!K9</f>
        <v>0.79837470449172576</v>
      </c>
      <c r="K17" s="192">
        <v>0</v>
      </c>
      <c r="L17" s="191">
        <f t="shared" si="5"/>
        <v>734.46214746572105</v>
      </c>
      <c r="M17" s="192">
        <f t="shared" si="9"/>
        <v>51.412350322600481</v>
      </c>
      <c r="N17" s="192">
        <f t="shared" si="6"/>
        <v>683.0497971431206</v>
      </c>
      <c r="O17" s="193" t="s">
        <v>1035</v>
      </c>
      <c r="P17" s="197">
        <v>10</v>
      </c>
      <c r="Q17" s="197">
        <v>11</v>
      </c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  <c r="AQ17" s="198"/>
    </row>
    <row r="18" spans="1:48" s="199" customFormat="1" x14ac:dyDescent="0.3">
      <c r="A18" s="193"/>
      <c r="B18" s="193">
        <v>8</v>
      </c>
      <c r="C18" s="193"/>
      <c r="D18" s="196">
        <v>0</v>
      </c>
      <c r="E18" s="192">
        <v>0</v>
      </c>
      <c r="F18" s="196">
        <f t="shared" si="4"/>
        <v>0</v>
      </c>
      <c r="G18" s="192">
        <v>0</v>
      </c>
      <c r="H18" s="192">
        <v>0</v>
      </c>
      <c r="I18" s="192">
        <v>0</v>
      </c>
      <c r="J18" s="192">
        <v>0</v>
      </c>
      <c r="K18" s="192">
        <v>0</v>
      </c>
      <c r="L18" s="191">
        <f t="shared" si="5"/>
        <v>0</v>
      </c>
      <c r="M18" s="192">
        <f>7%*L18</f>
        <v>0</v>
      </c>
      <c r="N18" s="192">
        <f>L18-M18</f>
        <v>0</v>
      </c>
      <c r="O18" s="193" t="s">
        <v>525</v>
      </c>
      <c r="P18" s="207"/>
      <c r="Q18" s="197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</row>
    <row r="19" spans="1:48" s="199" customFormat="1" x14ac:dyDescent="0.3">
      <c r="A19" s="193" t="s">
        <v>852</v>
      </c>
      <c r="B19" s="193">
        <v>9</v>
      </c>
      <c r="C19" s="193" t="s">
        <v>828</v>
      </c>
      <c r="D19" s="196">
        <f>'GERAL 2024'!G11</f>
        <v>640</v>
      </c>
      <c r="E19" s="192">
        <v>0</v>
      </c>
      <c r="F19" s="196">
        <f t="shared" si="4"/>
        <v>640</v>
      </c>
      <c r="G19" s="192">
        <v>0</v>
      </c>
      <c r="H19" s="192">
        <f>(1549.98/27)</f>
        <v>57.406666666666666</v>
      </c>
      <c r="I19" s="192">
        <f>'GERAL 2024'!I11</f>
        <v>1.3105200945626476</v>
      </c>
      <c r="J19" s="192">
        <f>'GERAL 2024'!K11</f>
        <v>0.79837470449172576</v>
      </c>
      <c r="K19" s="192">
        <v>0</v>
      </c>
      <c r="L19" s="191">
        <f t="shared" si="5"/>
        <v>699.51556146572102</v>
      </c>
      <c r="M19" s="192">
        <f>7%*L19</f>
        <v>48.966089302600473</v>
      </c>
      <c r="N19" s="192">
        <f>L19-M19</f>
        <v>650.54947216312053</v>
      </c>
      <c r="O19" s="193" t="s">
        <v>1028</v>
      </c>
      <c r="P19" s="207">
        <v>10</v>
      </c>
      <c r="Q19" s="197">
        <v>11</v>
      </c>
      <c r="R19" s="198"/>
      <c r="S19" s="198"/>
      <c r="T19" s="198"/>
      <c r="U19" s="198"/>
      <c r="V19" s="198"/>
      <c r="W19" s="198"/>
      <c r="X19" s="198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198"/>
      <c r="AN19" s="198"/>
      <c r="AO19" s="198"/>
      <c r="AP19" s="198"/>
      <c r="AQ19" s="198"/>
    </row>
    <row r="20" spans="1:48" s="148" customFormat="1" x14ac:dyDescent="0.3">
      <c r="A20" s="194" t="s">
        <v>739</v>
      </c>
      <c r="B20" s="194">
        <v>10</v>
      </c>
      <c r="C20" s="194" t="s">
        <v>825</v>
      </c>
      <c r="D20" s="196">
        <f>550</f>
        <v>550</v>
      </c>
      <c r="E20" s="192">
        <v>0</v>
      </c>
      <c r="F20" s="196">
        <f t="shared" si="4"/>
        <v>550</v>
      </c>
      <c r="G20" s="192">
        <v>50</v>
      </c>
      <c r="H20" s="192">
        <f>(1549.98/27)</f>
        <v>57.406666666666666</v>
      </c>
      <c r="I20" s="192">
        <f>'GERAL 2024'!I12</f>
        <v>1.3105200945626476</v>
      </c>
      <c r="J20" s="192">
        <f>'GERAL 2024'!K12</f>
        <v>0.79837470449172576</v>
      </c>
      <c r="K20" s="192">
        <v>0</v>
      </c>
      <c r="L20" s="191">
        <f t="shared" si="5"/>
        <v>659.51556146572102</v>
      </c>
      <c r="M20" s="192">
        <f t="shared" si="9"/>
        <v>46.166089302600476</v>
      </c>
      <c r="N20" s="192">
        <f t="shared" si="6"/>
        <v>613.34947216312059</v>
      </c>
      <c r="O20" s="193" t="s">
        <v>1035</v>
      </c>
      <c r="P20" s="197">
        <v>10</v>
      </c>
      <c r="Q20" s="194">
        <v>11</v>
      </c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208"/>
      <c r="AC20" s="208"/>
      <c r="AD20" s="208"/>
      <c r="AE20" s="208"/>
      <c r="AF20" s="208"/>
      <c r="AG20" s="208"/>
      <c r="AH20" s="208"/>
      <c r="AI20" s="208"/>
      <c r="AJ20" s="208"/>
      <c r="AK20" s="208"/>
      <c r="AL20" s="208"/>
      <c r="AM20" s="208"/>
      <c r="AN20" s="208"/>
      <c r="AO20" s="208"/>
      <c r="AP20" s="208"/>
      <c r="AQ20" s="208"/>
      <c r="AR20" s="208"/>
      <c r="AS20" s="208"/>
      <c r="AT20" s="208"/>
      <c r="AU20" s="208"/>
      <c r="AV20" s="208"/>
    </row>
    <row r="21" spans="1:48" s="148" customFormat="1" ht="15.6" customHeight="1" x14ac:dyDescent="0.3">
      <c r="A21" s="194" t="s">
        <v>965</v>
      </c>
      <c r="B21" s="194">
        <v>11</v>
      </c>
      <c r="C21" s="194" t="s">
        <v>827</v>
      </c>
      <c r="D21" s="192">
        <f>'GERAL 2024'!G39</f>
        <v>610</v>
      </c>
      <c r="E21" s="192">
        <v>0</v>
      </c>
      <c r="F21" s="196">
        <f t="shared" si="4"/>
        <v>610</v>
      </c>
      <c r="G21" s="192">
        <v>0</v>
      </c>
      <c r="H21" s="192">
        <f>(1549.98/27)</f>
        <v>57.406666666666666</v>
      </c>
      <c r="I21" s="192">
        <f>'GERAL 2024'!I39</f>
        <v>1.3105200945626476</v>
      </c>
      <c r="J21" s="192">
        <f>'GERAL 2024'!K39</f>
        <v>0.79837470449172576</v>
      </c>
      <c r="K21" s="192">
        <v>0</v>
      </c>
      <c r="L21" s="191">
        <f t="shared" si="5"/>
        <v>669.51556146572102</v>
      </c>
      <c r="M21" s="192">
        <f>7%*L21</f>
        <v>46.866089302600479</v>
      </c>
      <c r="N21" s="192">
        <f t="shared" si="6"/>
        <v>622.64947216312055</v>
      </c>
      <c r="O21" s="193" t="s">
        <v>1028</v>
      </c>
      <c r="P21" s="197">
        <v>10</v>
      </c>
      <c r="Q21" s="194">
        <v>11</v>
      </c>
      <c r="R21" s="208"/>
      <c r="S21" s="208"/>
      <c r="T21" s="208"/>
      <c r="U21" s="208"/>
      <c r="V21" s="208"/>
      <c r="W21" s="208"/>
      <c r="X21" s="208"/>
      <c r="Y21" s="208"/>
      <c r="Z21" s="208"/>
      <c r="AA21" s="208"/>
      <c r="AB21" s="208"/>
      <c r="AC21" s="208"/>
      <c r="AD21" s="208"/>
      <c r="AE21" s="208"/>
      <c r="AF21" s="208"/>
      <c r="AG21" s="208"/>
      <c r="AH21" s="208"/>
      <c r="AI21" s="208"/>
      <c r="AJ21" s="208"/>
      <c r="AK21" s="208"/>
      <c r="AL21" s="208"/>
      <c r="AM21" s="208"/>
      <c r="AN21" s="208"/>
      <c r="AO21" s="208"/>
      <c r="AP21" s="208"/>
      <c r="AQ21" s="208"/>
      <c r="AR21" s="208"/>
      <c r="AS21" s="208"/>
      <c r="AT21" s="208"/>
      <c r="AU21" s="208"/>
      <c r="AV21" s="208"/>
    </row>
    <row r="22" spans="1:48" s="199" customFormat="1" x14ac:dyDescent="0.3">
      <c r="A22" s="193" t="s">
        <v>929</v>
      </c>
      <c r="B22" s="193">
        <v>12</v>
      </c>
      <c r="C22" s="193" t="s">
        <v>829</v>
      </c>
      <c r="D22" s="196">
        <v>610</v>
      </c>
      <c r="E22" s="192">
        <v>0</v>
      </c>
      <c r="F22" s="196">
        <f t="shared" si="4"/>
        <v>610</v>
      </c>
      <c r="G22" s="196">
        <v>50</v>
      </c>
      <c r="H22" s="192">
        <f t="shared" ref="H22:H26" si="10">(1549.98/27)</f>
        <v>57.406666666666666</v>
      </c>
      <c r="I22" s="192">
        <f>'GERAL 2024'!I37</f>
        <v>1.3105200945626476</v>
      </c>
      <c r="J22" s="192">
        <f>'GERAL 2024'!K37</f>
        <v>0.79837470449172576</v>
      </c>
      <c r="K22" s="196">
        <v>0</v>
      </c>
      <c r="L22" s="191">
        <f t="shared" si="5"/>
        <v>719.51556146572102</v>
      </c>
      <c r="M22" s="192">
        <f t="shared" si="9"/>
        <v>50.366089302600479</v>
      </c>
      <c r="N22" s="192">
        <f t="shared" si="6"/>
        <v>669.14947216312055</v>
      </c>
      <c r="O22" s="193" t="s">
        <v>1035</v>
      </c>
      <c r="P22" s="197">
        <v>10</v>
      </c>
      <c r="Q22" s="197">
        <v>11</v>
      </c>
      <c r="R22" s="198"/>
      <c r="S22" s="198"/>
      <c r="T22" s="198"/>
      <c r="U22" s="198"/>
      <c r="V22" s="198"/>
      <c r="W22" s="198"/>
      <c r="X22" s="198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  <c r="AK22" s="198"/>
      <c r="AL22" s="198"/>
      <c r="AM22" s="198"/>
      <c r="AN22" s="198"/>
      <c r="AO22" s="198"/>
      <c r="AP22" s="198"/>
      <c r="AQ22" s="198"/>
    </row>
    <row r="23" spans="1:48" s="206" customFormat="1" ht="16.2" customHeight="1" x14ac:dyDescent="0.3">
      <c r="A23" s="193" t="s">
        <v>756</v>
      </c>
      <c r="B23" s="193">
        <v>13</v>
      </c>
      <c r="C23" s="193" t="s">
        <v>827</v>
      </c>
      <c r="D23" s="196">
        <f>'GERAL 2022'!G15</f>
        <v>550</v>
      </c>
      <c r="E23" s="196">
        <v>0</v>
      </c>
      <c r="F23" s="196">
        <f t="shared" si="4"/>
        <v>550</v>
      </c>
      <c r="G23" s="192">
        <v>0</v>
      </c>
      <c r="H23" s="192">
        <f t="shared" si="10"/>
        <v>57.406666666666666</v>
      </c>
      <c r="I23" s="192">
        <f>'GERAL 2024'!I15</f>
        <v>1.3105200945626476</v>
      </c>
      <c r="J23" s="192">
        <f>'GERAL 2024'!K15</f>
        <v>0.79837470449172576</v>
      </c>
      <c r="K23" s="192">
        <v>0</v>
      </c>
      <c r="L23" s="191">
        <f t="shared" si="5"/>
        <v>609.51556146572102</v>
      </c>
      <c r="M23" s="192">
        <f t="shared" si="9"/>
        <v>42.666089302600476</v>
      </c>
      <c r="N23" s="192">
        <f t="shared" si="6"/>
        <v>566.84947216312059</v>
      </c>
      <c r="O23" s="193" t="s">
        <v>1028</v>
      </c>
      <c r="P23" s="197">
        <v>10</v>
      </c>
      <c r="Q23" s="197">
        <v>11</v>
      </c>
      <c r="R23" s="205"/>
      <c r="S23" s="205"/>
      <c r="T23" s="205"/>
      <c r="U23" s="205"/>
      <c r="V23" s="205"/>
      <c r="W23" s="205"/>
      <c r="X23" s="205"/>
      <c r="Y23" s="205"/>
      <c r="Z23" s="205"/>
      <c r="AA23" s="205"/>
      <c r="AB23" s="205"/>
      <c r="AC23" s="205"/>
      <c r="AD23" s="205"/>
      <c r="AE23" s="205"/>
      <c r="AF23" s="205"/>
      <c r="AG23" s="205"/>
      <c r="AH23" s="205"/>
      <c r="AI23" s="205"/>
      <c r="AJ23" s="205"/>
      <c r="AK23" s="205"/>
      <c r="AL23" s="205"/>
      <c r="AM23" s="205"/>
      <c r="AN23" s="205"/>
      <c r="AO23" s="205"/>
      <c r="AP23" s="205"/>
      <c r="AQ23" s="205"/>
    </row>
    <row r="24" spans="1:48" s="148" customFormat="1" x14ac:dyDescent="0.3">
      <c r="A24" s="194" t="s">
        <v>747</v>
      </c>
      <c r="B24" s="194">
        <v>14</v>
      </c>
      <c r="C24" s="193" t="s">
        <v>832</v>
      </c>
      <c r="D24" s="196">
        <f>'GERAL 2022'!G39</f>
        <v>580</v>
      </c>
      <c r="E24" s="192">
        <v>0</v>
      </c>
      <c r="F24" s="196">
        <f t="shared" si="4"/>
        <v>580</v>
      </c>
      <c r="G24" s="192">
        <f>50</f>
        <v>50</v>
      </c>
      <c r="H24" s="192">
        <f t="shared" si="10"/>
        <v>57.406666666666666</v>
      </c>
      <c r="I24" s="192">
        <f>'GERAL 2024'!I16</f>
        <v>1.3105200945626476</v>
      </c>
      <c r="J24" s="192">
        <f>'GERAL 2024'!K16</f>
        <v>0.79837470449172576</v>
      </c>
      <c r="K24" s="192">
        <v>0</v>
      </c>
      <c r="L24" s="191">
        <f t="shared" si="5"/>
        <v>689.51556146572102</v>
      </c>
      <c r="M24" s="192">
        <f t="shared" si="9"/>
        <v>48.266089302600477</v>
      </c>
      <c r="N24" s="192">
        <f t="shared" si="6"/>
        <v>641.24947216312057</v>
      </c>
      <c r="O24" s="193" t="s">
        <v>1035</v>
      </c>
      <c r="P24" s="197">
        <v>10</v>
      </c>
      <c r="Q24" s="194">
        <v>11</v>
      </c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8"/>
      <c r="AI24" s="208"/>
      <c r="AJ24" s="208"/>
      <c r="AK24" s="208"/>
      <c r="AL24" s="208"/>
      <c r="AM24" s="208"/>
      <c r="AN24" s="208"/>
      <c r="AO24" s="208"/>
      <c r="AP24" s="208"/>
      <c r="AQ24" s="208"/>
      <c r="AR24" s="208"/>
      <c r="AS24" s="208"/>
      <c r="AT24" s="208"/>
      <c r="AU24" s="208"/>
      <c r="AV24" s="208"/>
    </row>
    <row r="25" spans="1:48" s="204" customFormat="1" x14ac:dyDescent="0.3">
      <c r="A25" s="193" t="s">
        <v>748</v>
      </c>
      <c r="B25" s="193">
        <v>15</v>
      </c>
      <c r="C25" s="193" t="s">
        <v>827</v>
      </c>
      <c r="D25" s="196">
        <f>'GERAL 2023'!G36</f>
        <v>680</v>
      </c>
      <c r="E25" s="192">
        <v>0</v>
      </c>
      <c r="F25" s="196">
        <f t="shared" si="4"/>
        <v>680</v>
      </c>
      <c r="G25" s="192">
        <v>25</v>
      </c>
      <c r="H25" s="192">
        <f t="shared" si="10"/>
        <v>57.406666666666666</v>
      </c>
      <c r="I25" s="192">
        <f>'GERAL 2024'!I17</f>
        <v>1.8347281323877069</v>
      </c>
      <c r="J25" s="192">
        <f>'GERAL 2024'!K17</f>
        <v>1.1177245862884162</v>
      </c>
      <c r="K25" s="192">
        <v>0</v>
      </c>
      <c r="L25" s="191">
        <f t="shared" si="5"/>
        <v>765.35911938534275</v>
      </c>
      <c r="M25" s="192">
        <f t="shared" si="9"/>
        <v>53.575138356973994</v>
      </c>
      <c r="N25" s="192">
        <f t="shared" si="6"/>
        <v>711.78398102836877</v>
      </c>
      <c r="O25" s="193" t="s">
        <v>1034</v>
      </c>
      <c r="P25" s="197">
        <v>10</v>
      </c>
      <c r="Q25" s="194">
        <v>11</v>
      </c>
      <c r="R25" s="200"/>
      <c r="S25" s="200"/>
      <c r="T25" s="200"/>
      <c r="U25" s="200"/>
      <c r="V25" s="200"/>
      <c r="W25" s="200"/>
      <c r="X25" s="200"/>
      <c r="Y25" s="200"/>
      <c r="Z25" s="200"/>
    </row>
    <row r="26" spans="1:48" s="206" customFormat="1" ht="14.4" customHeight="1" x14ac:dyDescent="0.3">
      <c r="A26" s="197" t="s">
        <v>977</v>
      </c>
      <c r="B26" s="197">
        <v>16</v>
      </c>
      <c r="C26" s="193" t="s">
        <v>827</v>
      </c>
      <c r="D26" s="196">
        <f>'GERAL 2024'!G40</f>
        <v>640</v>
      </c>
      <c r="E26" s="192">
        <v>0</v>
      </c>
      <c r="F26" s="196">
        <f>D26-E26</f>
        <v>640</v>
      </c>
      <c r="G26" s="192">
        <v>0</v>
      </c>
      <c r="H26" s="192">
        <f t="shared" si="10"/>
        <v>57.406666666666666</v>
      </c>
      <c r="I26" s="192">
        <f>'GERAL 2024'!I40</f>
        <v>1.3105200945626476</v>
      </c>
      <c r="J26" s="192">
        <f>'GERAL 2024'!K40</f>
        <v>0.79837470449172576</v>
      </c>
      <c r="K26" s="192">
        <v>0</v>
      </c>
      <c r="L26" s="191">
        <f t="shared" si="5"/>
        <v>699.51556146572102</v>
      </c>
      <c r="M26" s="192">
        <f t="shared" si="9"/>
        <v>48.966089302600473</v>
      </c>
      <c r="N26" s="192">
        <f>L26-M26</f>
        <v>650.54947216312053</v>
      </c>
      <c r="O26" s="193" t="s">
        <v>1028</v>
      </c>
      <c r="P26" s="197">
        <v>10</v>
      </c>
      <c r="Q26" s="197">
        <v>11</v>
      </c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  <c r="AQ26" s="205"/>
    </row>
    <row r="27" spans="1:48" s="206" customFormat="1" x14ac:dyDescent="0.3">
      <c r="A27" s="227" t="s">
        <v>1029</v>
      </c>
      <c r="B27" s="195">
        <v>17</v>
      </c>
      <c r="C27" s="227" t="s">
        <v>824</v>
      </c>
      <c r="D27" s="196">
        <f>'GERAL 2024'!G45/31*11</f>
        <v>216.45161290322579</v>
      </c>
      <c r="E27" s="192">
        <v>0</v>
      </c>
      <c r="F27" s="196">
        <f t="shared" si="4"/>
        <v>216.45161290322579</v>
      </c>
      <c r="G27" s="192">
        <f>50/31*11</f>
        <v>17.741935483870968</v>
      </c>
      <c r="H27" s="192">
        <f>(1549.98/27)/31*11</f>
        <v>20.370107526881721</v>
      </c>
      <c r="I27" s="192">
        <f>'GERAL 2024'!I45/31*11</f>
        <v>0.46502325936093947</v>
      </c>
      <c r="J27" s="192">
        <f>'GERAL 2024'!K45/31*11</f>
        <v>0.28329424998093494</v>
      </c>
      <c r="K27" s="192">
        <v>126.81</v>
      </c>
      <c r="L27" s="191">
        <f t="shared" si="5"/>
        <v>382.12197342332036</v>
      </c>
      <c r="M27" s="192">
        <f>7%*L27</f>
        <v>26.748538139632426</v>
      </c>
      <c r="N27" s="192">
        <f>L27-M27</f>
        <v>355.37343528368791</v>
      </c>
      <c r="O27" s="193" t="s">
        <v>1036</v>
      </c>
      <c r="P27" s="197">
        <v>10</v>
      </c>
      <c r="Q27" s="197">
        <v>11</v>
      </c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  <c r="AQ27" s="205"/>
    </row>
    <row r="28" spans="1:48" s="206" customFormat="1" x14ac:dyDescent="0.3">
      <c r="A28" s="227" t="s">
        <v>1030</v>
      </c>
      <c r="B28" s="193">
        <v>18</v>
      </c>
      <c r="C28" s="227" t="s">
        <v>824</v>
      </c>
      <c r="D28" s="196">
        <f>'GERAL 2024'!G46/31*27</f>
        <v>557.41935483870964</v>
      </c>
      <c r="E28" s="192">
        <v>0</v>
      </c>
      <c r="F28" s="196">
        <f>D28-E28</f>
        <v>557.41935483870964</v>
      </c>
      <c r="G28" s="192">
        <v>0</v>
      </c>
      <c r="H28" s="192">
        <f>(1549.98/27)/31*27</f>
        <v>49.999354838709678</v>
      </c>
      <c r="I28" s="192">
        <f>'GERAL 2024'!I46/31*27</f>
        <v>1.1414207275223058</v>
      </c>
      <c r="J28" s="192">
        <f>'GERAL 2024'!K46/31*27</f>
        <v>0.69535861358956752</v>
      </c>
      <c r="K28" s="192">
        <v>127.18</v>
      </c>
      <c r="L28" s="191">
        <f t="shared" si="5"/>
        <v>736.43548901853114</v>
      </c>
      <c r="M28" s="192">
        <f t="shared" si="9"/>
        <v>51.550484231297183</v>
      </c>
      <c r="N28" s="192">
        <f t="shared" si="6"/>
        <v>684.88500478723392</v>
      </c>
      <c r="O28" s="193" t="s">
        <v>1031</v>
      </c>
      <c r="P28" s="197">
        <v>10</v>
      </c>
      <c r="Q28" s="197">
        <v>11</v>
      </c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  <c r="AQ28" s="205"/>
    </row>
    <row r="29" spans="1:48" s="206" customFormat="1" ht="15.6" customHeight="1" x14ac:dyDescent="0.3">
      <c r="A29" s="193" t="s">
        <v>1012</v>
      </c>
      <c r="B29" s="193">
        <v>19</v>
      </c>
      <c r="C29" s="193" t="s">
        <v>822</v>
      </c>
      <c r="D29" s="196">
        <v>0</v>
      </c>
      <c r="E29" s="192">
        <v>0</v>
      </c>
      <c r="F29" s="196">
        <f>(D29-E29)</f>
        <v>0</v>
      </c>
      <c r="G29" s="192">
        <v>0</v>
      </c>
      <c r="H29" s="192">
        <v>0</v>
      </c>
      <c r="I29" s="192">
        <v>0</v>
      </c>
      <c r="J29" s="192">
        <v>0</v>
      </c>
      <c r="K29" s="192">
        <v>0</v>
      </c>
      <c r="L29" s="191">
        <f t="shared" si="5"/>
        <v>0</v>
      </c>
      <c r="M29" s="192">
        <f t="shared" si="9"/>
        <v>0</v>
      </c>
      <c r="N29" s="192">
        <f t="shared" si="6"/>
        <v>0</v>
      </c>
      <c r="O29" s="193" t="s">
        <v>108</v>
      </c>
      <c r="P29" s="207">
        <v>10</v>
      </c>
      <c r="Q29" s="197">
        <v>11</v>
      </c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  <c r="AQ29" s="205"/>
    </row>
    <row r="30" spans="1:48" s="206" customFormat="1" x14ac:dyDescent="0.3">
      <c r="A30" s="195" t="s">
        <v>919</v>
      </c>
      <c r="B30" s="193">
        <v>20</v>
      </c>
      <c r="C30" s="193" t="s">
        <v>917</v>
      </c>
      <c r="D30" s="196">
        <f>'GERAL 2024'!G36</f>
        <v>780</v>
      </c>
      <c r="E30" s="192">
        <v>0</v>
      </c>
      <c r="F30" s="196">
        <f t="shared" ref="F30:F37" si="11">D30-E30</f>
        <v>780</v>
      </c>
      <c r="G30" s="192">
        <v>25</v>
      </c>
      <c r="H30" s="192">
        <f t="shared" ref="H30:H37" si="12">(1549.98/27)</f>
        <v>57.406666666666666</v>
      </c>
      <c r="I30" s="192">
        <f>'GERAL 2024'!I36</f>
        <v>1.3105200945626476</v>
      </c>
      <c r="J30" s="192">
        <f>'GERAL 2024'!K36</f>
        <v>0.79837470449172576</v>
      </c>
      <c r="K30" s="192">
        <v>0</v>
      </c>
      <c r="L30" s="191">
        <f t="shared" si="5"/>
        <v>864.51556146572102</v>
      </c>
      <c r="M30" s="192">
        <f t="shared" si="9"/>
        <v>60.516089302600477</v>
      </c>
      <c r="N30" s="192">
        <f t="shared" si="6"/>
        <v>803.99947216312057</v>
      </c>
      <c r="O30" s="193" t="s">
        <v>1034</v>
      </c>
      <c r="P30" s="207">
        <v>10</v>
      </c>
      <c r="Q30" s="197">
        <v>11</v>
      </c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  <c r="AQ30" s="205"/>
    </row>
    <row r="31" spans="1:48" s="206" customFormat="1" x14ac:dyDescent="0.3">
      <c r="A31" s="195" t="s">
        <v>788</v>
      </c>
      <c r="B31" s="193">
        <v>21</v>
      </c>
      <c r="C31" s="193" t="s">
        <v>822</v>
      </c>
      <c r="D31" s="196">
        <f>'GERAL 2023'!G39+(2.45026%*580)</f>
        <v>594.21150799999998</v>
      </c>
      <c r="E31" s="192">
        <v>0</v>
      </c>
      <c r="F31" s="196">
        <f t="shared" si="11"/>
        <v>594.21150799999998</v>
      </c>
      <c r="G31" s="192">
        <v>25</v>
      </c>
      <c r="H31" s="192">
        <f t="shared" si="12"/>
        <v>57.406666666666666</v>
      </c>
      <c r="I31" s="192">
        <f>'GERAL 2024'!I23</f>
        <v>1.3105200945626476</v>
      </c>
      <c r="J31" s="192">
        <f>'GERAL 2024'!K23</f>
        <v>0.79837470449172576</v>
      </c>
      <c r="K31" s="192">
        <v>0</v>
      </c>
      <c r="L31" s="191">
        <f t="shared" si="5"/>
        <v>678.727069465721</v>
      </c>
      <c r="M31" s="192">
        <f t="shared" si="9"/>
        <v>47.510894862600473</v>
      </c>
      <c r="N31" s="192">
        <f t="shared" si="6"/>
        <v>631.21617460312052</v>
      </c>
      <c r="O31" s="193" t="s">
        <v>1034</v>
      </c>
      <c r="P31" s="207">
        <v>10</v>
      </c>
      <c r="Q31" s="197">
        <v>11</v>
      </c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  <c r="AC31" s="205"/>
      <c r="AD31" s="205"/>
      <c r="AE31" s="205"/>
      <c r="AF31" s="205"/>
      <c r="AG31" s="205"/>
      <c r="AH31" s="205"/>
      <c r="AI31" s="205"/>
      <c r="AJ31" s="205"/>
      <c r="AK31" s="205"/>
      <c r="AL31" s="205"/>
      <c r="AM31" s="205"/>
      <c r="AN31" s="205"/>
      <c r="AO31" s="205"/>
      <c r="AP31" s="205"/>
      <c r="AQ31" s="205"/>
    </row>
    <row r="32" spans="1:48" s="206" customFormat="1" x14ac:dyDescent="0.3">
      <c r="A32" s="195" t="s">
        <v>950</v>
      </c>
      <c r="B32" s="193">
        <v>22</v>
      </c>
      <c r="C32" s="193" t="s">
        <v>951</v>
      </c>
      <c r="D32" s="196">
        <f>'GERAL 2024'!G38</f>
        <v>610</v>
      </c>
      <c r="E32" s="192">
        <v>0</v>
      </c>
      <c r="F32" s="196">
        <f t="shared" si="11"/>
        <v>610</v>
      </c>
      <c r="G32" s="192">
        <v>25</v>
      </c>
      <c r="H32" s="192">
        <f t="shared" si="12"/>
        <v>57.406666666666666</v>
      </c>
      <c r="I32" s="192">
        <f>'GERAL 2024'!I38</f>
        <v>1.3105200945626476</v>
      </c>
      <c r="J32" s="192">
        <f>'GERAL 2024'!K38</f>
        <v>0.79837470449172576</v>
      </c>
      <c r="K32" s="192">
        <v>0</v>
      </c>
      <c r="L32" s="191">
        <f t="shared" si="5"/>
        <v>694.51556146572102</v>
      </c>
      <c r="M32" s="192">
        <f>7%*L32</f>
        <v>48.616089302600479</v>
      </c>
      <c r="N32" s="192">
        <f>L32-M32</f>
        <v>645.89947216312055</v>
      </c>
      <c r="O32" s="193" t="s">
        <v>1034</v>
      </c>
      <c r="P32" s="207">
        <v>10</v>
      </c>
      <c r="Q32" s="197">
        <v>11</v>
      </c>
      <c r="R32" s="205"/>
      <c r="S32" s="205"/>
      <c r="T32" s="205"/>
      <c r="U32" s="205"/>
      <c r="V32" s="205"/>
      <c r="W32" s="205"/>
      <c r="X32" s="205"/>
      <c r="Y32" s="205"/>
      <c r="Z32" s="205"/>
      <c r="AA32" s="205"/>
      <c r="AB32" s="205"/>
      <c r="AC32" s="205"/>
      <c r="AD32" s="205"/>
      <c r="AE32" s="205"/>
      <c r="AF32" s="205"/>
      <c r="AG32" s="205"/>
      <c r="AH32" s="205"/>
      <c r="AI32" s="205"/>
      <c r="AJ32" s="205"/>
      <c r="AK32" s="205"/>
      <c r="AL32" s="205"/>
      <c r="AM32" s="205"/>
      <c r="AN32" s="205"/>
      <c r="AO32" s="205"/>
      <c r="AP32" s="205"/>
      <c r="AQ32" s="205"/>
    </row>
    <row r="33" spans="1:43" s="206" customFormat="1" x14ac:dyDescent="0.3">
      <c r="A33" s="195" t="s">
        <v>750</v>
      </c>
      <c r="B33" s="193">
        <v>23</v>
      </c>
      <c r="C33" s="193" t="s">
        <v>827</v>
      </c>
      <c r="D33" s="196">
        <f>'GERAL 2022'!G25</f>
        <v>550</v>
      </c>
      <c r="E33" s="192">
        <v>0</v>
      </c>
      <c r="F33" s="196">
        <f t="shared" si="11"/>
        <v>550</v>
      </c>
      <c r="G33" s="192">
        <v>0</v>
      </c>
      <c r="H33" s="192">
        <f t="shared" si="12"/>
        <v>57.406666666666666</v>
      </c>
      <c r="I33" s="192">
        <f>'GERAL 2024'!I25</f>
        <v>1.3105200945626476</v>
      </c>
      <c r="J33" s="192">
        <f>'GERAL 2024'!K25</f>
        <v>0.79837470449172576</v>
      </c>
      <c r="K33" s="192">
        <v>0</v>
      </c>
      <c r="L33" s="191">
        <f t="shared" si="5"/>
        <v>609.51556146572102</v>
      </c>
      <c r="M33" s="192">
        <f t="shared" si="9"/>
        <v>42.666089302600476</v>
      </c>
      <c r="N33" s="192">
        <f t="shared" si="6"/>
        <v>566.84947216312059</v>
      </c>
      <c r="O33" s="193" t="s">
        <v>1028</v>
      </c>
      <c r="P33" s="197">
        <v>10</v>
      </c>
      <c r="Q33" s="197">
        <v>11</v>
      </c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  <c r="AC33" s="205"/>
      <c r="AD33" s="205"/>
      <c r="AE33" s="205"/>
      <c r="AF33" s="205"/>
      <c r="AG33" s="205"/>
      <c r="AH33" s="205"/>
      <c r="AI33" s="205"/>
      <c r="AJ33" s="205"/>
      <c r="AK33" s="205"/>
      <c r="AL33" s="205"/>
      <c r="AM33" s="205"/>
      <c r="AN33" s="205"/>
      <c r="AO33" s="205"/>
      <c r="AP33" s="205"/>
      <c r="AQ33" s="205"/>
    </row>
    <row r="34" spans="1:43" s="204" customFormat="1" ht="15.6" customHeight="1" x14ac:dyDescent="0.3">
      <c r="A34" s="193"/>
      <c r="B34" s="193">
        <v>24</v>
      </c>
      <c r="C34" s="193"/>
      <c r="D34" s="196">
        <v>0</v>
      </c>
      <c r="E34" s="192">
        <v>0</v>
      </c>
      <c r="F34" s="196">
        <f>D34-E34</f>
        <v>0</v>
      </c>
      <c r="G34" s="192">
        <v>0</v>
      </c>
      <c r="H34" s="192">
        <v>0</v>
      </c>
      <c r="I34" s="192">
        <v>0</v>
      </c>
      <c r="J34" s="192">
        <v>0</v>
      </c>
      <c r="K34" s="192">
        <v>0</v>
      </c>
      <c r="L34" s="191">
        <f t="shared" si="5"/>
        <v>0</v>
      </c>
      <c r="M34" s="192">
        <f t="shared" si="9"/>
        <v>0</v>
      </c>
      <c r="N34" s="192">
        <f t="shared" si="6"/>
        <v>0</v>
      </c>
      <c r="O34" s="193" t="s">
        <v>525</v>
      </c>
      <c r="P34" s="207"/>
      <c r="Q34" s="197"/>
      <c r="R34" s="200"/>
      <c r="S34" s="200"/>
      <c r="T34" s="200"/>
      <c r="U34" s="200"/>
      <c r="V34" s="200"/>
      <c r="W34" s="200"/>
      <c r="X34" s="200"/>
      <c r="Y34" s="200"/>
      <c r="Z34" s="200"/>
    </row>
    <row r="35" spans="1:43" s="204" customFormat="1" ht="15" customHeight="1" x14ac:dyDescent="0.3">
      <c r="A35" s="206" t="s">
        <v>1007</v>
      </c>
      <c r="B35" s="193">
        <v>25</v>
      </c>
      <c r="C35" s="193" t="s">
        <v>822</v>
      </c>
      <c r="D35" s="196">
        <v>0</v>
      </c>
      <c r="E35" s="192">
        <v>0</v>
      </c>
      <c r="F35" s="196">
        <f t="shared" si="11"/>
        <v>0</v>
      </c>
      <c r="G35" s="192">
        <v>0</v>
      </c>
      <c r="H35" s="192">
        <v>0</v>
      </c>
      <c r="I35" s="192">
        <v>0</v>
      </c>
      <c r="J35" s="192">
        <v>0</v>
      </c>
      <c r="K35" s="192">
        <v>0</v>
      </c>
      <c r="L35" s="191">
        <f t="shared" si="5"/>
        <v>0</v>
      </c>
      <c r="M35" s="192">
        <f t="shared" si="9"/>
        <v>0</v>
      </c>
      <c r="N35" s="192">
        <f t="shared" si="6"/>
        <v>0</v>
      </c>
      <c r="O35" s="193" t="s">
        <v>108</v>
      </c>
      <c r="P35" s="207">
        <v>10</v>
      </c>
      <c r="Q35" s="197">
        <v>11</v>
      </c>
      <c r="R35" s="200"/>
      <c r="S35" s="200"/>
      <c r="T35" s="200"/>
      <c r="U35" s="200"/>
      <c r="V35" s="200"/>
      <c r="W35" s="200"/>
      <c r="X35" s="200"/>
      <c r="Y35" s="200"/>
      <c r="Z35" s="200"/>
    </row>
    <row r="36" spans="1:43" s="206" customFormat="1" x14ac:dyDescent="0.3">
      <c r="A36" s="195" t="s">
        <v>751</v>
      </c>
      <c r="B36" s="193">
        <v>26</v>
      </c>
      <c r="C36" s="193" t="s">
        <v>827</v>
      </c>
      <c r="D36" s="196">
        <f>'GERAL 2022'!G28</f>
        <v>560</v>
      </c>
      <c r="E36" s="192">
        <v>0</v>
      </c>
      <c r="F36" s="196">
        <f t="shared" si="11"/>
        <v>560</v>
      </c>
      <c r="G36" s="192">
        <v>25</v>
      </c>
      <c r="H36" s="192">
        <f t="shared" si="12"/>
        <v>57.406666666666666</v>
      </c>
      <c r="I36" s="192">
        <f>'GERAL 2024'!I28</f>
        <v>1.3105200945626476</v>
      </c>
      <c r="J36" s="192">
        <f>'GERAL 2024'!K29</f>
        <v>0.79837470449172576</v>
      </c>
      <c r="K36" s="192">
        <v>0</v>
      </c>
      <c r="L36" s="191">
        <f t="shared" si="5"/>
        <v>644.51556146572102</v>
      </c>
      <c r="M36" s="192">
        <f t="shared" si="9"/>
        <v>45.116089302600479</v>
      </c>
      <c r="N36" s="192">
        <f t="shared" si="6"/>
        <v>599.39947216312055</v>
      </c>
      <c r="O36" s="193" t="s">
        <v>1034</v>
      </c>
      <c r="P36" s="197">
        <v>10</v>
      </c>
      <c r="Q36" s="197">
        <v>11</v>
      </c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  <c r="AQ36" s="205"/>
    </row>
    <row r="37" spans="1:43" s="206" customFormat="1" x14ac:dyDescent="0.3">
      <c r="A37" s="195" t="s">
        <v>752</v>
      </c>
      <c r="B37" s="193">
        <v>27</v>
      </c>
      <c r="C37" s="216" t="s">
        <v>827</v>
      </c>
      <c r="D37" s="217">
        <f>'GERAL 2022'!G45</f>
        <v>580</v>
      </c>
      <c r="E37" s="210">
        <v>0</v>
      </c>
      <c r="F37" s="196">
        <f t="shared" si="11"/>
        <v>580</v>
      </c>
      <c r="G37" s="210">
        <v>0</v>
      </c>
      <c r="H37" s="192">
        <f t="shared" si="12"/>
        <v>57.406666666666666</v>
      </c>
      <c r="I37" s="210">
        <f>'GERAL 2024'!I29</f>
        <v>1.3105200945626476</v>
      </c>
      <c r="J37" s="192">
        <f>'GERAL 2024'!K29</f>
        <v>0.79837470449172576</v>
      </c>
      <c r="K37" s="210">
        <v>0</v>
      </c>
      <c r="L37" s="191">
        <f t="shared" si="5"/>
        <v>639.51556146572102</v>
      </c>
      <c r="M37" s="192">
        <f t="shared" si="9"/>
        <v>44.766089302600477</v>
      </c>
      <c r="N37" s="192">
        <f>L37-M37</f>
        <v>594.74947216312057</v>
      </c>
      <c r="O37" s="193" t="s">
        <v>1028</v>
      </c>
      <c r="P37" s="197">
        <v>10</v>
      </c>
      <c r="Q37" s="197">
        <v>11</v>
      </c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  <c r="AC37" s="205"/>
      <c r="AD37" s="205"/>
      <c r="AE37" s="205"/>
      <c r="AF37" s="205"/>
      <c r="AG37" s="205"/>
      <c r="AH37" s="205"/>
      <c r="AI37" s="205"/>
      <c r="AJ37" s="205"/>
      <c r="AK37" s="205"/>
      <c r="AL37" s="205"/>
      <c r="AM37" s="205"/>
      <c r="AN37" s="205"/>
      <c r="AO37" s="205"/>
      <c r="AP37" s="205"/>
      <c r="AQ37" s="205"/>
    </row>
    <row r="38" spans="1:43" s="206" customFormat="1" x14ac:dyDescent="0.3">
      <c r="A38" s="584" t="s">
        <v>4</v>
      </c>
      <c r="B38" s="584"/>
      <c r="C38" s="209"/>
      <c r="D38" s="191">
        <f t="shared" ref="D38:N38" si="13">SUM(D11:D37)</f>
        <v>11803.029061741934</v>
      </c>
      <c r="E38" s="191">
        <f t="shared" si="13"/>
        <v>0</v>
      </c>
      <c r="F38" s="191">
        <f t="shared" si="13"/>
        <v>11803.029061741934</v>
      </c>
      <c r="G38" s="191">
        <f t="shared" si="13"/>
        <v>492.74193548387098</v>
      </c>
      <c r="H38" s="191">
        <f t="shared" si="13"/>
        <v>1103.6894623655912</v>
      </c>
      <c r="I38" s="191">
        <f t="shared" si="13"/>
        <v>26.244221764661024</v>
      </c>
      <c r="J38" s="191">
        <f t="shared" si="13"/>
        <v>15.988097308014952</v>
      </c>
      <c r="K38" s="191">
        <f t="shared" si="13"/>
        <v>253.99</v>
      </c>
      <c r="L38" s="191">
        <f t="shared" si="13"/>
        <v>13695.682778664079</v>
      </c>
      <c r="M38" s="191">
        <f t="shared" si="13"/>
        <v>958.69779450648514</v>
      </c>
      <c r="N38" s="191">
        <f t="shared" si="13"/>
        <v>12736.984984157591</v>
      </c>
      <c r="O38" s="193"/>
      <c r="P38" s="197"/>
      <c r="Q38" s="197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  <c r="AC38" s="205"/>
      <c r="AD38" s="205"/>
      <c r="AE38" s="205"/>
      <c r="AF38" s="205"/>
      <c r="AG38" s="205"/>
      <c r="AH38" s="205"/>
      <c r="AI38" s="205"/>
      <c r="AJ38" s="205"/>
      <c r="AK38" s="205"/>
      <c r="AL38" s="205"/>
      <c r="AM38" s="205"/>
      <c r="AN38" s="205"/>
      <c r="AO38" s="205"/>
      <c r="AP38" s="205"/>
      <c r="AQ38" s="205"/>
    </row>
    <row r="39" spans="1:43" s="11" customFormat="1" ht="28.5" customHeight="1" x14ac:dyDescent="0.3">
      <c r="A39" s="521" t="s">
        <v>1027</v>
      </c>
      <c r="B39" s="521"/>
      <c r="C39" s="521"/>
      <c r="D39" s="521"/>
      <c r="E39" s="521"/>
      <c r="F39" s="521"/>
      <c r="G39" s="521"/>
      <c r="H39" s="521"/>
      <c r="I39" s="521"/>
      <c r="J39" s="521"/>
      <c r="K39" s="521"/>
      <c r="L39" s="521"/>
      <c r="M39" s="521"/>
      <c r="N39" s="521"/>
      <c r="O39" s="521"/>
      <c r="P39" s="521"/>
      <c r="Q39" s="521"/>
      <c r="R39" s="10"/>
      <c r="S39" s="10"/>
      <c r="T39" s="10"/>
      <c r="U39" s="10"/>
      <c r="V39" s="10"/>
      <c r="W39" s="10"/>
      <c r="X39" s="10"/>
      <c r="Y39" s="10"/>
      <c r="Z39" s="10"/>
    </row>
    <row r="40" spans="1:43" s="11" customFormat="1" ht="27.75" customHeight="1" x14ac:dyDescent="0.3">
      <c r="A40" s="127" t="s">
        <v>3</v>
      </c>
      <c r="B40" s="127" t="s">
        <v>0</v>
      </c>
      <c r="C40" s="127" t="s">
        <v>821</v>
      </c>
      <c r="D40" s="128" t="s">
        <v>174</v>
      </c>
      <c r="E40" s="555" t="s">
        <v>175</v>
      </c>
      <c r="F40" s="556"/>
      <c r="G40" s="556"/>
      <c r="H40" s="556"/>
      <c r="I40" s="556"/>
      <c r="J40" s="556"/>
      <c r="K40" s="557"/>
      <c r="L40" s="128" t="s">
        <v>4</v>
      </c>
      <c r="M40" s="128" t="s">
        <v>5</v>
      </c>
      <c r="N40" s="128" t="s">
        <v>70</v>
      </c>
      <c r="O40" s="127" t="s">
        <v>59</v>
      </c>
      <c r="P40" s="130" t="s">
        <v>8</v>
      </c>
      <c r="Q40" s="130" t="s">
        <v>10</v>
      </c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 spans="1:43" s="204" customFormat="1" ht="15.75" customHeight="1" x14ac:dyDescent="0.3">
      <c r="A41" s="195" t="s">
        <v>902</v>
      </c>
      <c r="B41" s="195">
        <v>17</v>
      </c>
      <c r="C41" s="195" t="s">
        <v>823</v>
      </c>
      <c r="D41" s="196">
        <v>2080.41</v>
      </c>
      <c r="E41" s="551" t="s">
        <v>1011</v>
      </c>
      <c r="F41" s="580"/>
      <c r="G41" s="580"/>
      <c r="H41" s="580"/>
      <c r="I41" s="580"/>
      <c r="J41" s="580"/>
      <c r="K41" s="552"/>
      <c r="L41" s="196">
        <v>0</v>
      </c>
      <c r="M41" s="192">
        <f>7%*L41</f>
        <v>0</v>
      </c>
      <c r="N41" s="192">
        <f>L41-M41</f>
        <v>0</v>
      </c>
      <c r="O41" s="193" t="s">
        <v>1040</v>
      </c>
      <c r="P41" s="207">
        <v>10</v>
      </c>
      <c r="Q41" s="197">
        <v>11</v>
      </c>
      <c r="R41" s="200"/>
      <c r="S41" s="200"/>
      <c r="T41" s="200"/>
      <c r="U41" s="200"/>
      <c r="V41" s="200"/>
      <c r="W41" s="200"/>
      <c r="X41" s="200"/>
      <c r="Y41" s="200"/>
      <c r="Z41" s="200"/>
    </row>
    <row r="42" spans="1:43" s="204" customFormat="1" ht="15.75" customHeight="1" x14ac:dyDescent="0.3">
      <c r="A42" s="193" t="s">
        <v>738</v>
      </c>
      <c r="B42" s="193">
        <v>19</v>
      </c>
      <c r="C42" s="193" t="s">
        <v>825</v>
      </c>
      <c r="D42" s="196">
        <v>1037</v>
      </c>
      <c r="E42" s="551" t="s">
        <v>1024</v>
      </c>
      <c r="F42" s="580"/>
      <c r="G42" s="580"/>
      <c r="H42" s="580"/>
      <c r="I42" s="580"/>
      <c r="J42" s="580"/>
      <c r="K42" s="552"/>
      <c r="L42" s="196">
        <v>317.92</v>
      </c>
      <c r="M42" s="192">
        <f>7%*L42</f>
        <v>22.254400000000004</v>
      </c>
      <c r="N42" s="192">
        <f>L42-M42</f>
        <v>295.66560000000004</v>
      </c>
      <c r="O42" s="193" t="s">
        <v>1037</v>
      </c>
      <c r="P42" s="207">
        <v>10</v>
      </c>
      <c r="Q42" s="197">
        <v>11</v>
      </c>
      <c r="R42" s="200"/>
      <c r="S42" s="200"/>
      <c r="T42" s="200"/>
      <c r="U42" s="200"/>
      <c r="V42" s="200"/>
      <c r="W42" s="200"/>
      <c r="X42" s="200"/>
      <c r="Y42" s="200"/>
      <c r="Z42" s="200"/>
    </row>
    <row r="43" spans="1:43" s="11" customFormat="1" x14ac:dyDescent="0.3">
      <c r="A43" s="518" t="s">
        <v>4</v>
      </c>
      <c r="B43" s="518"/>
      <c r="C43" s="518"/>
      <c r="D43" s="518"/>
      <c r="E43" s="518"/>
      <c r="F43" s="518"/>
      <c r="G43" s="518"/>
      <c r="H43" s="518"/>
      <c r="I43" s="518"/>
      <c r="J43" s="518"/>
      <c r="K43" s="518"/>
      <c r="L43" s="109">
        <f>SUM(L41:L42)</f>
        <v>317.92</v>
      </c>
      <c r="M43" s="109">
        <f>SUM(M41:M42)</f>
        <v>22.254400000000004</v>
      </c>
      <c r="N43" s="109">
        <f>SUM(N41:N42)</f>
        <v>295.66560000000004</v>
      </c>
      <c r="O43" s="527"/>
      <c r="P43" s="527"/>
      <c r="Q43" s="527"/>
      <c r="R43" s="10"/>
      <c r="S43" s="10"/>
      <c r="T43" s="10"/>
      <c r="U43" s="10"/>
      <c r="V43" s="10"/>
      <c r="W43" s="10"/>
      <c r="X43" s="10"/>
      <c r="Y43" s="10"/>
      <c r="Z43" s="10"/>
    </row>
    <row r="44" spans="1:43" s="11" customFormat="1" x14ac:dyDescent="0.3">
      <c r="A44" s="518"/>
      <c r="B44" s="518"/>
      <c r="C44" s="518"/>
      <c r="D44" s="518"/>
      <c r="E44" s="518"/>
      <c r="F44" s="518"/>
      <c r="G44" s="518"/>
      <c r="H44" s="518"/>
      <c r="I44" s="518"/>
      <c r="J44" s="518"/>
      <c r="K44" s="518"/>
      <c r="L44" s="518"/>
      <c r="M44" s="518"/>
      <c r="N44" s="518"/>
      <c r="O44" s="518"/>
      <c r="P44" s="109"/>
      <c r="Q44" s="109"/>
      <c r="R44" s="10"/>
      <c r="S44" s="10"/>
      <c r="T44" s="10"/>
      <c r="U44" s="10"/>
      <c r="V44" s="10"/>
      <c r="W44" s="10"/>
      <c r="X44" s="10"/>
      <c r="Y44" s="10"/>
      <c r="Z44" s="10"/>
    </row>
    <row r="45" spans="1:43" s="11" customFormat="1" ht="28.5" customHeight="1" x14ac:dyDescent="0.3">
      <c r="A45" s="521" t="s">
        <v>177</v>
      </c>
      <c r="B45" s="521"/>
      <c r="C45" s="521"/>
      <c r="D45" s="521"/>
      <c r="E45" s="521"/>
      <c r="F45" s="521"/>
      <c r="G45" s="521"/>
      <c r="H45" s="521"/>
      <c r="I45" s="521"/>
      <c r="J45" s="521"/>
      <c r="K45" s="521"/>
      <c r="L45" s="521"/>
      <c r="M45" s="521"/>
      <c r="N45" s="521"/>
      <c r="O45" s="521"/>
      <c r="P45" s="521"/>
      <c r="Q45" s="521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43" s="11" customFormat="1" ht="25.5" customHeight="1" x14ac:dyDescent="0.3">
      <c r="A46" s="126" t="s">
        <v>173</v>
      </c>
      <c r="B46" s="126" t="s">
        <v>0</v>
      </c>
      <c r="C46" s="126"/>
      <c r="D46" s="126" t="s">
        <v>174</v>
      </c>
      <c r="E46" s="521" t="s">
        <v>175</v>
      </c>
      <c r="F46" s="521"/>
      <c r="G46" s="521"/>
      <c r="H46" s="521"/>
      <c r="I46" s="521"/>
      <c r="J46" s="521"/>
      <c r="K46" s="521"/>
      <c r="L46" s="129" t="s">
        <v>4</v>
      </c>
      <c r="M46" s="128"/>
      <c r="N46" s="128"/>
      <c r="O46" s="127" t="s">
        <v>59</v>
      </c>
      <c r="P46" s="130" t="s">
        <v>8</v>
      </c>
      <c r="Q46" s="130" t="s">
        <v>10</v>
      </c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43" s="69" customFormat="1" ht="15" customHeight="1" x14ac:dyDescent="0.3">
      <c r="A47" s="4" t="s">
        <v>132</v>
      </c>
      <c r="B47" s="4">
        <v>1</v>
      </c>
      <c r="C47" s="4"/>
      <c r="D47" s="5">
        <f>4977.59-1520</f>
        <v>3457.59</v>
      </c>
      <c r="E47" s="546" t="s">
        <v>284</v>
      </c>
      <c r="F47" s="547"/>
      <c r="G47" s="547"/>
      <c r="H47" s="547"/>
      <c r="I47" s="547"/>
      <c r="J47" s="547"/>
      <c r="K47" s="548"/>
      <c r="L47" s="5">
        <f>4977.59-1520</f>
        <v>3457.59</v>
      </c>
      <c r="M47" s="5"/>
      <c r="N47" s="5"/>
      <c r="O47" s="5" t="s">
        <v>510</v>
      </c>
      <c r="P47" s="140">
        <v>10</v>
      </c>
      <c r="Q47" s="4">
        <v>11</v>
      </c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</row>
    <row r="48" spans="1:43" s="11" customFormat="1" x14ac:dyDescent="0.3">
      <c r="A48" s="90" t="s">
        <v>87</v>
      </c>
      <c r="B48" s="90">
        <v>25</v>
      </c>
      <c r="C48" s="90"/>
      <c r="D48" s="5">
        <v>3013.33</v>
      </c>
      <c r="E48" s="546" t="s">
        <v>543</v>
      </c>
      <c r="F48" s="547"/>
      <c r="G48" s="547"/>
      <c r="H48" s="547"/>
      <c r="I48" s="547"/>
      <c r="J48" s="547"/>
      <c r="K48" s="548"/>
      <c r="L48" s="5">
        <v>3040.58</v>
      </c>
      <c r="M48" s="2"/>
      <c r="N48" s="2"/>
      <c r="O48" s="5" t="s">
        <v>545</v>
      </c>
      <c r="P48" s="98">
        <v>10</v>
      </c>
      <c r="Q48" s="3">
        <v>11</v>
      </c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</row>
    <row r="49" spans="1:61" s="11" customFormat="1" ht="15" customHeight="1" x14ac:dyDescent="0.3">
      <c r="A49" s="3" t="s">
        <v>894</v>
      </c>
      <c r="B49" s="90">
        <v>16</v>
      </c>
      <c r="C49" s="90" t="s">
        <v>823</v>
      </c>
      <c r="D49" s="5">
        <f>144.52+11.29+12.89+0.3+0.18+1664</f>
        <v>1833.18</v>
      </c>
      <c r="E49" s="546" t="s">
        <v>969</v>
      </c>
      <c r="F49" s="547"/>
      <c r="G49" s="547"/>
      <c r="H49" s="547"/>
      <c r="I49" s="547"/>
      <c r="J49" s="547"/>
      <c r="K49" s="548"/>
      <c r="L49" s="5">
        <f>144.52+11.29+12.89+0.3+0.18+1664</f>
        <v>1833.18</v>
      </c>
      <c r="M49" s="2"/>
      <c r="N49" s="2"/>
      <c r="O49" s="90" t="s">
        <v>969</v>
      </c>
      <c r="P49" s="98">
        <v>10</v>
      </c>
      <c r="Q49" s="3">
        <v>11</v>
      </c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</row>
    <row r="50" spans="1:61" s="206" customFormat="1" ht="15" customHeight="1" x14ac:dyDescent="0.3">
      <c r="A50" s="194" t="s">
        <v>739</v>
      </c>
      <c r="B50" s="194">
        <v>10</v>
      </c>
      <c r="C50" s="194" t="s">
        <v>825</v>
      </c>
      <c r="D50" s="196">
        <f>550+50+57.1+1.31+0.8</f>
        <v>659.20999999999992</v>
      </c>
      <c r="E50" s="551" t="s">
        <v>1015</v>
      </c>
      <c r="F50" s="580"/>
      <c r="G50" s="580"/>
      <c r="H50" s="580"/>
      <c r="I50" s="580"/>
      <c r="J50" s="580"/>
      <c r="K50" s="552"/>
      <c r="L50" s="234">
        <f>550+50+57.1+1.31+0.8</f>
        <v>659.20999999999992</v>
      </c>
      <c r="M50" s="192"/>
      <c r="N50" s="192"/>
      <c r="O50" s="193" t="s">
        <v>1015</v>
      </c>
      <c r="P50" s="235">
        <v>10</v>
      </c>
      <c r="Q50" s="197">
        <v>11</v>
      </c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</row>
    <row r="51" spans="1:61" s="206" customFormat="1" ht="15" customHeight="1" x14ac:dyDescent="0.3">
      <c r="A51" s="237" t="s">
        <v>902</v>
      </c>
      <c r="B51" s="195">
        <v>17</v>
      </c>
      <c r="C51" s="195" t="s">
        <v>823</v>
      </c>
      <c r="D51" s="196">
        <v>2080.41</v>
      </c>
      <c r="E51" s="551" t="s">
        <v>1011</v>
      </c>
      <c r="F51" s="580"/>
      <c r="G51" s="580"/>
      <c r="H51" s="580"/>
      <c r="I51" s="580"/>
      <c r="J51" s="580"/>
      <c r="K51" s="552"/>
      <c r="L51" s="196">
        <v>300</v>
      </c>
      <c r="M51" s="192"/>
      <c r="N51" s="192"/>
      <c r="O51" s="193" t="s">
        <v>1039</v>
      </c>
      <c r="P51" s="235">
        <v>10</v>
      </c>
      <c r="Q51" s="197">
        <v>11</v>
      </c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  <c r="AC51" s="205"/>
      <c r="AD51" s="205"/>
      <c r="AE51" s="205"/>
      <c r="AF51" s="205"/>
      <c r="AG51" s="205"/>
      <c r="AH51" s="205"/>
      <c r="AI51" s="205"/>
      <c r="AJ51" s="205"/>
      <c r="AK51" s="205"/>
      <c r="AL51" s="205"/>
      <c r="AM51" s="205"/>
      <c r="AN51" s="205"/>
      <c r="AO51" s="205"/>
      <c r="AP51" s="205"/>
      <c r="AQ51" s="205"/>
    </row>
    <row r="52" spans="1:61" s="40" customFormat="1" ht="15" customHeight="1" thickBot="1" x14ac:dyDescent="0.35">
      <c r="A52" s="534" t="s">
        <v>4</v>
      </c>
      <c r="B52" s="549"/>
      <c r="C52" s="549"/>
      <c r="D52" s="549"/>
      <c r="E52" s="549"/>
      <c r="F52" s="549"/>
      <c r="G52" s="549"/>
      <c r="H52" s="549"/>
      <c r="I52" s="549"/>
      <c r="J52" s="549"/>
      <c r="K52" s="535"/>
      <c r="L52" s="114">
        <f>SUM(L47:L51)</f>
        <v>9290.56</v>
      </c>
      <c r="M52" s="90"/>
      <c r="N52" s="90"/>
      <c r="O52" s="90"/>
      <c r="P52" s="90"/>
      <c r="Q52" s="9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1"/>
      <c r="AV52" s="11"/>
      <c r="AW52" s="11"/>
      <c r="AX52" s="11"/>
    </row>
    <row r="53" spans="1:61" s="19" customFormat="1" x14ac:dyDescent="0.3">
      <c r="A53" s="179"/>
      <c r="B53" s="180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1"/>
      <c r="Q53" s="182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</row>
    <row r="54" spans="1:61" s="40" customFormat="1" x14ac:dyDescent="0.3">
      <c r="A54" s="585"/>
      <c r="B54" s="585"/>
      <c r="C54" s="585"/>
      <c r="D54" s="585"/>
      <c r="E54" s="585"/>
      <c r="F54" s="46"/>
      <c r="G54" s="46"/>
      <c r="H54" s="46"/>
      <c r="I54" s="46"/>
      <c r="J54" s="46"/>
      <c r="K54" s="46"/>
      <c r="L54" s="46"/>
      <c r="M54" s="46"/>
      <c r="N54" s="46"/>
      <c r="O54" s="544" t="s">
        <v>315</v>
      </c>
      <c r="P54" s="544"/>
      <c r="Q54" s="545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1"/>
      <c r="AV54" s="11"/>
      <c r="AW54" s="11"/>
      <c r="AX54" s="11"/>
    </row>
    <row r="55" spans="1:61" s="40" customFormat="1" x14ac:dyDescent="0.3">
      <c r="A55" s="206"/>
      <c r="B55" s="223"/>
      <c r="C55" s="223"/>
      <c r="D55" s="224"/>
      <c r="E55" s="223"/>
      <c r="F55" s="46"/>
      <c r="G55" s="46"/>
      <c r="H55" s="46"/>
      <c r="I55" s="11"/>
      <c r="J55" s="11"/>
      <c r="K55" s="11"/>
      <c r="L55" s="87"/>
      <c r="M55" s="87"/>
      <c r="N55" s="87"/>
      <c r="O55" s="527" t="s">
        <v>94</v>
      </c>
      <c r="P55" s="527"/>
      <c r="Q55" s="114">
        <f>M38+M43</f>
        <v>980.95219450648517</v>
      </c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1"/>
      <c r="AV55" s="11"/>
      <c r="AW55" s="11"/>
      <c r="AX55" s="11"/>
    </row>
    <row r="56" spans="1:61" s="40" customFormat="1" x14ac:dyDescent="0.3">
      <c r="A56" s="206"/>
      <c r="B56" s="223"/>
      <c r="C56" s="223"/>
      <c r="D56" s="224"/>
      <c r="E56" s="223"/>
      <c r="F56" s="46"/>
      <c r="G56" s="46"/>
      <c r="H56" s="46"/>
      <c r="I56" s="11"/>
      <c r="J56" s="11"/>
      <c r="K56" s="11"/>
      <c r="L56" s="14"/>
      <c r="M56" s="14"/>
      <c r="N56" s="14"/>
      <c r="O56" s="518" t="s">
        <v>260</v>
      </c>
      <c r="P56" s="518"/>
      <c r="Q56" s="114">
        <f>M8</f>
        <v>1479</v>
      </c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1"/>
      <c r="AV56" s="11"/>
      <c r="AW56" s="11"/>
      <c r="AX56" s="11"/>
    </row>
    <row r="57" spans="1:61" s="40" customFormat="1" x14ac:dyDescent="0.3">
      <c r="A57" s="206"/>
      <c r="B57" s="223"/>
      <c r="C57" s="223"/>
      <c r="D57" s="224"/>
      <c r="E57" s="223"/>
      <c r="F57" s="46"/>
      <c r="G57" s="46"/>
      <c r="H57" s="46"/>
      <c r="I57" s="11"/>
      <c r="J57" s="11"/>
      <c r="K57" s="11"/>
      <c r="L57" s="14"/>
      <c r="M57" s="14"/>
      <c r="N57" s="14"/>
      <c r="O57" s="520"/>
      <c r="P57" s="520"/>
      <c r="Q57" s="52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1"/>
      <c r="AV57" s="11"/>
      <c r="AW57" s="11"/>
      <c r="AX57" s="11"/>
    </row>
    <row r="58" spans="1:61" s="40" customFormat="1" x14ac:dyDescent="0.3">
      <c r="A58" s="206"/>
      <c r="B58" s="223"/>
      <c r="C58" s="223"/>
      <c r="D58" s="224"/>
      <c r="E58" s="223"/>
      <c r="F58" s="46"/>
      <c r="G58" s="46"/>
      <c r="H58" s="46"/>
      <c r="I58" s="11"/>
      <c r="J58" s="11"/>
      <c r="K58" s="11"/>
      <c r="L58" s="62"/>
      <c r="M58" s="62"/>
      <c r="N58" s="62"/>
      <c r="O58" s="520"/>
      <c r="P58" s="520"/>
      <c r="Q58" s="52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1"/>
      <c r="AV58" s="11"/>
      <c r="AW58" s="11"/>
      <c r="AX58" s="11"/>
    </row>
    <row r="59" spans="1:61" s="40" customFormat="1" ht="14.4" x14ac:dyDescent="0.3">
      <c r="A59" s="206"/>
      <c r="B59" s="223"/>
      <c r="C59" s="223"/>
      <c r="D59" s="224"/>
      <c r="E59" s="223"/>
      <c r="F59" s="46"/>
      <c r="G59" s="46"/>
      <c r="H59" s="46"/>
      <c r="I59" s="11"/>
      <c r="J59" s="11"/>
      <c r="K59" s="11"/>
      <c r="L59" s="14"/>
      <c r="M59" s="14"/>
      <c r="N59" s="14"/>
      <c r="O59" s="529" t="s">
        <v>12</v>
      </c>
      <c r="P59" s="529"/>
      <c r="Q59" s="529"/>
      <c r="R59" s="175"/>
      <c r="S59" s="178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1"/>
      <c r="AV59" s="11"/>
      <c r="AW59" s="11"/>
      <c r="AX59" s="11"/>
    </row>
    <row r="60" spans="1:61" s="11" customFormat="1" ht="15" customHeight="1" x14ac:dyDescent="0.3">
      <c r="A60" s="206"/>
      <c r="B60" s="223"/>
      <c r="C60" s="223"/>
      <c r="D60" s="224"/>
      <c r="E60" s="223"/>
      <c r="F60" s="46"/>
      <c r="G60" s="46"/>
      <c r="H60" s="46"/>
      <c r="L60" s="63"/>
      <c r="M60" s="63"/>
      <c r="N60" s="63"/>
      <c r="O60" s="514" t="s">
        <v>1032</v>
      </c>
      <c r="P60" s="514"/>
      <c r="Q60" s="192">
        <v>126.81</v>
      </c>
      <c r="R60" s="190"/>
      <c r="S60" s="178"/>
    </row>
    <row r="61" spans="1:61" s="11" customFormat="1" ht="14.4" x14ac:dyDescent="0.3">
      <c r="A61" s="206"/>
      <c r="B61" s="223"/>
      <c r="C61" s="223"/>
      <c r="D61" s="224"/>
      <c r="E61" s="223"/>
      <c r="F61" s="46"/>
      <c r="G61" s="46"/>
      <c r="H61" s="46"/>
      <c r="L61" s="14"/>
      <c r="M61" s="14"/>
      <c r="N61" s="14"/>
      <c r="O61" s="581" t="s">
        <v>1033</v>
      </c>
      <c r="P61" s="582"/>
      <c r="Q61" s="192">
        <v>127.18</v>
      </c>
      <c r="R61" s="175"/>
      <c r="S61" s="178"/>
    </row>
    <row r="62" spans="1:61" s="11" customFormat="1" ht="15" customHeight="1" x14ac:dyDescent="0.3">
      <c r="A62" s="206"/>
      <c r="B62" s="223"/>
      <c r="C62" s="223"/>
      <c r="D62" s="224"/>
      <c r="E62" s="223"/>
      <c r="F62" s="46"/>
      <c r="G62" s="46"/>
      <c r="H62" s="46"/>
      <c r="L62" s="63"/>
      <c r="M62" s="63"/>
      <c r="N62" s="63"/>
      <c r="O62" s="514" t="s">
        <v>126</v>
      </c>
      <c r="P62" s="514"/>
      <c r="Q62" s="236">
        <v>100.02</v>
      </c>
      <c r="R62" s="190"/>
      <c r="S62" s="178"/>
    </row>
    <row r="63" spans="1:61" s="11" customFormat="1" ht="14.4" x14ac:dyDescent="0.3">
      <c r="A63" s="206"/>
      <c r="B63" s="223"/>
      <c r="C63" s="223"/>
      <c r="D63" s="224"/>
      <c r="E63" s="223"/>
      <c r="F63" s="46"/>
      <c r="G63" s="46"/>
      <c r="H63" s="46"/>
      <c r="L63" s="14"/>
      <c r="M63" s="14"/>
      <c r="N63" s="14"/>
      <c r="O63" s="583" t="s">
        <v>127</v>
      </c>
      <c r="P63" s="583"/>
      <c r="Q63" s="236">
        <v>1549.98</v>
      </c>
      <c r="R63" s="222"/>
      <c r="S63" s="178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</row>
    <row r="64" spans="1:61" s="11" customFormat="1" ht="14.4" x14ac:dyDescent="0.3">
      <c r="A64" s="206"/>
      <c r="B64" s="223"/>
      <c r="C64" s="223"/>
      <c r="D64" s="224"/>
      <c r="E64" s="223"/>
      <c r="F64" s="46"/>
      <c r="G64" s="46"/>
      <c r="H64" s="46"/>
      <c r="L64" s="63"/>
      <c r="M64" s="63"/>
      <c r="N64" s="63"/>
      <c r="O64" s="514" t="s">
        <v>1041</v>
      </c>
      <c r="P64" s="514"/>
      <c r="Q64" s="236">
        <v>120</v>
      </c>
      <c r="R64" s="175"/>
      <c r="S64" s="178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</row>
    <row r="65" spans="1:49" s="11" customFormat="1" ht="14.4" x14ac:dyDescent="0.3">
      <c r="A65" s="206"/>
      <c r="B65" s="223"/>
      <c r="C65" s="223"/>
      <c r="D65" s="224"/>
      <c r="E65" s="223"/>
      <c r="F65" s="46"/>
      <c r="G65" s="46"/>
      <c r="H65" s="46"/>
      <c r="L65" s="14"/>
      <c r="M65" s="14"/>
      <c r="N65" s="14"/>
      <c r="O65" s="518" t="s">
        <v>26</v>
      </c>
      <c r="P65" s="518"/>
      <c r="Q65" s="109">
        <f>SUM(Q55:Q64)</f>
        <v>4483.9421945064851</v>
      </c>
      <c r="R65" s="175"/>
      <c r="S65" s="185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</row>
    <row r="66" spans="1:49" s="11" customFormat="1" ht="14.4" x14ac:dyDescent="0.3">
      <c r="A66" s="206"/>
      <c r="B66" s="223"/>
      <c r="C66" s="223"/>
      <c r="D66" s="224"/>
      <c r="E66" s="223"/>
      <c r="F66" s="46"/>
      <c r="G66" s="46"/>
      <c r="H66" s="46"/>
      <c r="L66" s="14"/>
      <c r="M66" s="14"/>
      <c r="N66" s="14"/>
      <c r="O66" s="543"/>
      <c r="P66" s="543"/>
      <c r="Q66" s="135"/>
      <c r="R66" s="175"/>
      <c r="S66" s="185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</row>
    <row r="67" spans="1:49" s="11" customFormat="1" ht="14.4" x14ac:dyDescent="0.3">
      <c r="A67" s="206"/>
      <c r="B67" s="223"/>
      <c r="C67" s="223"/>
      <c r="D67" s="224"/>
      <c r="E67" s="223"/>
      <c r="F67" s="46"/>
      <c r="G67" s="46"/>
      <c r="H67" s="46"/>
      <c r="L67" s="63"/>
      <c r="M67" s="63"/>
      <c r="N67" s="63"/>
      <c r="O67" s="564" t="s">
        <v>11</v>
      </c>
      <c r="P67" s="565"/>
      <c r="Q67" s="153">
        <f>L8+L38+L43</f>
        <v>16716.665024526963</v>
      </c>
      <c r="R67" s="175"/>
      <c r="S67" s="178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</row>
    <row r="68" spans="1:49" s="11" customFormat="1" ht="14.4" x14ac:dyDescent="0.3">
      <c r="A68" s="206"/>
      <c r="B68" s="223"/>
      <c r="C68" s="223"/>
      <c r="D68" s="224"/>
      <c r="E68" s="223"/>
      <c r="F68" s="46"/>
      <c r="G68" s="46"/>
      <c r="H68" s="46"/>
      <c r="L68" s="14"/>
      <c r="M68" s="14"/>
      <c r="N68" s="14"/>
      <c r="O68" s="518"/>
      <c r="P68" s="518"/>
      <c r="Q68" s="519"/>
      <c r="R68" s="175"/>
      <c r="S68" s="178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</row>
    <row r="69" spans="1:49" s="11" customFormat="1" ht="15" customHeight="1" x14ac:dyDescent="0.3">
      <c r="A69" s="206"/>
      <c r="B69" s="223"/>
      <c r="C69" s="223"/>
      <c r="D69" s="224"/>
      <c r="E69" s="223"/>
      <c r="F69" s="46"/>
      <c r="G69" s="46"/>
      <c r="H69" s="46"/>
      <c r="L69" s="63"/>
      <c r="M69" s="63"/>
      <c r="N69" s="63"/>
      <c r="O69" s="513" t="s">
        <v>13</v>
      </c>
      <c r="P69" s="513"/>
      <c r="Q69" s="151">
        <f>Q67-Q65</f>
        <v>12232.722830020477</v>
      </c>
      <c r="S69" s="14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</row>
    <row r="70" spans="1:49" s="11" customFormat="1" ht="14.4" x14ac:dyDescent="0.3">
      <c r="A70" s="206"/>
      <c r="B70" s="223"/>
      <c r="C70" s="223"/>
      <c r="D70" s="224"/>
      <c r="E70" s="223"/>
      <c r="F70" s="46"/>
      <c r="G70" s="46"/>
      <c r="H70" s="46"/>
      <c r="L70" s="14"/>
      <c r="M70" s="14"/>
      <c r="N70" s="14"/>
      <c r="O70" s="124"/>
      <c r="P70" s="124"/>
      <c r="Q70" s="57"/>
      <c r="R70" s="190"/>
      <c r="S70" s="178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</row>
    <row r="71" spans="1:49" s="11" customFormat="1" ht="14.4" x14ac:dyDescent="0.3">
      <c r="A71" s="206"/>
      <c r="B71" s="223"/>
      <c r="C71" s="223"/>
      <c r="D71" s="224"/>
      <c r="E71" s="223"/>
      <c r="F71" s="46"/>
      <c r="G71" s="46"/>
      <c r="H71" s="46"/>
      <c r="L71" s="63"/>
      <c r="M71" s="63"/>
      <c r="N71" s="63"/>
      <c r="O71" s="124"/>
      <c r="P71" s="124"/>
      <c r="Q71" s="57"/>
      <c r="R71" s="175"/>
      <c r="S71" s="178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</row>
    <row r="72" spans="1:49" s="11" customFormat="1" ht="14.4" x14ac:dyDescent="0.3">
      <c r="A72" s="206"/>
      <c r="B72" s="223"/>
      <c r="C72" s="223"/>
      <c r="D72" s="224"/>
      <c r="E72" s="223"/>
      <c r="F72" s="46"/>
      <c r="G72" s="46"/>
      <c r="H72" s="46"/>
      <c r="O72" s="124"/>
      <c r="P72" s="124"/>
      <c r="Q72" s="57"/>
      <c r="R72" s="175"/>
      <c r="S72" s="178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</row>
    <row r="73" spans="1:49" s="11" customFormat="1" ht="14.4" x14ac:dyDescent="0.3">
      <c r="A73" s="206"/>
      <c r="B73" s="223"/>
      <c r="C73" s="223"/>
      <c r="D73" s="224"/>
      <c r="E73" s="223"/>
      <c r="F73" s="46"/>
      <c r="G73" s="46"/>
      <c r="H73" s="46"/>
      <c r="L73" s="63"/>
      <c r="M73" s="63"/>
      <c r="N73" s="63"/>
      <c r="O73" s="124"/>
      <c r="P73" s="124"/>
      <c r="Q73" s="57"/>
      <c r="R73" s="175"/>
      <c r="S73" s="178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</row>
    <row r="74" spans="1:49" s="11" customFormat="1" ht="14.4" x14ac:dyDescent="0.3">
      <c r="A74" s="206"/>
      <c r="B74" s="223"/>
      <c r="C74" s="223"/>
      <c r="D74" s="224"/>
      <c r="E74" s="223"/>
      <c r="F74" s="46"/>
      <c r="G74" s="46"/>
      <c r="H74" s="46"/>
      <c r="L74" s="14"/>
      <c r="M74" s="14"/>
      <c r="N74" s="14"/>
      <c r="O74" s="15"/>
      <c r="P74" s="14"/>
      <c r="Q74" s="57"/>
      <c r="R74" s="175"/>
      <c r="S74" s="185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</row>
    <row r="75" spans="1:49" s="11" customFormat="1" ht="14.4" x14ac:dyDescent="0.3">
      <c r="A75" s="206"/>
      <c r="B75" s="223"/>
      <c r="C75" s="223"/>
      <c r="D75" s="224"/>
      <c r="E75" s="223"/>
      <c r="F75" s="46"/>
      <c r="G75" s="46"/>
      <c r="H75" s="46"/>
      <c r="P75" s="15"/>
      <c r="Q75" s="57"/>
      <c r="R75" s="175"/>
      <c r="S75" s="176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</row>
    <row r="76" spans="1:49" s="11" customFormat="1" ht="14.4" x14ac:dyDescent="0.3">
      <c r="A76" s="206"/>
      <c r="B76" s="223"/>
      <c r="C76" s="223"/>
      <c r="D76" s="224"/>
      <c r="E76" s="223"/>
      <c r="F76" s="46"/>
      <c r="G76" s="46"/>
      <c r="H76" s="46"/>
      <c r="Q76" s="57"/>
      <c r="R76" s="175"/>
      <c r="S76" s="176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</row>
    <row r="77" spans="1:49" s="11" customFormat="1" ht="14.4" x14ac:dyDescent="0.3">
      <c r="A77" s="206"/>
      <c r="B77" s="223"/>
      <c r="C77" s="223"/>
      <c r="D77" s="224"/>
      <c r="E77" s="223"/>
      <c r="F77" s="46"/>
      <c r="G77" s="46"/>
      <c r="H77" s="46"/>
      <c r="O77" s="14"/>
      <c r="P77" s="14"/>
      <c r="Q77" s="57"/>
      <c r="R77" s="175"/>
      <c r="S77" s="178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</row>
    <row r="78" spans="1:49" s="11" customFormat="1" ht="14.4" x14ac:dyDescent="0.3">
      <c r="A78" s="206"/>
      <c r="B78" s="223"/>
      <c r="C78" s="223"/>
      <c r="D78" s="224"/>
      <c r="E78" s="223"/>
      <c r="F78" s="46"/>
      <c r="G78" s="46"/>
      <c r="H78" s="46"/>
      <c r="L78" s="14"/>
      <c r="M78" s="14"/>
      <c r="N78" s="14"/>
      <c r="O78" s="14"/>
      <c r="P78" s="15"/>
      <c r="Q78" s="57"/>
      <c r="R78" s="175"/>
      <c r="S78" s="178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</row>
    <row r="79" spans="1:49" s="11" customFormat="1" ht="14.4" x14ac:dyDescent="0.3">
      <c r="A79" s="206"/>
      <c r="B79" s="223"/>
      <c r="C79" s="223"/>
      <c r="D79" s="224"/>
      <c r="E79" s="223"/>
      <c r="F79" s="46"/>
      <c r="G79" s="46"/>
      <c r="H79" s="46"/>
      <c r="L79" s="15"/>
      <c r="M79" s="15"/>
      <c r="N79" s="15"/>
      <c r="O79" s="14"/>
      <c r="Q79" s="57"/>
      <c r="R79" s="175"/>
      <c r="S79" s="178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</row>
    <row r="80" spans="1:49" s="11" customFormat="1" ht="14.4" x14ac:dyDescent="0.3">
      <c r="A80" s="206"/>
      <c r="B80" s="223"/>
      <c r="C80" s="223"/>
      <c r="D80" s="224"/>
      <c r="E80" s="223"/>
      <c r="F80" s="46"/>
      <c r="G80" s="46"/>
      <c r="H80" s="46"/>
      <c r="L80" s="14"/>
      <c r="M80" s="14"/>
      <c r="N80" s="14"/>
      <c r="O80" s="14"/>
      <c r="Q80" s="57"/>
      <c r="R80" s="175"/>
      <c r="S80" s="178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</row>
    <row r="81" spans="1:48" s="11" customFormat="1" ht="14.4" x14ac:dyDescent="0.3">
      <c r="A81" s="206"/>
      <c r="B81" s="223"/>
      <c r="C81" s="223"/>
      <c r="D81" s="224"/>
      <c r="E81" s="223"/>
      <c r="F81" s="46"/>
      <c r="G81" s="46"/>
      <c r="H81" s="46"/>
      <c r="L81" s="14"/>
      <c r="M81" s="14"/>
      <c r="N81" s="14"/>
      <c r="Q81" s="57"/>
      <c r="R81" s="175"/>
      <c r="S81" s="178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</row>
    <row r="82" spans="1:48" s="11" customFormat="1" ht="14.4" x14ac:dyDescent="0.3">
      <c r="A82" s="206"/>
      <c r="B82" s="223"/>
      <c r="C82" s="223"/>
      <c r="D82" s="224"/>
      <c r="E82" s="223"/>
      <c r="F82" s="46"/>
      <c r="G82" s="46"/>
      <c r="H82" s="46"/>
      <c r="L82" s="14"/>
      <c r="M82" s="14"/>
      <c r="N82" s="14"/>
      <c r="P82" s="14"/>
      <c r="Q82" s="57"/>
      <c r="R82" s="175"/>
      <c r="S82" s="178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</row>
    <row r="83" spans="1:48" s="11" customFormat="1" x14ac:dyDescent="0.3">
      <c r="A83" s="206"/>
      <c r="B83" s="223"/>
      <c r="C83" s="223"/>
      <c r="D83" s="224"/>
      <c r="E83" s="223"/>
      <c r="F83" s="46"/>
      <c r="G83" s="46"/>
      <c r="H83" s="46"/>
      <c r="L83" s="14"/>
      <c r="M83" s="14"/>
      <c r="N83" s="14"/>
      <c r="P83" s="14"/>
      <c r="Q83" s="57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</row>
    <row r="84" spans="1:48" s="69" customFormat="1" x14ac:dyDescent="0.3">
      <c r="A84" s="206"/>
      <c r="B84" s="223"/>
      <c r="C84" s="223"/>
      <c r="D84" s="224"/>
      <c r="E84" s="223"/>
      <c r="F84" s="46"/>
      <c r="G84" s="46"/>
      <c r="H84" s="46"/>
      <c r="I84" s="11"/>
      <c r="J84" s="11"/>
      <c r="K84" s="11"/>
      <c r="L84" s="14"/>
      <c r="M84" s="14"/>
      <c r="N84" s="14"/>
      <c r="O84" s="11"/>
      <c r="P84" s="14"/>
      <c r="Q84" s="57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8" s="69" customFormat="1" x14ac:dyDescent="0.3">
      <c r="A85" s="206"/>
      <c r="B85" s="223"/>
      <c r="C85" s="223"/>
      <c r="D85" s="224"/>
      <c r="E85" s="223"/>
      <c r="F85" s="46"/>
      <c r="G85" s="46"/>
      <c r="H85" s="46"/>
      <c r="I85" s="11"/>
      <c r="J85" s="11"/>
      <c r="K85" s="11"/>
      <c r="L85" s="14"/>
      <c r="M85" s="14"/>
      <c r="N85" s="14"/>
      <c r="O85" s="11"/>
      <c r="P85" s="14"/>
      <c r="Q85" s="57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8" s="69" customFormat="1" x14ac:dyDescent="0.3">
      <c r="A86" s="206"/>
      <c r="B86" s="223"/>
      <c r="C86" s="223"/>
      <c r="D86" s="224"/>
      <c r="E86" s="223"/>
      <c r="F86" s="46"/>
      <c r="G86" s="46"/>
      <c r="H86" s="46"/>
      <c r="I86" s="11"/>
      <c r="J86" s="11"/>
      <c r="K86" s="11"/>
      <c r="L86" s="14"/>
      <c r="M86" s="14"/>
      <c r="N86" s="14"/>
      <c r="O86" s="11"/>
      <c r="P86" s="11"/>
      <c r="Q86" s="57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8" s="69" customFormat="1" x14ac:dyDescent="0.3">
      <c r="A87" s="206"/>
      <c r="B87" s="223"/>
      <c r="C87" s="223"/>
      <c r="D87" s="224"/>
      <c r="E87" s="223"/>
      <c r="F87" s="46"/>
      <c r="G87" s="46"/>
      <c r="H87" s="46"/>
      <c r="I87" s="11"/>
      <c r="J87" s="11"/>
      <c r="K87" s="11"/>
      <c r="L87" s="14"/>
      <c r="M87" s="14"/>
      <c r="N87" s="14"/>
      <c r="O87" s="11"/>
      <c r="P87" s="11"/>
      <c r="Q87" s="57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8" s="69" customFormat="1" x14ac:dyDescent="0.3">
      <c r="A88" s="206"/>
      <c r="B88" s="223"/>
      <c r="C88" s="223"/>
      <c r="D88" s="224"/>
      <c r="E88" s="223"/>
      <c r="F88" s="46"/>
      <c r="G88" s="46"/>
      <c r="H88" s="46"/>
      <c r="I88" s="11"/>
      <c r="J88" s="11"/>
      <c r="K88" s="11"/>
      <c r="L88" s="14"/>
      <c r="M88" s="14"/>
      <c r="N88" s="14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8" s="69" customFormat="1" x14ac:dyDescent="0.3">
      <c r="A89" s="206"/>
      <c r="B89" s="223"/>
      <c r="C89" s="223"/>
      <c r="D89" s="224"/>
      <c r="E89" s="223"/>
      <c r="F89" s="46"/>
      <c r="G89" s="46"/>
      <c r="H89" s="46"/>
      <c r="I89" s="11"/>
      <c r="J89" s="11"/>
      <c r="K89" s="11"/>
      <c r="L89" s="14"/>
      <c r="M89" s="14"/>
      <c r="N89" s="14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8" s="69" customFormat="1" x14ac:dyDescent="0.3">
      <c r="A90" s="206"/>
      <c r="B90" s="223"/>
      <c r="C90" s="223"/>
      <c r="D90" s="224"/>
      <c r="E90" s="223"/>
      <c r="F90" s="46"/>
      <c r="G90" s="46"/>
      <c r="H90" s="46"/>
      <c r="I90" s="11"/>
      <c r="J90" s="11"/>
      <c r="K90" s="11"/>
      <c r="L90" s="14"/>
      <c r="M90" s="14"/>
      <c r="N90" s="14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8" s="69" customFormat="1" x14ac:dyDescent="0.3">
      <c r="A91" s="206"/>
      <c r="B91" s="223"/>
      <c r="C91" s="223"/>
      <c r="D91" s="224"/>
      <c r="E91" s="223"/>
      <c r="F91" s="46"/>
      <c r="G91" s="46"/>
      <c r="H91" s="46"/>
      <c r="I91" s="11"/>
      <c r="J91" s="11"/>
      <c r="K91" s="11"/>
      <c r="L91" s="14"/>
      <c r="M91" s="14"/>
      <c r="N91" s="14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</row>
    <row r="92" spans="1:48" s="69" customFormat="1" x14ac:dyDescent="0.3">
      <c r="A92" s="206"/>
      <c r="B92" s="223"/>
      <c r="C92" s="223"/>
      <c r="D92" s="224"/>
      <c r="E92" s="223"/>
      <c r="F92" s="46"/>
      <c r="G92" s="46"/>
      <c r="H92" s="46"/>
      <c r="I92" s="11"/>
      <c r="J92" s="11"/>
      <c r="K92" s="11"/>
      <c r="L92" s="14"/>
      <c r="M92" s="14"/>
      <c r="N92" s="14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</row>
    <row r="93" spans="1:48" s="69" customFormat="1" x14ac:dyDescent="0.3">
      <c r="A93" s="206"/>
      <c r="B93" s="223"/>
      <c r="C93" s="223"/>
      <c r="D93" s="224"/>
      <c r="E93" s="223"/>
      <c r="F93" s="46"/>
      <c r="G93" s="46"/>
      <c r="H93" s="46"/>
      <c r="I93" s="11"/>
      <c r="J93" s="11"/>
      <c r="K93" s="11"/>
      <c r="L93" s="14"/>
      <c r="M93" s="14"/>
      <c r="N93" s="14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8" s="69" customFormat="1" x14ac:dyDescent="0.3">
      <c r="A94" s="206"/>
      <c r="B94" s="223"/>
      <c r="C94" s="223"/>
      <c r="D94" s="224"/>
      <c r="E94" s="223"/>
      <c r="F94" s="46"/>
      <c r="G94" s="46"/>
      <c r="H94" s="46"/>
      <c r="I94" s="11"/>
      <c r="J94" s="11"/>
      <c r="K94" s="11"/>
      <c r="L94" s="14"/>
      <c r="M94" s="14"/>
      <c r="N94" s="14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8" s="69" customFormat="1" x14ac:dyDescent="0.3">
      <c r="A95" s="206"/>
      <c r="B95" s="223"/>
      <c r="C95" s="223"/>
      <c r="D95" s="224"/>
      <c r="E95" s="223"/>
      <c r="F95" s="46"/>
      <c r="G95" s="46"/>
      <c r="H95" s="46"/>
      <c r="L95" s="142"/>
      <c r="M95" s="142"/>
      <c r="N95" s="142"/>
      <c r="O95" s="144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</row>
    <row r="96" spans="1:48" s="70" customFormat="1" x14ac:dyDescent="0.3">
      <c r="A96" s="206"/>
      <c r="B96" s="223"/>
      <c r="C96" s="223"/>
      <c r="D96" s="224"/>
      <c r="E96" s="223"/>
      <c r="F96" s="46"/>
      <c r="G96" s="46"/>
      <c r="H96" s="46"/>
      <c r="I96" s="63"/>
      <c r="J96" s="63"/>
      <c r="K96" s="63"/>
      <c r="L96" s="69"/>
      <c r="M96" s="69"/>
      <c r="N96" s="69"/>
      <c r="O96" s="144"/>
      <c r="P96" s="69"/>
      <c r="Q96" s="69"/>
    </row>
    <row r="97" spans="1:49" s="70" customFormat="1" ht="15" customHeight="1" x14ac:dyDescent="0.3">
      <c r="A97" s="206"/>
      <c r="B97" s="223"/>
      <c r="C97" s="223"/>
      <c r="D97" s="224"/>
      <c r="E97" s="223"/>
      <c r="F97" s="46"/>
      <c r="G97" s="46"/>
      <c r="H97" s="46"/>
      <c r="I97" s="11"/>
      <c r="J97" s="11"/>
      <c r="K97" s="63"/>
      <c r="L97" s="142"/>
      <c r="M97" s="142"/>
      <c r="N97" s="142"/>
      <c r="O97" s="144"/>
      <c r="P97" s="69"/>
      <c r="AW97" s="69"/>
    </row>
    <row r="98" spans="1:49" s="70" customFormat="1" x14ac:dyDescent="0.3">
      <c r="A98" s="206"/>
      <c r="B98" s="223"/>
      <c r="C98" s="223"/>
      <c r="D98" s="224"/>
      <c r="E98" s="223"/>
      <c r="F98" s="46"/>
      <c r="G98" s="46"/>
      <c r="H98" s="46"/>
      <c r="I98" s="142"/>
      <c r="J98" s="142"/>
      <c r="K98" s="142"/>
      <c r="L98" s="142"/>
      <c r="M98" s="142"/>
      <c r="N98" s="142"/>
      <c r="O98" s="144"/>
      <c r="P98" s="69"/>
      <c r="AW98" s="69"/>
    </row>
    <row r="99" spans="1:49" s="70" customFormat="1" x14ac:dyDescent="0.3">
      <c r="A99" s="206"/>
      <c r="B99" s="223"/>
      <c r="C99" s="223"/>
      <c r="D99" s="224"/>
      <c r="E99" s="223"/>
      <c r="F99" s="46"/>
      <c r="G99" s="46"/>
      <c r="H99" s="46"/>
      <c r="I99" s="11"/>
      <c r="J99" s="11"/>
      <c r="K99" s="63"/>
      <c r="L99" s="142"/>
      <c r="M99" s="142"/>
      <c r="N99" s="142"/>
      <c r="O99" s="144"/>
      <c r="P99" s="69"/>
      <c r="AW99" s="69"/>
    </row>
    <row r="100" spans="1:49" s="70" customFormat="1" x14ac:dyDescent="0.3">
      <c r="A100" s="206"/>
      <c r="B100" s="223"/>
      <c r="C100" s="223"/>
      <c r="D100" s="224"/>
      <c r="E100" s="223"/>
      <c r="F100" s="46"/>
      <c r="G100" s="46"/>
      <c r="H100" s="46"/>
      <c r="I100" s="142"/>
      <c r="J100" s="142"/>
      <c r="K100" s="142"/>
      <c r="L100" s="142"/>
      <c r="M100" s="142"/>
      <c r="N100" s="142"/>
      <c r="O100" s="144"/>
      <c r="P100" s="144"/>
      <c r="AW100" s="69"/>
    </row>
    <row r="101" spans="1:49" s="70" customFormat="1" x14ac:dyDescent="0.3">
      <c r="A101" s="206"/>
      <c r="B101" s="223"/>
      <c r="C101" s="223"/>
      <c r="D101" s="224"/>
      <c r="E101" s="223"/>
      <c r="F101" s="46"/>
      <c r="G101" s="46"/>
      <c r="H101" s="46"/>
      <c r="I101" s="11"/>
      <c r="J101" s="11"/>
      <c r="K101" s="63"/>
      <c r="L101" s="142"/>
      <c r="M101" s="142"/>
      <c r="N101" s="142"/>
      <c r="O101" s="144"/>
      <c r="P101" s="144"/>
      <c r="AW101" s="69"/>
    </row>
    <row r="102" spans="1:49" s="70" customFormat="1" x14ac:dyDescent="0.3">
      <c r="A102" s="206"/>
      <c r="B102" s="223"/>
      <c r="C102" s="223"/>
      <c r="D102" s="224"/>
      <c r="E102" s="223"/>
      <c r="F102" s="46"/>
      <c r="G102" s="46"/>
      <c r="H102" s="46"/>
      <c r="I102" s="142"/>
      <c r="J102" s="142"/>
      <c r="K102" s="142"/>
      <c r="L102" s="142"/>
      <c r="M102" s="142"/>
      <c r="N102" s="142"/>
      <c r="O102" s="144"/>
      <c r="P102" s="144"/>
      <c r="AW102" s="69"/>
    </row>
    <row r="103" spans="1:49" s="70" customFormat="1" x14ac:dyDescent="0.3">
      <c r="A103" s="206"/>
      <c r="B103" s="223"/>
      <c r="C103" s="223"/>
      <c r="D103" s="224"/>
      <c r="E103" s="223"/>
      <c r="F103" s="46"/>
      <c r="G103" s="46"/>
      <c r="H103" s="46"/>
      <c r="I103" s="11"/>
      <c r="J103" s="11"/>
      <c r="K103" s="63"/>
      <c r="L103" s="142"/>
      <c r="M103" s="142"/>
      <c r="N103" s="142"/>
      <c r="O103" s="144"/>
      <c r="P103" s="144"/>
      <c r="AW103" s="69"/>
    </row>
    <row r="104" spans="1:49" s="70" customFormat="1" x14ac:dyDescent="0.3">
      <c r="A104" s="206"/>
      <c r="B104" s="223"/>
      <c r="C104" s="223"/>
      <c r="D104" s="224"/>
      <c r="E104" s="223"/>
      <c r="F104" s="46"/>
      <c r="G104" s="46"/>
      <c r="H104" s="46"/>
      <c r="I104" s="142"/>
      <c r="J104" s="142"/>
      <c r="K104" s="142"/>
      <c r="L104" s="142"/>
      <c r="M104" s="142"/>
      <c r="N104" s="142"/>
      <c r="O104" s="144"/>
      <c r="P104" s="144"/>
      <c r="AW104" s="69"/>
    </row>
    <row r="105" spans="1:49" s="70" customFormat="1" x14ac:dyDescent="0.3">
      <c r="A105" s="206"/>
      <c r="B105" s="223"/>
      <c r="C105" s="223"/>
      <c r="D105" s="224"/>
      <c r="E105" s="223"/>
      <c r="F105" s="46"/>
      <c r="G105" s="46"/>
      <c r="H105" s="46"/>
      <c r="I105" s="11"/>
      <c r="J105" s="11"/>
      <c r="K105" s="63"/>
      <c r="L105" s="142"/>
      <c r="M105" s="142"/>
      <c r="N105" s="142"/>
      <c r="O105" s="144"/>
      <c r="P105" s="144"/>
      <c r="AW105" s="69"/>
    </row>
    <row r="106" spans="1:49" s="70" customFormat="1" x14ac:dyDescent="0.3">
      <c r="A106" s="148"/>
      <c r="B106" s="225"/>
      <c r="C106" s="225"/>
      <c r="D106" s="225"/>
      <c r="E106" s="225"/>
      <c r="F106" s="46"/>
      <c r="G106" s="46"/>
      <c r="H106" s="46"/>
      <c r="I106" s="142"/>
      <c r="J106" s="142"/>
      <c r="K106" s="142"/>
      <c r="L106" s="142"/>
      <c r="M106" s="142"/>
      <c r="N106" s="142"/>
      <c r="O106" s="144"/>
      <c r="P106" s="144"/>
      <c r="AW106" s="69"/>
    </row>
    <row r="107" spans="1:49" s="70" customFormat="1" x14ac:dyDescent="0.3">
      <c r="A107" s="69"/>
      <c r="B107" s="69"/>
      <c r="C107" s="69"/>
      <c r="D107" s="69"/>
      <c r="E107" s="69"/>
      <c r="F107" s="69"/>
      <c r="G107" s="69"/>
      <c r="H107" s="69"/>
      <c r="I107" s="142"/>
      <c r="J107" s="142"/>
      <c r="K107" s="142"/>
      <c r="L107" s="142"/>
      <c r="M107" s="142"/>
      <c r="N107" s="142"/>
      <c r="O107" s="144"/>
      <c r="P107" s="144"/>
      <c r="AW107" s="69"/>
    </row>
    <row r="108" spans="1:49" s="70" customFormat="1" x14ac:dyDescent="0.3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142"/>
      <c r="M108" s="142"/>
      <c r="N108" s="142"/>
      <c r="O108" s="144"/>
      <c r="P108" s="144"/>
      <c r="AW108" s="69"/>
    </row>
    <row r="109" spans="1:49" s="70" customFormat="1" x14ac:dyDescent="0.3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142"/>
      <c r="M109" s="142"/>
      <c r="N109" s="142"/>
      <c r="O109" s="144"/>
      <c r="P109" s="144"/>
      <c r="AW109" s="69"/>
    </row>
    <row r="110" spans="1:49" s="70" customFormat="1" x14ac:dyDescent="0.3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142"/>
      <c r="M110" s="142"/>
      <c r="N110" s="142"/>
      <c r="O110" s="144"/>
      <c r="P110" s="144"/>
      <c r="AW110" s="69"/>
    </row>
    <row r="111" spans="1:49" s="70" customFormat="1" x14ac:dyDescent="0.3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142"/>
      <c r="M111" s="142"/>
      <c r="N111" s="142"/>
      <c r="O111" s="144"/>
      <c r="P111" s="144"/>
      <c r="AW111" s="69"/>
    </row>
    <row r="112" spans="1:49" s="70" customFormat="1" x14ac:dyDescent="0.3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142"/>
      <c r="M112" s="142"/>
      <c r="N112" s="142"/>
      <c r="O112" s="144"/>
      <c r="P112" s="144"/>
      <c r="AW112" s="69"/>
    </row>
    <row r="113" spans="1:49" s="70" customFormat="1" x14ac:dyDescent="0.3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142"/>
      <c r="M113" s="142"/>
      <c r="N113" s="142"/>
      <c r="O113" s="144"/>
      <c r="P113" s="144"/>
      <c r="AW113" s="69"/>
    </row>
    <row r="114" spans="1:49" s="70" customFormat="1" x14ac:dyDescent="0.3">
      <c r="F114" s="69"/>
      <c r="G114" s="69"/>
      <c r="H114" s="69"/>
      <c r="I114" s="69"/>
      <c r="J114" s="69"/>
      <c r="K114" s="69"/>
      <c r="L114" s="142"/>
      <c r="M114" s="142"/>
      <c r="N114" s="142"/>
      <c r="O114" s="144"/>
      <c r="P114" s="144"/>
      <c r="AW114" s="69"/>
    </row>
    <row r="115" spans="1:49" s="70" customFormat="1" x14ac:dyDescent="0.3">
      <c r="I115" s="69"/>
      <c r="J115" s="69"/>
      <c r="K115" s="69"/>
      <c r="L115" s="142"/>
      <c r="M115" s="142"/>
      <c r="N115" s="142"/>
      <c r="O115" s="144"/>
      <c r="P115" s="144"/>
      <c r="AW115" s="69"/>
    </row>
    <row r="116" spans="1:49" s="70" customFormat="1" x14ac:dyDescent="0.3">
      <c r="L116" s="142"/>
      <c r="M116" s="142"/>
      <c r="N116" s="142"/>
      <c r="O116" s="144"/>
      <c r="P116" s="144"/>
      <c r="AW116" s="69"/>
    </row>
    <row r="117" spans="1:49" s="70" customFormat="1" x14ac:dyDescent="0.3">
      <c r="L117" s="142"/>
      <c r="M117" s="142"/>
      <c r="N117" s="142"/>
      <c r="O117" s="144"/>
      <c r="P117" s="144"/>
      <c r="AW117" s="69"/>
    </row>
    <row r="118" spans="1:49" s="70" customFormat="1" x14ac:dyDescent="0.3">
      <c r="L118" s="142"/>
      <c r="M118" s="142"/>
      <c r="N118" s="142"/>
      <c r="O118" s="144"/>
      <c r="P118" s="144"/>
      <c r="AW118" s="69"/>
    </row>
    <row r="119" spans="1:49" s="70" customFormat="1" x14ac:dyDescent="0.3">
      <c r="L119" s="142"/>
      <c r="M119" s="142"/>
      <c r="N119" s="142"/>
      <c r="O119" s="144"/>
      <c r="P119" s="144"/>
      <c r="AW119" s="69"/>
    </row>
    <row r="120" spans="1:49" s="70" customFormat="1" x14ac:dyDescent="0.3">
      <c r="L120" s="142"/>
      <c r="M120" s="142"/>
      <c r="N120" s="142"/>
      <c r="O120" s="144"/>
      <c r="P120" s="144"/>
      <c r="AW120" s="69"/>
    </row>
    <row r="121" spans="1:49" s="70" customFormat="1" x14ac:dyDescent="0.3">
      <c r="L121" s="142"/>
      <c r="M121" s="142"/>
      <c r="N121" s="142"/>
      <c r="O121" s="144"/>
      <c r="P121" s="144"/>
      <c r="AW121" s="69"/>
    </row>
    <row r="122" spans="1:49" s="70" customFormat="1" x14ac:dyDescent="0.3">
      <c r="L122" s="142"/>
      <c r="M122" s="142"/>
      <c r="N122" s="142"/>
      <c r="O122" s="144"/>
      <c r="P122" s="144"/>
      <c r="AW122" s="69"/>
    </row>
    <row r="123" spans="1:49" s="70" customFormat="1" x14ac:dyDescent="0.3">
      <c r="L123" s="142"/>
      <c r="M123" s="142"/>
      <c r="N123" s="142"/>
      <c r="O123" s="144"/>
      <c r="P123" s="144"/>
      <c r="AW123" s="69"/>
    </row>
    <row r="124" spans="1:49" s="70" customFormat="1" x14ac:dyDescent="0.3">
      <c r="L124" s="142"/>
      <c r="M124" s="142"/>
      <c r="N124" s="142"/>
      <c r="O124" s="144"/>
      <c r="P124" s="144"/>
      <c r="AW124" s="69"/>
    </row>
    <row r="125" spans="1:49" s="70" customFormat="1" x14ac:dyDescent="0.3">
      <c r="L125" s="142"/>
      <c r="M125" s="142"/>
      <c r="N125" s="142"/>
      <c r="O125" s="144"/>
      <c r="P125" s="144"/>
      <c r="AW125" s="69"/>
    </row>
    <row r="126" spans="1:49" s="70" customFormat="1" x14ac:dyDescent="0.3">
      <c r="L126" s="142"/>
      <c r="M126" s="142"/>
      <c r="N126" s="142"/>
      <c r="O126" s="144"/>
      <c r="P126" s="144"/>
      <c r="AW126" s="69"/>
    </row>
    <row r="127" spans="1:49" s="70" customFormat="1" x14ac:dyDescent="0.3">
      <c r="L127" s="142"/>
      <c r="M127" s="142"/>
      <c r="N127" s="142"/>
      <c r="O127" s="144"/>
      <c r="P127" s="144"/>
      <c r="AW127" s="69"/>
    </row>
    <row r="128" spans="1:49" s="70" customFormat="1" x14ac:dyDescent="0.3">
      <c r="L128" s="142"/>
      <c r="M128" s="142"/>
      <c r="N128" s="142"/>
      <c r="O128" s="144"/>
      <c r="P128" s="144"/>
      <c r="AW128" s="69"/>
    </row>
    <row r="129" spans="12:49" s="70" customFormat="1" x14ac:dyDescent="0.3">
      <c r="L129" s="142"/>
      <c r="M129" s="142"/>
      <c r="N129" s="142"/>
      <c r="O129" s="144"/>
      <c r="P129" s="144"/>
      <c r="AW129" s="69"/>
    </row>
    <row r="130" spans="12:49" s="70" customFormat="1" x14ac:dyDescent="0.3">
      <c r="L130" s="142"/>
      <c r="M130" s="142"/>
      <c r="N130" s="142"/>
      <c r="O130" s="144"/>
      <c r="P130" s="144"/>
      <c r="AW130" s="69"/>
    </row>
    <row r="131" spans="12:49" s="70" customFormat="1" x14ac:dyDescent="0.3">
      <c r="L131" s="142"/>
      <c r="M131" s="142"/>
      <c r="N131" s="142"/>
      <c r="O131" s="144"/>
      <c r="P131" s="144"/>
      <c r="AW131" s="69"/>
    </row>
    <row r="132" spans="12:49" s="70" customFormat="1" x14ac:dyDescent="0.3">
      <c r="L132" s="142"/>
      <c r="M132" s="142"/>
      <c r="N132" s="142"/>
      <c r="O132" s="144"/>
      <c r="P132" s="144"/>
      <c r="AW132" s="69"/>
    </row>
    <row r="133" spans="12:49" s="70" customFormat="1" x14ac:dyDescent="0.3">
      <c r="L133" s="142"/>
      <c r="M133" s="142"/>
      <c r="N133" s="142"/>
      <c r="O133" s="144"/>
      <c r="P133" s="144"/>
      <c r="AW133" s="69"/>
    </row>
    <row r="134" spans="12:49" s="70" customFormat="1" x14ac:dyDescent="0.3">
      <c r="L134" s="142"/>
      <c r="M134" s="142"/>
      <c r="N134" s="142"/>
      <c r="O134" s="144"/>
      <c r="P134" s="144"/>
      <c r="AW134" s="69"/>
    </row>
    <row r="135" spans="12:49" s="70" customFormat="1" x14ac:dyDescent="0.3">
      <c r="L135" s="142"/>
      <c r="M135" s="142"/>
      <c r="N135" s="142"/>
      <c r="O135" s="144"/>
      <c r="P135" s="144"/>
      <c r="AW135" s="69"/>
    </row>
    <row r="136" spans="12:49" s="70" customFormat="1" x14ac:dyDescent="0.3">
      <c r="L136" s="142"/>
      <c r="M136" s="142"/>
      <c r="N136" s="142"/>
      <c r="O136" s="144"/>
      <c r="P136" s="144"/>
      <c r="AW136" s="69"/>
    </row>
    <row r="137" spans="12:49" s="70" customFormat="1" x14ac:dyDescent="0.3">
      <c r="L137" s="142"/>
      <c r="M137" s="142"/>
      <c r="N137" s="142"/>
      <c r="O137" s="144"/>
      <c r="P137" s="144"/>
      <c r="AW137" s="69"/>
    </row>
    <row r="138" spans="12:49" s="70" customFormat="1" x14ac:dyDescent="0.3">
      <c r="L138" s="142"/>
      <c r="M138" s="142"/>
      <c r="N138" s="142"/>
      <c r="O138" s="144"/>
      <c r="P138" s="144"/>
      <c r="AW138" s="69"/>
    </row>
    <row r="139" spans="12:49" s="70" customFormat="1" x14ac:dyDescent="0.3">
      <c r="L139" s="142"/>
      <c r="M139" s="142"/>
      <c r="N139" s="142"/>
      <c r="O139" s="144"/>
      <c r="P139" s="144"/>
      <c r="AW139" s="69"/>
    </row>
    <row r="140" spans="12:49" s="70" customFormat="1" x14ac:dyDescent="0.3">
      <c r="L140" s="142"/>
      <c r="M140" s="142"/>
      <c r="N140" s="142"/>
      <c r="O140" s="144"/>
      <c r="P140" s="144"/>
      <c r="AW140" s="69"/>
    </row>
    <row r="141" spans="12:49" s="70" customFormat="1" x14ac:dyDescent="0.3">
      <c r="L141" s="142"/>
      <c r="M141" s="142"/>
      <c r="N141" s="142"/>
      <c r="O141" s="144"/>
      <c r="P141" s="144"/>
      <c r="AW141" s="69"/>
    </row>
    <row r="142" spans="12:49" s="70" customFormat="1" x14ac:dyDescent="0.3">
      <c r="L142" s="142"/>
      <c r="M142" s="142"/>
      <c r="N142" s="142"/>
      <c r="O142" s="144"/>
      <c r="P142" s="144"/>
      <c r="AW142" s="69"/>
    </row>
    <row r="143" spans="12:49" s="70" customFormat="1" x14ac:dyDescent="0.3">
      <c r="L143" s="142"/>
      <c r="M143" s="142"/>
      <c r="N143" s="142"/>
      <c r="O143" s="144"/>
      <c r="P143" s="144"/>
      <c r="AW143" s="69"/>
    </row>
    <row r="144" spans="12:49" s="70" customFormat="1" x14ac:dyDescent="0.3">
      <c r="L144" s="142"/>
      <c r="M144" s="142"/>
      <c r="N144" s="142"/>
      <c r="O144" s="144"/>
      <c r="P144" s="144"/>
      <c r="AW144" s="69"/>
    </row>
    <row r="145" spans="12:49" s="70" customFormat="1" x14ac:dyDescent="0.3">
      <c r="L145" s="142"/>
      <c r="M145" s="142"/>
      <c r="N145" s="142"/>
      <c r="O145" s="144"/>
      <c r="P145" s="144"/>
      <c r="AW145" s="69"/>
    </row>
    <row r="146" spans="12:49" s="70" customFormat="1" x14ac:dyDescent="0.3">
      <c r="L146" s="142"/>
      <c r="M146" s="142"/>
      <c r="N146" s="142"/>
      <c r="O146" s="144"/>
      <c r="P146" s="144"/>
      <c r="AW146" s="69"/>
    </row>
    <row r="147" spans="12:49" s="70" customFormat="1" x14ac:dyDescent="0.3">
      <c r="L147" s="142"/>
      <c r="M147" s="142"/>
      <c r="N147" s="142"/>
      <c r="O147" s="144"/>
      <c r="P147" s="144"/>
      <c r="AW147" s="69"/>
    </row>
    <row r="148" spans="12:49" s="70" customFormat="1" x14ac:dyDescent="0.3">
      <c r="L148" s="142"/>
      <c r="M148" s="142"/>
      <c r="N148" s="142"/>
      <c r="O148" s="144"/>
      <c r="P148" s="144"/>
      <c r="AW148" s="69"/>
    </row>
    <row r="149" spans="12:49" s="70" customFormat="1" x14ac:dyDescent="0.3">
      <c r="L149" s="142"/>
      <c r="M149" s="142"/>
      <c r="N149" s="142"/>
      <c r="O149" s="144"/>
      <c r="P149" s="144"/>
      <c r="AW149" s="69"/>
    </row>
    <row r="150" spans="12:49" s="70" customFormat="1" x14ac:dyDescent="0.3">
      <c r="L150" s="142"/>
      <c r="M150" s="142"/>
      <c r="N150" s="142"/>
      <c r="O150" s="144"/>
      <c r="P150" s="144"/>
      <c r="AW150" s="69"/>
    </row>
    <row r="151" spans="12:49" s="70" customFormat="1" x14ac:dyDescent="0.3">
      <c r="L151" s="142"/>
      <c r="M151" s="142"/>
      <c r="N151" s="142"/>
      <c r="O151" s="144"/>
      <c r="P151" s="144"/>
      <c r="AW151" s="69"/>
    </row>
    <row r="152" spans="12:49" s="70" customFormat="1" x14ac:dyDescent="0.3">
      <c r="L152" s="142"/>
      <c r="M152" s="142"/>
      <c r="N152" s="142"/>
      <c r="O152" s="144"/>
      <c r="P152" s="144"/>
      <c r="AW152" s="69"/>
    </row>
    <row r="153" spans="12:49" s="70" customFormat="1" x14ac:dyDescent="0.3">
      <c r="L153" s="142"/>
      <c r="M153" s="142"/>
      <c r="N153" s="142"/>
      <c r="O153" s="144"/>
      <c r="P153" s="144"/>
      <c r="AW153" s="69"/>
    </row>
    <row r="154" spans="12:49" s="70" customFormat="1" x14ac:dyDescent="0.3">
      <c r="L154" s="142"/>
      <c r="M154" s="142"/>
      <c r="N154" s="142"/>
      <c r="O154" s="144"/>
      <c r="P154" s="144"/>
      <c r="AW154" s="69"/>
    </row>
    <row r="155" spans="12:49" s="70" customFormat="1" x14ac:dyDescent="0.3">
      <c r="L155" s="142"/>
      <c r="M155" s="142"/>
      <c r="N155" s="142"/>
      <c r="O155" s="144"/>
      <c r="P155" s="144"/>
      <c r="AW155" s="69"/>
    </row>
    <row r="156" spans="12:49" s="70" customFormat="1" x14ac:dyDescent="0.3">
      <c r="L156" s="142"/>
      <c r="M156" s="142"/>
      <c r="N156" s="142"/>
      <c r="O156" s="144"/>
      <c r="P156" s="144"/>
      <c r="AW156" s="69"/>
    </row>
    <row r="157" spans="12:49" s="70" customFormat="1" x14ac:dyDescent="0.3">
      <c r="L157" s="142"/>
      <c r="M157" s="142"/>
      <c r="N157" s="142"/>
      <c r="O157" s="144"/>
      <c r="P157" s="144"/>
      <c r="AW157" s="69"/>
    </row>
    <row r="158" spans="12:49" s="70" customFormat="1" x14ac:dyDescent="0.3">
      <c r="L158" s="142"/>
      <c r="M158" s="142"/>
      <c r="N158" s="142"/>
      <c r="O158" s="144"/>
      <c r="P158" s="144"/>
      <c r="AW158" s="69"/>
    </row>
    <row r="159" spans="12:49" s="70" customFormat="1" x14ac:dyDescent="0.3">
      <c r="L159" s="142"/>
      <c r="M159" s="142"/>
      <c r="N159" s="142"/>
      <c r="O159" s="144"/>
      <c r="P159" s="144"/>
      <c r="AW159" s="69"/>
    </row>
    <row r="160" spans="12:49" s="70" customFormat="1" x14ac:dyDescent="0.3">
      <c r="L160" s="142"/>
      <c r="M160" s="142"/>
      <c r="N160" s="142"/>
      <c r="O160" s="144"/>
      <c r="P160" s="144"/>
      <c r="AW160" s="69"/>
    </row>
    <row r="161" spans="1:50" s="70" customFormat="1" x14ac:dyDescent="0.3">
      <c r="L161" s="142"/>
      <c r="M161" s="142"/>
      <c r="N161" s="142"/>
      <c r="O161" s="144"/>
      <c r="P161" s="144"/>
      <c r="AW161" s="69"/>
    </row>
    <row r="162" spans="1:50" s="70" customFormat="1" x14ac:dyDescent="0.3">
      <c r="L162" s="142"/>
      <c r="M162" s="142"/>
      <c r="N162" s="142"/>
      <c r="O162" s="144"/>
      <c r="P162" s="144"/>
      <c r="AW162" s="69"/>
    </row>
    <row r="163" spans="1:50" s="70" customFormat="1" x14ac:dyDescent="0.3">
      <c r="L163" s="142"/>
      <c r="M163" s="142"/>
      <c r="N163" s="142"/>
      <c r="O163" s="144"/>
      <c r="P163" s="144"/>
      <c r="AW163" s="69"/>
    </row>
    <row r="164" spans="1:50" s="70" customFormat="1" x14ac:dyDescent="0.3">
      <c r="L164" s="142"/>
      <c r="M164" s="142"/>
      <c r="N164" s="142"/>
      <c r="O164" s="144"/>
      <c r="P164" s="144"/>
      <c r="AW164" s="69"/>
    </row>
    <row r="165" spans="1:50" s="70" customFormat="1" x14ac:dyDescent="0.3">
      <c r="L165" s="142"/>
      <c r="M165" s="142"/>
      <c r="N165" s="142"/>
      <c r="O165" s="144"/>
      <c r="P165" s="144"/>
      <c r="AW165" s="69"/>
    </row>
    <row r="166" spans="1:50" s="70" customFormat="1" x14ac:dyDescent="0.3">
      <c r="L166" s="142"/>
      <c r="M166" s="142"/>
      <c r="N166" s="142"/>
      <c r="O166" s="144"/>
      <c r="P166" s="144"/>
      <c r="AW166" s="69"/>
    </row>
    <row r="167" spans="1:50" s="70" customFormat="1" x14ac:dyDescent="0.3">
      <c r="L167" s="142"/>
      <c r="M167" s="142"/>
      <c r="N167" s="142"/>
      <c r="O167" s="144"/>
      <c r="P167" s="144"/>
      <c r="AW167" s="69"/>
    </row>
    <row r="168" spans="1:50" s="70" customFormat="1" x14ac:dyDescent="0.3">
      <c r="L168" s="142"/>
      <c r="M168" s="142"/>
      <c r="N168" s="142"/>
      <c r="O168" s="144"/>
      <c r="P168" s="144"/>
      <c r="AW168" s="69"/>
    </row>
    <row r="169" spans="1:50" s="70" customFormat="1" x14ac:dyDescent="0.3">
      <c r="L169" s="142"/>
      <c r="M169" s="142"/>
      <c r="N169" s="142"/>
      <c r="O169" s="144"/>
      <c r="P169" s="144"/>
      <c r="AW169" s="69"/>
    </row>
    <row r="170" spans="1:50" s="70" customFormat="1" x14ac:dyDescent="0.3">
      <c r="L170" s="142"/>
      <c r="M170" s="142"/>
      <c r="N170" s="142"/>
      <c r="O170" s="144"/>
      <c r="P170" s="144"/>
      <c r="AW170" s="69"/>
    </row>
    <row r="171" spans="1:50" s="145" customFormat="1" x14ac:dyDescent="0.3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142"/>
      <c r="M171" s="142"/>
      <c r="N171" s="142"/>
      <c r="O171" s="144"/>
      <c r="P171" s="144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69"/>
      <c r="AX171" s="70"/>
    </row>
    <row r="172" spans="1:50" s="145" customFormat="1" x14ac:dyDescent="0.3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142"/>
      <c r="M172" s="142"/>
      <c r="N172" s="142"/>
      <c r="O172" s="147"/>
      <c r="P172" s="144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69"/>
      <c r="AX172" s="70"/>
    </row>
    <row r="173" spans="1:50" s="145" customFormat="1" x14ac:dyDescent="0.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142"/>
      <c r="M173" s="142"/>
      <c r="N173" s="142"/>
      <c r="O173" s="147"/>
      <c r="P173" s="144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69"/>
      <c r="AX173" s="70"/>
    </row>
    <row r="174" spans="1:50" s="145" customFormat="1" x14ac:dyDescent="0.3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142"/>
      <c r="M174" s="142"/>
      <c r="N174" s="142"/>
      <c r="O174" s="147"/>
      <c r="P174" s="144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69"/>
      <c r="AX174" s="70"/>
    </row>
    <row r="175" spans="1:50" s="145" customFormat="1" x14ac:dyDescent="0.3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142"/>
      <c r="M175" s="142"/>
      <c r="N175" s="142"/>
      <c r="O175" s="147"/>
      <c r="P175" s="144"/>
      <c r="Q175" s="149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69"/>
      <c r="AX175" s="70"/>
    </row>
    <row r="176" spans="1:50" s="145" customFormat="1" x14ac:dyDescent="0.3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142"/>
      <c r="M176" s="142"/>
      <c r="N176" s="142"/>
      <c r="O176" s="147"/>
      <c r="P176" s="144"/>
      <c r="Q176" s="149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69"/>
      <c r="AX176" s="70"/>
    </row>
    <row r="177" spans="1:50" s="145" customFormat="1" x14ac:dyDescent="0.3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142"/>
      <c r="M177" s="142"/>
      <c r="N177" s="142"/>
      <c r="O177" s="147"/>
      <c r="P177" s="147"/>
      <c r="Q177" s="149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69"/>
      <c r="AX177" s="70"/>
    </row>
    <row r="178" spans="1:50" s="145" customFormat="1" x14ac:dyDescent="0.3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142"/>
      <c r="M178" s="142"/>
      <c r="N178" s="142"/>
      <c r="O178" s="147"/>
      <c r="P178" s="147"/>
      <c r="Q178" s="149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69"/>
      <c r="AX178" s="70"/>
    </row>
    <row r="179" spans="1:50" s="145" customFormat="1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142"/>
      <c r="M179" s="142"/>
      <c r="N179" s="142"/>
      <c r="O179" s="147"/>
      <c r="P179" s="147"/>
      <c r="Q179" s="149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69"/>
      <c r="AX179" s="70"/>
    </row>
    <row r="180" spans="1:50" s="145" customFormat="1" x14ac:dyDescent="0.3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142"/>
      <c r="M180" s="142"/>
      <c r="N180" s="142"/>
      <c r="O180" s="147"/>
      <c r="P180" s="147"/>
      <c r="Q180" s="149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69"/>
      <c r="AX180" s="70"/>
    </row>
    <row r="181" spans="1:50" s="145" customFormat="1" x14ac:dyDescent="0.3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142"/>
      <c r="M181" s="142"/>
      <c r="N181" s="142"/>
      <c r="O181" s="147"/>
      <c r="P181" s="147"/>
      <c r="Q181" s="149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69"/>
      <c r="AX181" s="70"/>
    </row>
    <row r="182" spans="1:50" s="145" customFormat="1" x14ac:dyDescent="0.3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142"/>
      <c r="M182" s="142"/>
      <c r="N182" s="142"/>
      <c r="O182" s="147"/>
      <c r="P182" s="147"/>
      <c r="Q182" s="149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69"/>
      <c r="AX182" s="70"/>
    </row>
    <row r="183" spans="1:50" s="145" customFormat="1" x14ac:dyDescent="0.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146"/>
      <c r="M183" s="146"/>
      <c r="N183" s="146"/>
      <c r="O183" s="147"/>
      <c r="P183" s="147"/>
      <c r="Q183" s="149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69"/>
      <c r="AX183" s="70"/>
    </row>
    <row r="184" spans="1:50" s="145" customFormat="1" x14ac:dyDescent="0.3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146"/>
      <c r="M184" s="146"/>
      <c r="N184" s="146"/>
      <c r="O184" s="147"/>
      <c r="P184" s="147"/>
      <c r="Q184" s="149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69"/>
      <c r="AX184" s="70"/>
    </row>
    <row r="185" spans="1:50" s="145" customFormat="1" x14ac:dyDescent="0.3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146"/>
      <c r="M185" s="146"/>
      <c r="N185" s="146"/>
      <c r="O185" s="147"/>
      <c r="P185" s="147"/>
      <c r="Q185" s="149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69"/>
      <c r="AX185" s="70"/>
    </row>
    <row r="186" spans="1:50" s="145" customFormat="1" x14ac:dyDescent="0.3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146"/>
      <c r="M186" s="146"/>
      <c r="N186" s="146"/>
      <c r="O186" s="147"/>
      <c r="P186" s="147"/>
      <c r="Q186" s="149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69"/>
      <c r="AX186" s="70"/>
    </row>
    <row r="187" spans="1:50" s="145" customFormat="1" x14ac:dyDescent="0.3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146"/>
      <c r="M187" s="146"/>
      <c r="N187" s="146"/>
      <c r="O187" s="147"/>
      <c r="P187" s="147"/>
      <c r="Q187" s="148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69"/>
      <c r="AX187" s="70"/>
    </row>
    <row r="188" spans="1:50" x14ac:dyDescent="0.3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146"/>
      <c r="M188" s="146"/>
      <c r="N188" s="146"/>
      <c r="O188" s="147"/>
      <c r="P188" s="147"/>
      <c r="AW188" s="148"/>
      <c r="AX188" s="148"/>
    </row>
    <row r="189" spans="1:50" x14ac:dyDescent="0.3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146"/>
      <c r="M189" s="146"/>
      <c r="N189" s="146"/>
      <c r="P189" s="147"/>
      <c r="AW189" s="148"/>
      <c r="AX189" s="148"/>
    </row>
    <row r="190" spans="1:50" x14ac:dyDescent="0.3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146"/>
      <c r="M190" s="146"/>
      <c r="N190" s="146"/>
      <c r="P190" s="147"/>
      <c r="AW190" s="148"/>
      <c r="AX190" s="148"/>
    </row>
    <row r="191" spans="1:50" x14ac:dyDescent="0.3">
      <c r="A191" s="149"/>
      <c r="B191" s="149"/>
      <c r="C191" s="149"/>
      <c r="D191" s="149"/>
      <c r="E191" s="149"/>
      <c r="F191" s="70"/>
      <c r="G191" s="70"/>
      <c r="H191" s="70"/>
      <c r="I191" s="70"/>
      <c r="J191" s="70"/>
      <c r="K191" s="70"/>
      <c r="L191" s="146"/>
      <c r="M191" s="146"/>
      <c r="N191" s="146"/>
      <c r="P191" s="147"/>
      <c r="AW191" s="148"/>
      <c r="AX191" s="148"/>
    </row>
    <row r="192" spans="1:50" x14ac:dyDescent="0.3">
      <c r="A192" s="149"/>
      <c r="B192" s="149"/>
      <c r="C192" s="149"/>
      <c r="D192" s="149"/>
      <c r="E192" s="149"/>
      <c r="F192" s="149"/>
      <c r="G192" s="149"/>
      <c r="H192" s="149"/>
      <c r="I192" s="70"/>
      <c r="J192" s="70"/>
      <c r="K192" s="70"/>
      <c r="L192" s="146"/>
      <c r="M192" s="146"/>
      <c r="N192" s="146"/>
      <c r="P192" s="147"/>
      <c r="AW192" s="148"/>
      <c r="AX192" s="148"/>
    </row>
    <row r="193" spans="1:50" x14ac:dyDescent="0.3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6"/>
      <c r="M193" s="146"/>
      <c r="N193" s="146"/>
      <c r="O193" s="148"/>
      <c r="P193" s="147"/>
      <c r="AW193" s="148"/>
      <c r="AX193" s="148"/>
    </row>
    <row r="194" spans="1:50" x14ac:dyDescent="0.3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6"/>
      <c r="M194" s="146"/>
      <c r="N194" s="146"/>
      <c r="AW194" s="148"/>
      <c r="AX194" s="148"/>
    </row>
    <row r="195" spans="1:50" x14ac:dyDescent="0.3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6"/>
      <c r="M195" s="146"/>
      <c r="N195" s="146"/>
      <c r="AW195" s="148"/>
      <c r="AX195" s="148"/>
    </row>
    <row r="196" spans="1:50" x14ac:dyDescent="0.3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L196" s="146"/>
      <c r="M196" s="146"/>
      <c r="N196" s="146"/>
      <c r="AW196" s="148"/>
      <c r="AX196" s="148"/>
    </row>
    <row r="197" spans="1:50" x14ac:dyDescent="0.3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L197" s="146"/>
      <c r="M197" s="146"/>
      <c r="N197" s="146"/>
      <c r="AW197" s="148"/>
      <c r="AX197" s="148"/>
    </row>
    <row r="198" spans="1:50" x14ac:dyDescent="0.3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L198" s="146"/>
      <c r="M198" s="146"/>
      <c r="N198" s="146"/>
      <c r="AW198" s="148"/>
      <c r="AX198" s="148"/>
    </row>
    <row r="199" spans="1:50" x14ac:dyDescent="0.3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L199" s="146"/>
      <c r="M199" s="146"/>
      <c r="N199" s="146"/>
      <c r="AW199" s="148"/>
      <c r="AX199" s="148"/>
    </row>
    <row r="200" spans="1:50" x14ac:dyDescent="0.3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</row>
    <row r="201" spans="1:50" x14ac:dyDescent="0.3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69"/>
      <c r="AJ201" s="69"/>
      <c r="AK201" s="69"/>
      <c r="AL201" s="69"/>
      <c r="AM201" s="69"/>
      <c r="AN201" s="69"/>
      <c r="AO201" s="69"/>
      <c r="AP201" s="69"/>
      <c r="AQ201" s="69"/>
      <c r="AR201" s="69"/>
      <c r="AS201" s="69"/>
      <c r="AT201" s="69"/>
      <c r="AU201" s="69"/>
      <c r="AV201" s="69"/>
      <c r="AW201" s="148"/>
      <c r="AX201" s="148"/>
    </row>
    <row r="202" spans="1:50" x14ac:dyDescent="0.3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</row>
    <row r="203" spans="1:50" x14ac:dyDescent="0.3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</row>
    <row r="204" spans="1:50" x14ac:dyDescent="0.3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  <c r="K204" s="149"/>
    </row>
    <row r="205" spans="1:50" x14ac:dyDescent="0.3">
      <c r="A205" s="149"/>
      <c r="B205" s="149"/>
      <c r="C205" s="149"/>
      <c r="D205" s="149"/>
      <c r="E205" s="149"/>
      <c r="F205" s="149"/>
      <c r="G205" s="149"/>
      <c r="H205" s="149"/>
      <c r="I205" s="149"/>
      <c r="J205" s="149"/>
      <c r="K205" s="149"/>
    </row>
    <row r="206" spans="1:50" x14ac:dyDescent="0.3">
      <c r="A206" s="149"/>
      <c r="B206" s="149"/>
      <c r="C206" s="149"/>
      <c r="D206" s="149"/>
      <c r="E206" s="149"/>
      <c r="F206" s="149"/>
      <c r="G206" s="149"/>
      <c r="H206" s="149"/>
      <c r="I206" s="149"/>
      <c r="J206" s="149"/>
      <c r="K206" s="149"/>
    </row>
    <row r="207" spans="1:50" x14ac:dyDescent="0.3">
      <c r="A207" s="149"/>
      <c r="B207" s="149"/>
      <c r="C207" s="149"/>
      <c r="D207" s="149"/>
      <c r="E207" s="149"/>
      <c r="F207" s="149"/>
      <c r="G207" s="149"/>
      <c r="H207" s="149"/>
      <c r="I207" s="149"/>
      <c r="J207" s="149"/>
      <c r="K207" s="149"/>
    </row>
    <row r="208" spans="1:50" x14ac:dyDescent="0.3">
      <c r="F208" s="149"/>
      <c r="G208" s="149"/>
      <c r="H208" s="149"/>
      <c r="I208" s="149"/>
      <c r="J208" s="149"/>
      <c r="K208" s="149"/>
    </row>
    <row r="209" spans="9:14" x14ac:dyDescent="0.3">
      <c r="I209" s="149"/>
      <c r="J209" s="149"/>
      <c r="K209" s="149"/>
    </row>
    <row r="213" spans="9:14" x14ac:dyDescent="0.3">
      <c r="L213" s="148"/>
      <c r="M213" s="148"/>
      <c r="N213" s="148"/>
    </row>
    <row r="1048531" spans="17:17" x14ac:dyDescent="0.3">
      <c r="Q1048531" s="57"/>
    </row>
    <row r="1048545" spans="1:61" s="70" customFormat="1" x14ac:dyDescent="0.3">
      <c r="A1048545" s="148"/>
      <c r="B1048545" s="148"/>
      <c r="C1048545" s="148"/>
      <c r="D1048545" s="148"/>
      <c r="E1048545" s="148"/>
      <c r="F1048545" s="148"/>
      <c r="G1048545" s="148"/>
      <c r="H1048545" s="148"/>
      <c r="I1048545" s="148"/>
      <c r="J1048545" s="148"/>
      <c r="K1048545" s="148"/>
      <c r="L1048545" s="150"/>
      <c r="M1048545" s="150"/>
      <c r="N1048545" s="150"/>
      <c r="O1048545" s="150"/>
      <c r="P1048545" s="150"/>
      <c r="Q1048545" s="148"/>
      <c r="AW1048545" s="69"/>
      <c r="AX1048545" s="69"/>
      <c r="AY1048545" s="148"/>
      <c r="AZ1048545" s="148"/>
      <c r="BA1048545" s="148"/>
      <c r="BB1048545" s="148"/>
      <c r="BC1048545" s="148"/>
      <c r="BD1048545" s="148"/>
      <c r="BE1048545" s="148"/>
      <c r="BF1048545" s="148"/>
      <c r="BG1048545" s="148"/>
      <c r="BH1048545" s="148"/>
      <c r="BI1048545" s="148"/>
    </row>
  </sheetData>
  <mergeCells count="36">
    <mergeCell ref="O66:P66"/>
    <mergeCell ref="O67:P67"/>
    <mergeCell ref="O68:Q68"/>
    <mergeCell ref="O69:P69"/>
    <mergeCell ref="O62:P62"/>
    <mergeCell ref="O63:P63"/>
    <mergeCell ref="O64:P64"/>
    <mergeCell ref="O65:P65"/>
    <mergeCell ref="O61:P61"/>
    <mergeCell ref="A52:K52"/>
    <mergeCell ref="A54:E54"/>
    <mergeCell ref="O54:Q54"/>
    <mergeCell ref="O55:P55"/>
    <mergeCell ref="O56:P56"/>
    <mergeCell ref="O57:Q58"/>
    <mergeCell ref="E49:K49"/>
    <mergeCell ref="O43:Q43"/>
    <mergeCell ref="A44:O44"/>
    <mergeCell ref="O59:Q59"/>
    <mergeCell ref="O60:P60"/>
    <mergeCell ref="A39:Q39"/>
    <mergeCell ref="E51:K51"/>
    <mergeCell ref="A1:Q1"/>
    <mergeCell ref="A2:Q2"/>
    <mergeCell ref="A8:B8"/>
    <mergeCell ref="A9:Q9"/>
    <mergeCell ref="A38:B38"/>
    <mergeCell ref="E50:K50"/>
    <mergeCell ref="E40:K40"/>
    <mergeCell ref="E41:K41"/>
    <mergeCell ref="E42:K42"/>
    <mergeCell ref="A43:K43"/>
    <mergeCell ref="A45:Q45"/>
    <mergeCell ref="E46:K46"/>
    <mergeCell ref="E47:K47"/>
    <mergeCell ref="E48:K48"/>
  </mergeCells>
  <pageMargins left="0.19685039370078741" right="0.19685039370078741" top="0.19685039370078741" bottom="0.19685039370078741" header="0.19685039370078741" footer="0.19685039370078741"/>
  <pageSetup paperSize="9" scale="1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D76D2-D496-4497-80A3-B75ACBBDC2D4}">
  <sheetPr>
    <pageSetUpPr fitToPage="1"/>
  </sheetPr>
  <dimension ref="A1:BI1048544"/>
  <sheetViews>
    <sheetView topLeftCell="A10" zoomScale="60" zoomScaleNormal="60" workbookViewId="0">
      <selection activeCell="C20" sqref="C20"/>
    </sheetView>
  </sheetViews>
  <sheetFormatPr defaultColWidth="9.109375" defaultRowHeight="13.8" x14ac:dyDescent="0.3"/>
  <cols>
    <col min="1" max="1" width="50.6640625" style="148" bestFit="1" customWidth="1"/>
    <col min="2" max="2" width="8.33203125" style="148" bestFit="1" customWidth="1"/>
    <col min="3" max="4" width="19" style="148" customWidth="1"/>
    <col min="5" max="5" width="17.109375" style="148" customWidth="1"/>
    <col min="6" max="6" width="19" style="148" bestFit="1" customWidth="1"/>
    <col min="7" max="7" width="16" style="148" customWidth="1"/>
    <col min="8" max="8" width="16.6640625" style="148" bestFit="1" customWidth="1"/>
    <col min="9" max="10" width="14.109375" style="148" bestFit="1" customWidth="1"/>
    <col min="11" max="11" width="15.109375" style="148" bestFit="1" customWidth="1"/>
    <col min="12" max="12" width="18.44140625" style="150" bestFit="1" customWidth="1"/>
    <col min="13" max="13" width="17.5546875" style="150" bestFit="1" customWidth="1"/>
    <col min="14" max="14" width="19" style="150" bestFit="1" customWidth="1"/>
    <col min="15" max="15" width="141.6640625" style="150" customWidth="1"/>
    <col min="16" max="16" width="12" style="150" customWidth="1"/>
    <col min="17" max="17" width="18.109375" style="148" bestFit="1" customWidth="1"/>
    <col min="18" max="19" width="13.109375" style="70" bestFit="1" customWidth="1"/>
    <col min="20" max="48" width="9.109375" style="70"/>
    <col min="49" max="50" width="9.109375" style="69"/>
    <col min="51" max="16384" width="9.109375" style="148"/>
  </cols>
  <sheetData>
    <row r="1" spans="1:43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</row>
    <row r="2" spans="1:43" s="10" customFormat="1" ht="28.5" customHeight="1" x14ac:dyDescent="0.3">
      <c r="A2" s="571" t="s">
        <v>1042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3"/>
    </row>
    <row r="3" spans="1:43" s="10" customFormat="1" ht="28.8" customHeight="1" x14ac:dyDescent="0.3">
      <c r="A3" s="83" t="s">
        <v>3</v>
      </c>
      <c r="B3" s="83" t="s">
        <v>0</v>
      </c>
      <c r="C3" s="83" t="s">
        <v>821</v>
      </c>
      <c r="D3" s="84" t="s">
        <v>1</v>
      </c>
      <c r="E3" s="84" t="s">
        <v>68</v>
      </c>
      <c r="F3" s="84" t="s">
        <v>69</v>
      </c>
      <c r="G3" s="85" t="s">
        <v>2</v>
      </c>
      <c r="H3" s="85" t="s">
        <v>592</v>
      </c>
      <c r="I3" s="84" t="s">
        <v>6</v>
      </c>
      <c r="J3" s="84" t="s">
        <v>764</v>
      </c>
      <c r="K3" s="84" t="s">
        <v>7</v>
      </c>
      <c r="L3" s="84" t="s">
        <v>4</v>
      </c>
      <c r="M3" s="84" t="s">
        <v>5</v>
      </c>
      <c r="N3" s="84" t="s">
        <v>70</v>
      </c>
      <c r="O3" s="83" t="s">
        <v>59</v>
      </c>
      <c r="P3" s="86" t="s">
        <v>8</v>
      </c>
      <c r="Q3" s="86" t="s">
        <v>10</v>
      </c>
    </row>
    <row r="4" spans="1:43" s="203" customFormat="1" ht="15.6" customHeight="1" x14ac:dyDescent="0.3">
      <c r="A4" s="195" t="s">
        <v>1029</v>
      </c>
      <c r="B4" s="195">
        <v>17</v>
      </c>
      <c r="C4" s="195" t="s">
        <v>824</v>
      </c>
      <c r="D4" s="196">
        <f>'GERAL 2024'!G45</f>
        <v>610</v>
      </c>
      <c r="E4" s="192">
        <v>0</v>
      </c>
      <c r="F4" s="196">
        <f t="shared" ref="F4" si="0">D4-E4</f>
        <v>610</v>
      </c>
      <c r="G4" s="192">
        <f>50</f>
        <v>50</v>
      </c>
      <c r="H4" s="192">
        <f t="shared" ref="H4:H5" si="1">(1665.9/27)</f>
        <v>61.7</v>
      </c>
      <c r="I4" s="192">
        <f>'GERAL 2024'!I45</f>
        <v>1.3105200945626476</v>
      </c>
      <c r="J4" s="192">
        <f>'GERAL 2024'!K45</f>
        <v>0.79837470449172576</v>
      </c>
      <c r="K4" s="192">
        <v>0</v>
      </c>
      <c r="L4" s="191">
        <f>SUM(F4:K4)</f>
        <v>723.80889479905443</v>
      </c>
      <c r="M4" s="192">
        <f>60%*(F4+G4)</f>
        <v>396</v>
      </c>
      <c r="N4" s="192">
        <f>L4-M4</f>
        <v>327.80889479905443</v>
      </c>
      <c r="O4" s="193" t="s">
        <v>1046</v>
      </c>
      <c r="P4" s="197">
        <v>10</v>
      </c>
      <c r="Q4" s="197">
        <v>11</v>
      </c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0"/>
      <c r="AM4" s="201"/>
      <c r="AN4" s="202"/>
      <c r="AO4" s="202"/>
      <c r="AP4" s="202"/>
      <c r="AQ4" s="202"/>
    </row>
    <row r="5" spans="1:43" s="206" customFormat="1" x14ac:dyDescent="0.3">
      <c r="A5" s="195" t="s">
        <v>1030</v>
      </c>
      <c r="B5" s="193">
        <v>18</v>
      </c>
      <c r="C5" s="195" t="s">
        <v>824</v>
      </c>
      <c r="D5" s="196">
        <f>'GERAL 2024'!G46</f>
        <v>640</v>
      </c>
      <c r="E5" s="192">
        <v>0</v>
      </c>
      <c r="F5" s="196">
        <f>D5-E5</f>
        <v>640</v>
      </c>
      <c r="G5" s="192">
        <v>0</v>
      </c>
      <c r="H5" s="192">
        <f t="shared" si="1"/>
        <v>61.7</v>
      </c>
      <c r="I5" s="192">
        <f>'GERAL 2024'!I46</f>
        <v>1.3105200945626476</v>
      </c>
      <c r="J5" s="192">
        <f>'GERAL 2024'!K46</f>
        <v>0.79837470449172576</v>
      </c>
      <c r="K5" s="192">
        <v>0</v>
      </c>
      <c r="L5" s="191">
        <f>SUM(F5:K5)</f>
        <v>703.80889479905443</v>
      </c>
      <c r="M5" s="192">
        <f>60%*(F5+G5)</f>
        <v>384</v>
      </c>
      <c r="N5" s="192">
        <f>L5-M5</f>
        <v>319.80889479905443</v>
      </c>
      <c r="O5" s="193" t="s">
        <v>1045</v>
      </c>
      <c r="P5" s="197">
        <v>10</v>
      </c>
      <c r="Q5" s="197">
        <v>11</v>
      </c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</row>
    <row r="6" spans="1:43" s="10" customFormat="1" x14ac:dyDescent="0.3">
      <c r="A6" s="518" t="s">
        <v>4</v>
      </c>
      <c r="B6" s="518"/>
      <c r="C6" s="95"/>
      <c r="D6" s="109">
        <f t="shared" ref="D6:I6" si="2">SUM(D4:D5)</f>
        <v>1250</v>
      </c>
      <c r="E6" s="109">
        <f t="shared" si="2"/>
        <v>0</v>
      </c>
      <c r="F6" s="109">
        <f t="shared" si="2"/>
        <v>1250</v>
      </c>
      <c r="G6" s="109">
        <f t="shared" si="2"/>
        <v>50</v>
      </c>
      <c r="H6" s="109">
        <f t="shared" si="2"/>
        <v>123.4</v>
      </c>
      <c r="I6" s="109">
        <f t="shared" si="2"/>
        <v>2.6210401891252952</v>
      </c>
      <c r="J6" s="109">
        <f>SUM(J4:J5)</f>
        <v>1.5967494089834515</v>
      </c>
      <c r="K6" s="109">
        <f>SUM(K4:K5)</f>
        <v>0</v>
      </c>
      <c r="L6" s="109">
        <f>SUM(L4:L5)</f>
        <v>1427.6177895981089</v>
      </c>
      <c r="M6" s="109">
        <f>SUM(M4:M5)</f>
        <v>780</v>
      </c>
      <c r="N6" s="109">
        <f>SUM(N4:N5)</f>
        <v>647.61778959810886</v>
      </c>
      <c r="O6" s="90"/>
      <c r="P6" s="3"/>
      <c r="Q6" s="3"/>
    </row>
    <row r="7" spans="1:43" s="10" customFormat="1" ht="28.5" customHeight="1" x14ac:dyDescent="0.3">
      <c r="A7" s="571" t="s">
        <v>1043</v>
      </c>
      <c r="B7" s="572"/>
      <c r="C7" s="572"/>
      <c r="D7" s="572"/>
      <c r="E7" s="572"/>
      <c r="F7" s="572"/>
      <c r="G7" s="572"/>
      <c r="H7" s="572"/>
      <c r="I7" s="572"/>
      <c r="J7" s="572"/>
      <c r="K7" s="572"/>
      <c r="L7" s="572"/>
      <c r="M7" s="572"/>
      <c r="N7" s="572"/>
      <c r="O7" s="572"/>
      <c r="P7" s="572"/>
      <c r="Q7" s="573"/>
    </row>
    <row r="8" spans="1:43" s="11" customFormat="1" ht="34.5" customHeight="1" x14ac:dyDescent="0.3">
      <c r="A8" s="83" t="s">
        <v>3</v>
      </c>
      <c r="B8" s="83" t="s">
        <v>0</v>
      </c>
      <c r="C8" s="83" t="s">
        <v>821</v>
      </c>
      <c r="D8" s="84" t="s">
        <v>1</v>
      </c>
      <c r="E8" s="84" t="s">
        <v>68</v>
      </c>
      <c r="F8" s="84" t="s">
        <v>69</v>
      </c>
      <c r="G8" s="85" t="s">
        <v>2</v>
      </c>
      <c r="H8" s="85" t="s">
        <v>592</v>
      </c>
      <c r="I8" s="84" t="s">
        <v>6</v>
      </c>
      <c r="J8" s="84" t="s">
        <v>764</v>
      </c>
      <c r="K8" s="84" t="s">
        <v>7</v>
      </c>
      <c r="L8" s="84" t="s">
        <v>4</v>
      </c>
      <c r="M8" s="84" t="s">
        <v>5</v>
      </c>
      <c r="N8" s="84" t="s">
        <v>70</v>
      </c>
      <c r="O8" s="83" t="s">
        <v>59</v>
      </c>
      <c r="P8" s="86" t="s">
        <v>8</v>
      </c>
      <c r="Q8" s="86" t="s">
        <v>10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</row>
    <row r="9" spans="1:43" s="199" customFormat="1" ht="16.8" customHeight="1" x14ac:dyDescent="0.3">
      <c r="A9" s="195"/>
      <c r="B9" s="193">
        <v>1</v>
      </c>
      <c r="C9" s="209"/>
      <c r="D9" s="196">
        <v>0</v>
      </c>
      <c r="E9" s="192">
        <v>0</v>
      </c>
      <c r="F9" s="192">
        <f t="shared" ref="F9:F25" si="3">D9-E9</f>
        <v>0</v>
      </c>
      <c r="G9" s="196">
        <v>0</v>
      </c>
      <c r="H9" s="192">
        <v>0</v>
      </c>
      <c r="I9" s="192">
        <v>0</v>
      </c>
      <c r="J9" s="192">
        <v>0</v>
      </c>
      <c r="K9" s="192">
        <v>0</v>
      </c>
      <c r="L9" s="191">
        <f t="shared" ref="L9:L35" si="4">SUM(F9:K9)</f>
        <v>0</v>
      </c>
      <c r="M9" s="192">
        <f>7%*L9</f>
        <v>0</v>
      </c>
      <c r="N9" s="192">
        <f>L9-M9</f>
        <v>0</v>
      </c>
      <c r="O9" s="196" t="s">
        <v>525</v>
      </c>
      <c r="P9" s="197"/>
      <c r="Q9" s="197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  <c r="AQ9" s="198"/>
    </row>
    <row r="10" spans="1:43" s="203" customFormat="1" x14ac:dyDescent="0.3">
      <c r="A10" s="193" t="s">
        <v>1004</v>
      </c>
      <c r="B10" s="194">
        <v>2</v>
      </c>
      <c r="C10" s="193" t="s">
        <v>822</v>
      </c>
      <c r="D10" s="196">
        <f>'GERAL 2024'!G41</f>
        <v>610</v>
      </c>
      <c r="E10" s="196">
        <v>0</v>
      </c>
      <c r="F10" s="196">
        <f t="shared" si="3"/>
        <v>610</v>
      </c>
      <c r="G10" s="196">
        <v>0</v>
      </c>
      <c r="H10" s="192">
        <f t="shared" ref="H10:H15" si="5">(1665.9/27)</f>
        <v>61.7</v>
      </c>
      <c r="I10" s="192">
        <f>'GERAL 2024'!I41</f>
        <v>1.3105200945626476</v>
      </c>
      <c r="J10" s="192">
        <f>'GERAL 2024'!K41</f>
        <v>0.79837470449172576</v>
      </c>
      <c r="K10" s="196">
        <v>0</v>
      </c>
      <c r="L10" s="191">
        <f t="shared" si="4"/>
        <v>673.80889479905443</v>
      </c>
      <c r="M10" s="192">
        <f>7%*L10</f>
        <v>47.166622635933813</v>
      </c>
      <c r="N10" s="192">
        <f t="shared" ref="N10:N34" si="6">L10-M10</f>
        <v>626.64227216312065</v>
      </c>
      <c r="O10" s="193" t="s">
        <v>1045</v>
      </c>
      <c r="P10" s="197">
        <v>10</v>
      </c>
      <c r="Q10" s="197">
        <v>11</v>
      </c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0"/>
      <c r="AM10" s="201"/>
      <c r="AN10" s="202"/>
      <c r="AO10" s="202"/>
      <c r="AP10" s="202"/>
      <c r="AQ10" s="202"/>
    </row>
    <row r="11" spans="1:43" s="204" customFormat="1" x14ac:dyDescent="0.3">
      <c r="A11" s="193" t="s">
        <v>1005</v>
      </c>
      <c r="B11" s="194">
        <v>3</v>
      </c>
      <c r="C11" s="193" t="s">
        <v>822</v>
      </c>
      <c r="D11" s="196">
        <f>'GERAL 2024'!G42</f>
        <v>610</v>
      </c>
      <c r="E11" s="196">
        <v>0</v>
      </c>
      <c r="F11" s="196">
        <f t="shared" si="3"/>
        <v>610</v>
      </c>
      <c r="G11" s="196">
        <v>0</v>
      </c>
      <c r="H11" s="192">
        <f t="shared" si="5"/>
        <v>61.7</v>
      </c>
      <c r="I11" s="192">
        <f>'GERAL 2024'!I42</f>
        <v>1.3105200945626476</v>
      </c>
      <c r="J11" s="192">
        <f>'GERAL 2024'!K42</f>
        <v>0.79837470449172576</v>
      </c>
      <c r="K11" s="196">
        <v>0</v>
      </c>
      <c r="L11" s="191">
        <f t="shared" si="4"/>
        <v>673.80889479905443</v>
      </c>
      <c r="M11" s="192">
        <f>7%*L11</f>
        <v>47.166622635933813</v>
      </c>
      <c r="N11" s="192">
        <f t="shared" si="6"/>
        <v>626.64227216312065</v>
      </c>
      <c r="O11" s="193" t="s">
        <v>1045</v>
      </c>
      <c r="P11" s="197">
        <v>10</v>
      </c>
      <c r="Q11" s="197">
        <v>11</v>
      </c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  <c r="AQ11" s="200"/>
    </row>
    <row r="12" spans="1:43" s="199" customFormat="1" ht="15.6" customHeight="1" x14ac:dyDescent="0.3">
      <c r="A12" s="193" t="s">
        <v>842</v>
      </c>
      <c r="B12" s="193">
        <v>4</v>
      </c>
      <c r="C12" s="193" t="s">
        <v>832</v>
      </c>
      <c r="D12" s="196">
        <f>'GERAL 2023'!G40</f>
        <v>610</v>
      </c>
      <c r="E12" s="196">
        <v>0</v>
      </c>
      <c r="F12" s="196">
        <f t="shared" si="3"/>
        <v>610</v>
      </c>
      <c r="G12" s="192">
        <v>50</v>
      </c>
      <c r="H12" s="192">
        <f t="shared" si="5"/>
        <v>61.7</v>
      </c>
      <c r="I12" s="192">
        <f>'GERAL 2024'!I6</f>
        <v>1.3105200945626476</v>
      </c>
      <c r="J12" s="192">
        <f>'GERAL 2024'!K6</f>
        <v>0.79837470449172576</v>
      </c>
      <c r="K12" s="192">
        <v>0</v>
      </c>
      <c r="L12" s="191">
        <f t="shared" si="4"/>
        <v>723.80889479905443</v>
      </c>
      <c r="M12" s="192">
        <f>7%*L12</f>
        <v>50.666622635933813</v>
      </c>
      <c r="N12" s="192">
        <f t="shared" si="6"/>
        <v>673.14227216312065</v>
      </c>
      <c r="O12" s="193" t="s">
        <v>1046</v>
      </c>
      <c r="P12" s="197">
        <v>10</v>
      </c>
      <c r="Q12" s="194">
        <v>11</v>
      </c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</row>
    <row r="13" spans="1:43" s="199" customFormat="1" x14ac:dyDescent="0.3">
      <c r="A13" s="193" t="s">
        <v>744</v>
      </c>
      <c r="B13" s="193">
        <v>5</v>
      </c>
      <c r="C13" s="193" t="s">
        <v>823</v>
      </c>
      <c r="D13" s="196">
        <f>'GERAL 2023'!G7</f>
        <v>580</v>
      </c>
      <c r="E13" s="192">
        <v>0</v>
      </c>
      <c r="F13" s="192">
        <f t="shared" si="3"/>
        <v>580</v>
      </c>
      <c r="G13" s="192">
        <f>50</f>
        <v>50</v>
      </c>
      <c r="H13" s="192">
        <f t="shared" si="5"/>
        <v>61.7</v>
      </c>
      <c r="I13" s="192">
        <f>'GERAL 2024'!I7</f>
        <v>1.3105200945626476</v>
      </c>
      <c r="J13" s="192">
        <f>'GERAL 2024'!K7</f>
        <v>0.79837470449172576</v>
      </c>
      <c r="K13" s="192">
        <v>0</v>
      </c>
      <c r="L13" s="191">
        <f t="shared" si="4"/>
        <v>693.80889479905443</v>
      </c>
      <c r="M13" s="192">
        <f>7%*L13</f>
        <v>48.566622635933811</v>
      </c>
      <c r="N13" s="192">
        <f t="shared" si="6"/>
        <v>645.24227216312056</v>
      </c>
      <c r="O13" s="193" t="s">
        <v>1046</v>
      </c>
      <c r="P13" s="197">
        <v>10</v>
      </c>
      <c r="Q13" s="197">
        <v>11</v>
      </c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</row>
    <row r="14" spans="1:43" s="206" customFormat="1" x14ac:dyDescent="0.3">
      <c r="A14" s="193" t="s">
        <v>745</v>
      </c>
      <c r="B14" s="193">
        <v>6</v>
      </c>
      <c r="C14" s="193" t="s">
        <v>823</v>
      </c>
      <c r="D14" s="196">
        <f>'GERAL 2023'!G8</f>
        <v>680</v>
      </c>
      <c r="E14" s="196">
        <v>0</v>
      </c>
      <c r="F14" s="192">
        <f t="shared" si="3"/>
        <v>680</v>
      </c>
      <c r="G14" s="192">
        <v>50</v>
      </c>
      <c r="H14" s="192">
        <f t="shared" si="5"/>
        <v>61.7</v>
      </c>
      <c r="I14" s="192">
        <f>'GERAL 2024'!I8</f>
        <v>1.8347281323877069</v>
      </c>
      <c r="J14" s="192">
        <f>'GERAL 2024'!K8</f>
        <v>1.1177245862884162</v>
      </c>
      <c r="K14" s="192">
        <v>0</v>
      </c>
      <c r="L14" s="191">
        <f t="shared" si="4"/>
        <v>794.65245271867616</v>
      </c>
      <c r="M14" s="192">
        <f t="shared" ref="M14:M35" si="7">7%*L14</f>
        <v>55.625671690307335</v>
      </c>
      <c r="N14" s="192">
        <f>L14-M14</f>
        <v>739.02678102836887</v>
      </c>
      <c r="O14" s="193" t="s">
        <v>1046</v>
      </c>
      <c r="P14" s="197">
        <v>10</v>
      </c>
      <c r="Q14" s="197">
        <v>11</v>
      </c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  <c r="AQ14" s="205"/>
    </row>
    <row r="15" spans="1:43" s="199" customFormat="1" x14ac:dyDescent="0.3">
      <c r="A15" s="193" t="s">
        <v>791</v>
      </c>
      <c r="B15" s="193">
        <v>7</v>
      </c>
      <c r="C15" s="193" t="s">
        <v>822</v>
      </c>
      <c r="D15" s="196">
        <f>'GERAL 2023'!G35+(2.45026%*610)</f>
        <v>624.94658600000002</v>
      </c>
      <c r="E15" s="192">
        <v>0</v>
      </c>
      <c r="F15" s="196">
        <f t="shared" si="3"/>
        <v>624.94658600000002</v>
      </c>
      <c r="G15" s="192">
        <v>50</v>
      </c>
      <c r="H15" s="192">
        <f t="shared" si="5"/>
        <v>61.7</v>
      </c>
      <c r="I15" s="192">
        <f>'GERAL 2024'!I9</f>
        <v>1.3105200945626476</v>
      </c>
      <c r="J15" s="192">
        <f>'GERAL 2024'!K9</f>
        <v>0.79837470449172576</v>
      </c>
      <c r="K15" s="192">
        <v>0</v>
      </c>
      <c r="L15" s="191">
        <f t="shared" si="4"/>
        <v>738.75548079905445</v>
      </c>
      <c r="M15" s="192">
        <f t="shared" si="7"/>
        <v>51.712883655933815</v>
      </c>
      <c r="N15" s="192">
        <f t="shared" si="6"/>
        <v>687.04259714312059</v>
      </c>
      <c r="O15" s="193" t="s">
        <v>1046</v>
      </c>
      <c r="P15" s="197">
        <v>10</v>
      </c>
      <c r="Q15" s="197">
        <v>11</v>
      </c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</row>
    <row r="16" spans="1:43" s="199" customFormat="1" x14ac:dyDescent="0.3">
      <c r="A16" s="193"/>
      <c r="B16" s="193">
        <v>8</v>
      </c>
      <c r="C16" s="193"/>
      <c r="D16" s="196">
        <v>0</v>
      </c>
      <c r="E16" s="192">
        <v>0</v>
      </c>
      <c r="F16" s="196">
        <f t="shared" si="3"/>
        <v>0</v>
      </c>
      <c r="G16" s="192">
        <v>0</v>
      </c>
      <c r="H16" s="192">
        <v>0</v>
      </c>
      <c r="I16" s="192">
        <v>0</v>
      </c>
      <c r="J16" s="192">
        <v>0</v>
      </c>
      <c r="K16" s="192">
        <v>0</v>
      </c>
      <c r="L16" s="191">
        <f t="shared" si="4"/>
        <v>0</v>
      </c>
      <c r="M16" s="192">
        <f>7%*L16</f>
        <v>0</v>
      </c>
      <c r="N16" s="192">
        <f>L16-M16</f>
        <v>0</v>
      </c>
      <c r="O16" s="193" t="s">
        <v>525</v>
      </c>
      <c r="P16" s="207"/>
      <c r="Q16" s="197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  <c r="AQ16" s="198"/>
    </row>
    <row r="17" spans="1:48" s="199" customFormat="1" x14ac:dyDescent="0.3">
      <c r="A17" s="193" t="s">
        <v>852</v>
      </c>
      <c r="B17" s="193">
        <v>9</v>
      </c>
      <c r="C17" s="193" t="s">
        <v>828</v>
      </c>
      <c r="D17" s="196">
        <f>'GERAL 2024'!G11</f>
        <v>640</v>
      </c>
      <c r="E17" s="192">
        <v>0</v>
      </c>
      <c r="F17" s="196">
        <f t="shared" si="3"/>
        <v>640</v>
      </c>
      <c r="G17" s="192">
        <v>0</v>
      </c>
      <c r="H17" s="192">
        <f>(1665.9/27)</f>
        <v>61.7</v>
      </c>
      <c r="I17" s="192">
        <f>'GERAL 2024'!I11</f>
        <v>1.3105200945626476</v>
      </c>
      <c r="J17" s="192">
        <f>'GERAL 2024'!K11</f>
        <v>0.79837470449172576</v>
      </c>
      <c r="K17" s="192">
        <v>0</v>
      </c>
      <c r="L17" s="191">
        <f t="shared" si="4"/>
        <v>703.80889479905443</v>
      </c>
      <c r="M17" s="192">
        <f>7%*L17</f>
        <v>49.266622635933814</v>
      </c>
      <c r="N17" s="192">
        <f>L17-M17</f>
        <v>654.54227216312063</v>
      </c>
      <c r="O17" s="193" t="s">
        <v>1045</v>
      </c>
      <c r="P17" s="207">
        <v>10</v>
      </c>
      <c r="Q17" s="197">
        <v>11</v>
      </c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  <c r="AQ17" s="198"/>
    </row>
    <row r="18" spans="1:48" s="148" customFormat="1" x14ac:dyDescent="0.3">
      <c r="A18" s="194" t="s">
        <v>739</v>
      </c>
      <c r="B18" s="194">
        <v>10</v>
      </c>
      <c r="C18" s="194" t="s">
        <v>825</v>
      </c>
      <c r="D18" s="196">
        <v>0</v>
      </c>
      <c r="E18" s="192">
        <v>0</v>
      </c>
      <c r="F18" s="196">
        <f t="shared" si="3"/>
        <v>0</v>
      </c>
      <c r="G18" s="192">
        <v>0</v>
      </c>
      <c r="H18" s="192">
        <v>0</v>
      </c>
      <c r="I18" s="192">
        <v>0</v>
      </c>
      <c r="J18" s="192">
        <v>0</v>
      </c>
      <c r="K18" s="192">
        <v>0</v>
      </c>
      <c r="L18" s="191">
        <f t="shared" si="4"/>
        <v>0</v>
      </c>
      <c r="M18" s="192">
        <f t="shared" si="7"/>
        <v>0</v>
      </c>
      <c r="N18" s="192">
        <f t="shared" si="6"/>
        <v>0</v>
      </c>
      <c r="O18" s="193" t="s">
        <v>1051</v>
      </c>
      <c r="P18" s="197">
        <v>10</v>
      </c>
      <c r="Q18" s="194">
        <v>11</v>
      </c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  <c r="AI18" s="208"/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  <c r="AT18" s="208"/>
      <c r="AU18" s="208"/>
      <c r="AV18" s="208"/>
    </row>
    <row r="19" spans="1:48" s="148" customFormat="1" ht="15.6" customHeight="1" x14ac:dyDescent="0.3">
      <c r="A19" s="194" t="s">
        <v>965</v>
      </c>
      <c r="B19" s="194">
        <v>11</v>
      </c>
      <c r="C19" s="194" t="s">
        <v>827</v>
      </c>
      <c r="D19" s="192">
        <f>'GERAL 2024'!G39</f>
        <v>610</v>
      </c>
      <c r="E19" s="192">
        <v>0</v>
      </c>
      <c r="F19" s="196">
        <f t="shared" si="3"/>
        <v>610</v>
      </c>
      <c r="G19" s="192">
        <v>0</v>
      </c>
      <c r="H19" s="192">
        <f t="shared" ref="H19:H33" si="8">(1665.9/27)</f>
        <v>61.7</v>
      </c>
      <c r="I19" s="192">
        <f>'GERAL 2024'!I39</f>
        <v>1.3105200945626476</v>
      </c>
      <c r="J19" s="192">
        <f>'GERAL 2024'!K39</f>
        <v>0.79837470449172576</v>
      </c>
      <c r="K19" s="192">
        <v>0</v>
      </c>
      <c r="L19" s="191">
        <f t="shared" si="4"/>
        <v>673.80889479905443</v>
      </c>
      <c r="M19" s="192">
        <f>7%*L19</f>
        <v>47.166622635933813</v>
      </c>
      <c r="N19" s="192">
        <f t="shared" si="6"/>
        <v>626.64227216312065</v>
      </c>
      <c r="O19" s="193" t="s">
        <v>1045</v>
      </c>
      <c r="P19" s="197">
        <v>10</v>
      </c>
      <c r="Q19" s="194">
        <v>11</v>
      </c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8"/>
      <c r="AR19" s="208"/>
      <c r="AS19" s="208"/>
      <c r="AT19" s="208"/>
      <c r="AU19" s="208"/>
      <c r="AV19" s="208"/>
    </row>
    <row r="20" spans="1:48" s="199" customFormat="1" x14ac:dyDescent="0.3">
      <c r="A20" s="193" t="s">
        <v>929</v>
      </c>
      <c r="B20" s="193">
        <v>12</v>
      </c>
      <c r="C20" s="193" t="s">
        <v>829</v>
      </c>
      <c r="D20" s="196">
        <f>610/30*6</f>
        <v>122</v>
      </c>
      <c r="E20" s="192">
        <v>0</v>
      </c>
      <c r="F20" s="196">
        <f t="shared" si="3"/>
        <v>122</v>
      </c>
      <c r="G20" s="196">
        <f>50/30*6</f>
        <v>10</v>
      </c>
      <c r="H20" s="192">
        <f>(1665.9/27)/30*6</f>
        <v>12.34</v>
      </c>
      <c r="I20" s="192">
        <f>'GERAL 2024'!I37/30*6</f>
        <v>0.26210401891252949</v>
      </c>
      <c r="J20" s="192">
        <f>'GERAL 2024'!K37/30*6</f>
        <v>0.15967494089834514</v>
      </c>
      <c r="K20" s="196">
        <v>0</v>
      </c>
      <c r="L20" s="191">
        <f t="shared" si="4"/>
        <v>144.7617789598109</v>
      </c>
      <c r="M20" s="192">
        <f t="shared" si="7"/>
        <v>10.133324527186764</v>
      </c>
      <c r="N20" s="192">
        <f t="shared" si="6"/>
        <v>134.62845443262412</v>
      </c>
      <c r="O20" s="193" t="s">
        <v>1052</v>
      </c>
      <c r="P20" s="197">
        <v>10</v>
      </c>
      <c r="Q20" s="197">
        <v>11</v>
      </c>
      <c r="R20" s="198"/>
      <c r="S20" s="198"/>
      <c r="T20" s="198"/>
      <c r="U20" s="198"/>
      <c r="V20" s="198"/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  <c r="AQ20" s="198"/>
    </row>
    <row r="21" spans="1:48" s="206" customFormat="1" ht="16.2" customHeight="1" x14ac:dyDescent="0.3">
      <c r="A21" s="193" t="s">
        <v>756</v>
      </c>
      <c r="B21" s="193">
        <v>13</v>
      </c>
      <c r="C21" s="193" t="s">
        <v>827</v>
      </c>
      <c r="D21" s="196">
        <f>'GERAL 2022'!G15</f>
        <v>550</v>
      </c>
      <c r="E21" s="196">
        <v>0</v>
      </c>
      <c r="F21" s="196">
        <f t="shared" si="3"/>
        <v>550</v>
      </c>
      <c r="G21" s="192">
        <v>0</v>
      </c>
      <c r="H21" s="192">
        <f t="shared" si="8"/>
        <v>61.7</v>
      </c>
      <c r="I21" s="192">
        <f>'GERAL 2024'!I15</f>
        <v>1.3105200945626476</v>
      </c>
      <c r="J21" s="192">
        <f>'GERAL 2024'!K15</f>
        <v>0.79837470449172576</v>
      </c>
      <c r="K21" s="192">
        <v>0</v>
      </c>
      <c r="L21" s="191">
        <f t="shared" si="4"/>
        <v>613.80889479905443</v>
      </c>
      <c r="M21" s="192">
        <f t="shared" si="7"/>
        <v>42.966622635933817</v>
      </c>
      <c r="N21" s="192">
        <f t="shared" si="6"/>
        <v>570.84227216312058</v>
      </c>
      <c r="O21" s="193" t="s">
        <v>1045</v>
      </c>
      <c r="P21" s="197">
        <v>10</v>
      </c>
      <c r="Q21" s="197">
        <v>11</v>
      </c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  <c r="AQ21" s="205"/>
    </row>
    <row r="22" spans="1:48" s="148" customFormat="1" x14ac:dyDescent="0.3">
      <c r="A22" s="194" t="s">
        <v>747</v>
      </c>
      <c r="B22" s="194">
        <v>14</v>
      </c>
      <c r="C22" s="193" t="s">
        <v>832</v>
      </c>
      <c r="D22" s="196">
        <f>'GERAL 2022'!G39</f>
        <v>580</v>
      </c>
      <c r="E22" s="192">
        <v>0</v>
      </c>
      <c r="F22" s="196">
        <f t="shared" si="3"/>
        <v>580</v>
      </c>
      <c r="G22" s="192">
        <f>50</f>
        <v>50</v>
      </c>
      <c r="H22" s="192">
        <f t="shared" si="8"/>
        <v>61.7</v>
      </c>
      <c r="I22" s="192">
        <f>'GERAL 2024'!I16</f>
        <v>1.3105200945626476</v>
      </c>
      <c r="J22" s="192">
        <f>'GERAL 2024'!K16</f>
        <v>0.79837470449172576</v>
      </c>
      <c r="K22" s="192">
        <v>0</v>
      </c>
      <c r="L22" s="191">
        <f t="shared" si="4"/>
        <v>693.80889479905443</v>
      </c>
      <c r="M22" s="192">
        <f t="shared" si="7"/>
        <v>48.566622635933811</v>
      </c>
      <c r="N22" s="192">
        <f t="shared" si="6"/>
        <v>645.24227216312056</v>
      </c>
      <c r="O22" s="193" t="s">
        <v>1046</v>
      </c>
      <c r="P22" s="197">
        <v>10</v>
      </c>
      <c r="Q22" s="194">
        <v>11</v>
      </c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  <c r="AD22" s="208"/>
      <c r="AE22" s="208"/>
      <c r="AF22" s="208"/>
      <c r="AG22" s="208"/>
      <c r="AH22" s="208"/>
      <c r="AI22" s="208"/>
      <c r="AJ22" s="208"/>
      <c r="AK22" s="208"/>
      <c r="AL22" s="208"/>
      <c r="AM22" s="208"/>
      <c r="AN22" s="208"/>
      <c r="AO22" s="208"/>
      <c r="AP22" s="208"/>
      <c r="AQ22" s="208"/>
      <c r="AR22" s="208"/>
      <c r="AS22" s="208"/>
      <c r="AT22" s="208"/>
      <c r="AU22" s="208"/>
      <c r="AV22" s="208"/>
    </row>
    <row r="23" spans="1:48" s="204" customFormat="1" x14ac:dyDescent="0.3">
      <c r="A23" s="193" t="s">
        <v>748</v>
      </c>
      <c r="B23" s="193">
        <v>15</v>
      </c>
      <c r="C23" s="193" t="s">
        <v>827</v>
      </c>
      <c r="D23" s="196">
        <f>'GERAL 2023'!G36</f>
        <v>680</v>
      </c>
      <c r="E23" s="192">
        <v>0</v>
      </c>
      <c r="F23" s="196">
        <f t="shared" si="3"/>
        <v>680</v>
      </c>
      <c r="G23" s="192">
        <v>25</v>
      </c>
      <c r="H23" s="192">
        <f t="shared" si="8"/>
        <v>61.7</v>
      </c>
      <c r="I23" s="192">
        <f>'GERAL 2024'!I17</f>
        <v>1.8347281323877069</v>
      </c>
      <c r="J23" s="192">
        <f>'GERAL 2024'!K17</f>
        <v>1.1177245862884162</v>
      </c>
      <c r="K23" s="192">
        <v>0</v>
      </c>
      <c r="L23" s="191">
        <f t="shared" si="4"/>
        <v>769.65245271867616</v>
      </c>
      <c r="M23" s="192">
        <f t="shared" si="7"/>
        <v>53.875671690307335</v>
      </c>
      <c r="N23" s="192">
        <f t="shared" si="6"/>
        <v>715.77678102836887</v>
      </c>
      <c r="O23" s="193" t="s">
        <v>1047</v>
      </c>
      <c r="P23" s="197">
        <v>10</v>
      </c>
      <c r="Q23" s="194">
        <v>11</v>
      </c>
      <c r="R23" s="200"/>
      <c r="S23" s="200"/>
      <c r="T23" s="200"/>
      <c r="U23" s="200"/>
      <c r="V23" s="200"/>
      <c r="W23" s="200"/>
      <c r="X23" s="200"/>
      <c r="Y23" s="200"/>
      <c r="Z23" s="200"/>
    </row>
    <row r="24" spans="1:48" s="206" customFormat="1" ht="14.4" customHeight="1" x14ac:dyDescent="0.3">
      <c r="A24" s="197" t="s">
        <v>977</v>
      </c>
      <c r="B24" s="197">
        <v>16</v>
      </c>
      <c r="C24" s="193" t="s">
        <v>827</v>
      </c>
      <c r="D24" s="196">
        <f>'GERAL 2024'!G40</f>
        <v>640</v>
      </c>
      <c r="E24" s="192">
        <v>0</v>
      </c>
      <c r="F24" s="196">
        <f>D24-E24</f>
        <v>640</v>
      </c>
      <c r="G24" s="192">
        <v>0</v>
      </c>
      <c r="H24" s="192">
        <f t="shared" si="8"/>
        <v>61.7</v>
      </c>
      <c r="I24" s="192">
        <f>'GERAL 2024'!I40</f>
        <v>1.3105200945626476</v>
      </c>
      <c r="J24" s="192">
        <f>'GERAL 2024'!K40</f>
        <v>0.79837470449172576</v>
      </c>
      <c r="K24" s="192">
        <v>0</v>
      </c>
      <c r="L24" s="191">
        <f t="shared" si="4"/>
        <v>703.80889479905443</v>
      </c>
      <c r="M24" s="192">
        <f t="shared" si="7"/>
        <v>49.266622635933814</v>
      </c>
      <c r="N24" s="192">
        <f>L24-M24</f>
        <v>654.54227216312063</v>
      </c>
      <c r="O24" s="193" t="s">
        <v>1045</v>
      </c>
      <c r="P24" s="197">
        <v>10</v>
      </c>
      <c r="Q24" s="197">
        <v>11</v>
      </c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  <c r="AP24" s="205"/>
      <c r="AQ24" s="205"/>
    </row>
    <row r="25" spans="1:48" s="206" customFormat="1" x14ac:dyDescent="0.3">
      <c r="A25" s="195" t="s">
        <v>1029</v>
      </c>
      <c r="B25" s="195">
        <v>17</v>
      </c>
      <c r="C25" s="195" t="s">
        <v>824</v>
      </c>
      <c r="D25" s="196">
        <v>0</v>
      </c>
      <c r="E25" s="192">
        <v>0</v>
      </c>
      <c r="F25" s="196">
        <f t="shared" si="3"/>
        <v>0</v>
      </c>
      <c r="G25" s="192">
        <v>0</v>
      </c>
      <c r="H25" s="192">
        <v>0</v>
      </c>
      <c r="I25" s="192">
        <v>0</v>
      </c>
      <c r="J25" s="192">
        <v>0</v>
      </c>
      <c r="K25" s="192">
        <v>0</v>
      </c>
      <c r="L25" s="191">
        <f t="shared" si="4"/>
        <v>0</v>
      </c>
      <c r="M25" s="192">
        <f>7%*L25</f>
        <v>0</v>
      </c>
      <c r="N25" s="192">
        <f>L25-M25</f>
        <v>0</v>
      </c>
      <c r="O25" s="193" t="s">
        <v>108</v>
      </c>
      <c r="P25" s="197">
        <v>10</v>
      </c>
      <c r="Q25" s="197">
        <v>11</v>
      </c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  <c r="AQ25" s="205"/>
    </row>
    <row r="26" spans="1:48" s="206" customFormat="1" x14ac:dyDescent="0.3">
      <c r="A26" s="195" t="s">
        <v>1030</v>
      </c>
      <c r="B26" s="193">
        <v>18</v>
      </c>
      <c r="C26" s="195" t="s">
        <v>824</v>
      </c>
      <c r="D26" s="196">
        <v>0</v>
      </c>
      <c r="E26" s="192">
        <v>0</v>
      </c>
      <c r="F26" s="196">
        <f>D26-E26</f>
        <v>0</v>
      </c>
      <c r="G26" s="192">
        <v>0</v>
      </c>
      <c r="H26" s="192">
        <v>0</v>
      </c>
      <c r="I26" s="192">
        <v>0</v>
      </c>
      <c r="J26" s="192">
        <v>0</v>
      </c>
      <c r="K26" s="192">
        <v>0</v>
      </c>
      <c r="L26" s="191">
        <f t="shared" si="4"/>
        <v>0</v>
      </c>
      <c r="M26" s="192">
        <f t="shared" si="7"/>
        <v>0</v>
      </c>
      <c r="N26" s="192">
        <f t="shared" si="6"/>
        <v>0</v>
      </c>
      <c r="O26" s="193" t="s">
        <v>108</v>
      </c>
      <c r="P26" s="197">
        <v>10</v>
      </c>
      <c r="Q26" s="197">
        <v>11</v>
      </c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  <c r="AQ26" s="205"/>
    </row>
    <row r="27" spans="1:48" s="206" customFormat="1" ht="15.6" customHeight="1" x14ac:dyDescent="0.3">
      <c r="A27" s="193" t="s">
        <v>1012</v>
      </c>
      <c r="B27" s="193">
        <v>19</v>
      </c>
      <c r="C27" s="193" t="s">
        <v>822</v>
      </c>
      <c r="D27" s="196">
        <f>'GERAL 2024'!G44</f>
        <v>580</v>
      </c>
      <c r="E27" s="192">
        <v>0</v>
      </c>
      <c r="F27" s="196">
        <f>(D27-E27)</f>
        <v>580</v>
      </c>
      <c r="G27" s="192">
        <v>0</v>
      </c>
      <c r="H27" s="192">
        <f t="shared" si="8"/>
        <v>61.7</v>
      </c>
      <c r="I27" s="192">
        <f>'GERAL 2024'!I44</f>
        <v>1.3105200945626476</v>
      </c>
      <c r="J27" s="192">
        <f>'GERAL 2024'!K44</f>
        <v>0.79837470449172576</v>
      </c>
      <c r="K27" s="192">
        <v>0</v>
      </c>
      <c r="L27" s="191">
        <f t="shared" si="4"/>
        <v>643.80889479905443</v>
      </c>
      <c r="M27" s="192">
        <f t="shared" si="7"/>
        <v>45.066622635933811</v>
      </c>
      <c r="N27" s="192">
        <f t="shared" si="6"/>
        <v>598.74227216312056</v>
      </c>
      <c r="O27" s="193" t="s">
        <v>1045</v>
      </c>
      <c r="P27" s="207">
        <v>10</v>
      </c>
      <c r="Q27" s="197">
        <v>11</v>
      </c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  <c r="AQ27" s="205"/>
    </row>
    <row r="28" spans="1:48" s="206" customFormat="1" x14ac:dyDescent="0.3">
      <c r="A28" s="195" t="s">
        <v>919</v>
      </c>
      <c r="B28" s="193">
        <v>20</v>
      </c>
      <c r="C28" s="193" t="s">
        <v>917</v>
      </c>
      <c r="D28" s="196">
        <f>'GERAL 2024'!G36</f>
        <v>780</v>
      </c>
      <c r="E28" s="192">
        <v>0</v>
      </c>
      <c r="F28" s="196">
        <f t="shared" ref="F28:F35" si="9">D28-E28</f>
        <v>780</v>
      </c>
      <c r="G28" s="192">
        <v>25</v>
      </c>
      <c r="H28" s="192">
        <f t="shared" si="8"/>
        <v>61.7</v>
      </c>
      <c r="I28" s="192">
        <f>'GERAL 2024'!I36</f>
        <v>1.3105200945626476</v>
      </c>
      <c r="J28" s="192">
        <f>'GERAL 2024'!K36</f>
        <v>0.79837470449172576</v>
      </c>
      <c r="K28" s="192">
        <v>0</v>
      </c>
      <c r="L28" s="191">
        <f t="shared" si="4"/>
        <v>868.80889479905443</v>
      </c>
      <c r="M28" s="192">
        <f t="shared" si="7"/>
        <v>60.816622635933818</v>
      </c>
      <c r="N28" s="192">
        <f t="shared" si="6"/>
        <v>807.99227216312056</v>
      </c>
      <c r="O28" s="193" t="s">
        <v>1047</v>
      </c>
      <c r="P28" s="207">
        <v>10</v>
      </c>
      <c r="Q28" s="197">
        <v>11</v>
      </c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  <c r="AQ28" s="205"/>
    </row>
    <row r="29" spans="1:48" s="206" customFormat="1" x14ac:dyDescent="0.3">
      <c r="A29" s="195" t="s">
        <v>788</v>
      </c>
      <c r="B29" s="193">
        <v>21</v>
      </c>
      <c r="C29" s="193" t="s">
        <v>822</v>
      </c>
      <c r="D29" s="196">
        <f>'GERAL 2023'!G39+(2.45026%*580)</f>
        <v>594.21150799999998</v>
      </c>
      <c r="E29" s="192">
        <v>0</v>
      </c>
      <c r="F29" s="196">
        <f t="shared" si="9"/>
        <v>594.21150799999998</v>
      </c>
      <c r="G29" s="192">
        <v>25</v>
      </c>
      <c r="H29" s="192">
        <f t="shared" si="8"/>
        <v>61.7</v>
      </c>
      <c r="I29" s="192">
        <f>'GERAL 2024'!I23</f>
        <v>1.3105200945626476</v>
      </c>
      <c r="J29" s="192">
        <f>'GERAL 2024'!K23</f>
        <v>0.79837470449172576</v>
      </c>
      <c r="K29" s="192">
        <v>0</v>
      </c>
      <c r="L29" s="191">
        <f t="shared" si="4"/>
        <v>683.02040279905441</v>
      </c>
      <c r="M29" s="192">
        <f t="shared" si="7"/>
        <v>47.811428195933814</v>
      </c>
      <c r="N29" s="192">
        <f t="shared" si="6"/>
        <v>635.20897460312062</v>
      </c>
      <c r="O29" s="193" t="s">
        <v>1047</v>
      </c>
      <c r="P29" s="207">
        <v>10</v>
      </c>
      <c r="Q29" s="197">
        <v>11</v>
      </c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  <c r="AQ29" s="205"/>
    </row>
    <row r="30" spans="1:48" s="206" customFormat="1" x14ac:dyDescent="0.3">
      <c r="A30" s="195" t="s">
        <v>950</v>
      </c>
      <c r="B30" s="193">
        <v>22</v>
      </c>
      <c r="C30" s="193" t="s">
        <v>951</v>
      </c>
      <c r="D30" s="196">
        <f>'GERAL 2024'!G38</f>
        <v>610</v>
      </c>
      <c r="E30" s="192">
        <v>0</v>
      </c>
      <c r="F30" s="196">
        <f t="shared" si="9"/>
        <v>610</v>
      </c>
      <c r="G30" s="192">
        <v>25</v>
      </c>
      <c r="H30" s="192">
        <f t="shared" si="8"/>
        <v>61.7</v>
      </c>
      <c r="I30" s="192">
        <f>'GERAL 2024'!I38</f>
        <v>1.3105200945626476</v>
      </c>
      <c r="J30" s="192">
        <f>'GERAL 2024'!K38</f>
        <v>0.79837470449172576</v>
      </c>
      <c r="K30" s="192">
        <v>0</v>
      </c>
      <c r="L30" s="191">
        <f t="shared" si="4"/>
        <v>698.80889479905443</v>
      </c>
      <c r="M30" s="192">
        <f>7%*L30</f>
        <v>48.916622635933813</v>
      </c>
      <c r="N30" s="192">
        <f>L30-M30</f>
        <v>649.89227216312065</v>
      </c>
      <c r="O30" s="193" t="s">
        <v>1047</v>
      </c>
      <c r="P30" s="207">
        <v>10</v>
      </c>
      <c r="Q30" s="197">
        <v>11</v>
      </c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  <c r="AQ30" s="205"/>
    </row>
    <row r="31" spans="1:48" s="206" customFormat="1" x14ac:dyDescent="0.3">
      <c r="A31" s="195" t="s">
        <v>750</v>
      </c>
      <c r="B31" s="193">
        <v>23</v>
      </c>
      <c r="C31" s="193" t="s">
        <v>827</v>
      </c>
      <c r="D31" s="196">
        <f>'GERAL 2022'!G25</f>
        <v>550</v>
      </c>
      <c r="E31" s="192">
        <v>0</v>
      </c>
      <c r="F31" s="196">
        <f t="shared" si="9"/>
        <v>550</v>
      </c>
      <c r="G31" s="192">
        <v>0</v>
      </c>
      <c r="H31" s="192">
        <f t="shared" si="8"/>
        <v>61.7</v>
      </c>
      <c r="I31" s="192">
        <f>'GERAL 2024'!I25</f>
        <v>1.3105200945626476</v>
      </c>
      <c r="J31" s="192">
        <f>'GERAL 2024'!K25</f>
        <v>0.79837470449172576</v>
      </c>
      <c r="K31" s="192">
        <v>0</v>
      </c>
      <c r="L31" s="191">
        <f t="shared" si="4"/>
        <v>613.80889479905443</v>
      </c>
      <c r="M31" s="192">
        <f t="shared" si="7"/>
        <v>42.966622635933817</v>
      </c>
      <c r="N31" s="192">
        <f t="shared" si="6"/>
        <v>570.84227216312058</v>
      </c>
      <c r="O31" s="193" t="s">
        <v>1045</v>
      </c>
      <c r="P31" s="197">
        <v>10</v>
      </c>
      <c r="Q31" s="197">
        <v>11</v>
      </c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  <c r="AC31" s="205"/>
      <c r="AD31" s="205"/>
      <c r="AE31" s="205"/>
      <c r="AF31" s="205"/>
      <c r="AG31" s="205"/>
      <c r="AH31" s="205"/>
      <c r="AI31" s="205"/>
      <c r="AJ31" s="205"/>
      <c r="AK31" s="205"/>
      <c r="AL31" s="205"/>
      <c r="AM31" s="205"/>
      <c r="AN31" s="205"/>
      <c r="AO31" s="205"/>
      <c r="AP31" s="205"/>
      <c r="AQ31" s="205"/>
    </row>
    <row r="32" spans="1:48" s="204" customFormat="1" ht="15.6" customHeight="1" x14ac:dyDescent="0.3">
      <c r="A32" s="193"/>
      <c r="B32" s="193">
        <v>24</v>
      </c>
      <c r="C32" s="193"/>
      <c r="D32" s="196">
        <v>0</v>
      </c>
      <c r="E32" s="192">
        <v>0</v>
      </c>
      <c r="F32" s="196">
        <f>D32-E32</f>
        <v>0</v>
      </c>
      <c r="G32" s="192">
        <v>0</v>
      </c>
      <c r="H32" s="192">
        <v>0</v>
      </c>
      <c r="I32" s="192">
        <v>0</v>
      </c>
      <c r="J32" s="192">
        <v>0</v>
      </c>
      <c r="K32" s="192">
        <v>0</v>
      </c>
      <c r="L32" s="191">
        <f t="shared" si="4"/>
        <v>0</v>
      </c>
      <c r="M32" s="192">
        <f t="shared" si="7"/>
        <v>0</v>
      </c>
      <c r="N32" s="192">
        <f t="shared" si="6"/>
        <v>0</v>
      </c>
      <c r="O32" s="193" t="s">
        <v>525</v>
      </c>
      <c r="P32" s="207"/>
      <c r="Q32" s="197"/>
      <c r="R32" s="200"/>
      <c r="S32" s="200"/>
      <c r="T32" s="200"/>
      <c r="U32" s="200"/>
      <c r="V32" s="200"/>
      <c r="W32" s="200"/>
      <c r="X32" s="200"/>
      <c r="Y32" s="200"/>
      <c r="Z32" s="200"/>
    </row>
    <row r="33" spans="1:43" s="204" customFormat="1" ht="15" customHeight="1" x14ac:dyDescent="0.3">
      <c r="A33" s="206" t="s">
        <v>1007</v>
      </c>
      <c r="B33" s="193">
        <v>25</v>
      </c>
      <c r="C33" s="193" t="s">
        <v>822</v>
      </c>
      <c r="D33" s="196">
        <f>'GERAL 2024'!G43</f>
        <v>640</v>
      </c>
      <c r="E33" s="192">
        <v>0</v>
      </c>
      <c r="F33" s="196">
        <f t="shared" si="9"/>
        <v>640</v>
      </c>
      <c r="G33" s="192">
        <v>25</v>
      </c>
      <c r="H33" s="192">
        <f t="shared" si="8"/>
        <v>61.7</v>
      </c>
      <c r="I33" s="192">
        <f>'GERAL 2024'!I43</f>
        <v>1.3105200945626476</v>
      </c>
      <c r="J33" s="192">
        <f>'GERAL 2024'!K43</f>
        <v>0.79837470449172576</v>
      </c>
      <c r="K33" s="192">
        <v>0</v>
      </c>
      <c r="L33" s="191">
        <f t="shared" si="4"/>
        <v>728.80889479905443</v>
      </c>
      <c r="M33" s="192">
        <f t="shared" si="7"/>
        <v>51.016622635933814</v>
      </c>
      <c r="N33" s="192">
        <f t="shared" si="6"/>
        <v>677.79227216312063</v>
      </c>
      <c r="O33" s="193" t="s">
        <v>1047</v>
      </c>
      <c r="P33" s="207">
        <v>10</v>
      </c>
      <c r="Q33" s="197">
        <v>11</v>
      </c>
      <c r="R33" s="200"/>
      <c r="S33" s="200"/>
      <c r="T33" s="200"/>
      <c r="U33" s="200"/>
      <c r="V33" s="200"/>
      <c r="W33" s="200"/>
      <c r="X33" s="200"/>
      <c r="Y33" s="200"/>
      <c r="Z33" s="200"/>
    </row>
    <row r="34" spans="1:43" s="206" customFormat="1" x14ac:dyDescent="0.3">
      <c r="A34" s="195" t="s">
        <v>751</v>
      </c>
      <c r="B34" s="193">
        <v>26</v>
      </c>
      <c r="C34" s="193" t="s">
        <v>827</v>
      </c>
      <c r="D34" s="196">
        <f>'GERAL 2022'!G28</f>
        <v>560</v>
      </c>
      <c r="E34" s="192">
        <v>0</v>
      </c>
      <c r="F34" s="196">
        <f t="shared" si="9"/>
        <v>560</v>
      </c>
      <c r="G34" s="192">
        <v>25</v>
      </c>
      <c r="H34" s="192">
        <f t="shared" ref="H34:H35" si="10">(1665.9/27)</f>
        <v>61.7</v>
      </c>
      <c r="I34" s="192">
        <f>'GERAL 2024'!I28</f>
        <v>1.3105200945626476</v>
      </c>
      <c r="J34" s="192">
        <f>'GERAL 2024'!K29</f>
        <v>0.79837470449172576</v>
      </c>
      <c r="K34" s="192">
        <v>0</v>
      </c>
      <c r="L34" s="191">
        <f t="shared" si="4"/>
        <v>648.80889479905443</v>
      </c>
      <c r="M34" s="192">
        <f t="shared" si="7"/>
        <v>45.416622635933813</v>
      </c>
      <c r="N34" s="192">
        <f t="shared" si="6"/>
        <v>603.39227216312065</v>
      </c>
      <c r="O34" s="193" t="s">
        <v>1047</v>
      </c>
      <c r="P34" s="197">
        <v>10</v>
      </c>
      <c r="Q34" s="197">
        <v>11</v>
      </c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205"/>
    </row>
    <row r="35" spans="1:43" s="206" customFormat="1" x14ac:dyDescent="0.3">
      <c r="A35" s="195" t="s">
        <v>752</v>
      </c>
      <c r="B35" s="193">
        <v>27</v>
      </c>
      <c r="C35" s="216" t="s">
        <v>827</v>
      </c>
      <c r="D35" s="217">
        <f>'GERAL 2022'!G45</f>
        <v>580</v>
      </c>
      <c r="E35" s="210">
        <v>0</v>
      </c>
      <c r="F35" s="196">
        <f t="shared" si="9"/>
        <v>580</v>
      </c>
      <c r="G35" s="210">
        <v>0</v>
      </c>
      <c r="H35" s="192">
        <f t="shared" si="10"/>
        <v>61.7</v>
      </c>
      <c r="I35" s="210">
        <f>'GERAL 2024'!I29</f>
        <v>1.3105200945626476</v>
      </c>
      <c r="J35" s="192">
        <f>'GERAL 2024'!K29</f>
        <v>0.79837470449172576</v>
      </c>
      <c r="K35" s="210">
        <v>0</v>
      </c>
      <c r="L35" s="191">
        <f t="shared" si="4"/>
        <v>643.80889479905443</v>
      </c>
      <c r="M35" s="192">
        <f t="shared" si="7"/>
        <v>45.066622635933811</v>
      </c>
      <c r="N35" s="192">
        <f>L35-M35</f>
        <v>598.74227216312056</v>
      </c>
      <c r="O35" s="193" t="s">
        <v>1045</v>
      </c>
      <c r="P35" s="197">
        <v>10</v>
      </c>
      <c r="Q35" s="197">
        <v>11</v>
      </c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  <c r="AQ35" s="205"/>
    </row>
    <row r="36" spans="1:43" s="206" customFormat="1" x14ac:dyDescent="0.3">
      <c r="A36" s="584" t="s">
        <v>4</v>
      </c>
      <c r="B36" s="584"/>
      <c r="C36" s="209"/>
      <c r="D36" s="191">
        <f t="shared" ref="D36:N36" si="11">SUM(D9:D35)</f>
        <v>12431.158094</v>
      </c>
      <c r="E36" s="191">
        <f t="shared" si="11"/>
        <v>0</v>
      </c>
      <c r="F36" s="191">
        <f t="shared" si="11"/>
        <v>12431.158094</v>
      </c>
      <c r="G36" s="191">
        <f t="shared" si="11"/>
        <v>410</v>
      </c>
      <c r="H36" s="191">
        <f t="shared" si="11"/>
        <v>1246.3400000000004</v>
      </c>
      <c r="I36" s="191">
        <f>SUM(I9:I35)</f>
        <v>27.520921985815601</v>
      </c>
      <c r="J36" s="191">
        <f t="shared" si="11"/>
        <v>16.765868794326245</v>
      </c>
      <c r="K36" s="191">
        <f t="shared" si="11"/>
        <v>0</v>
      </c>
      <c r="L36" s="191">
        <f t="shared" si="11"/>
        <v>14131.784884780145</v>
      </c>
      <c r="M36" s="191">
        <f t="shared" si="11"/>
        <v>989.22494193461011</v>
      </c>
      <c r="N36" s="191">
        <f t="shared" si="11"/>
        <v>13142.559942845532</v>
      </c>
      <c r="O36" s="193"/>
      <c r="P36" s="197"/>
      <c r="Q36" s="197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  <c r="AQ36" s="205"/>
    </row>
    <row r="37" spans="1:43" s="11" customFormat="1" ht="28.5" customHeight="1" x14ac:dyDescent="0.3">
      <c r="A37" s="521" t="s">
        <v>1044</v>
      </c>
      <c r="B37" s="521"/>
      <c r="C37" s="521"/>
      <c r="D37" s="521"/>
      <c r="E37" s="521"/>
      <c r="F37" s="521"/>
      <c r="G37" s="521"/>
      <c r="H37" s="521"/>
      <c r="I37" s="521"/>
      <c r="J37" s="521"/>
      <c r="K37" s="521"/>
      <c r="L37" s="521"/>
      <c r="M37" s="521"/>
      <c r="N37" s="521"/>
      <c r="O37" s="521"/>
      <c r="P37" s="521"/>
      <c r="Q37" s="521"/>
      <c r="R37" s="10"/>
      <c r="S37" s="10"/>
      <c r="T37" s="10"/>
      <c r="U37" s="10"/>
      <c r="V37" s="10"/>
      <c r="W37" s="10"/>
      <c r="X37" s="10"/>
      <c r="Y37" s="10"/>
      <c r="Z37" s="10"/>
    </row>
    <row r="38" spans="1:43" s="11" customFormat="1" ht="27.75" customHeight="1" x14ac:dyDescent="0.3">
      <c r="A38" s="127" t="s">
        <v>3</v>
      </c>
      <c r="B38" s="127" t="s">
        <v>0</v>
      </c>
      <c r="C38" s="127" t="s">
        <v>821</v>
      </c>
      <c r="D38" s="128" t="s">
        <v>174</v>
      </c>
      <c r="E38" s="555" t="s">
        <v>175</v>
      </c>
      <c r="F38" s="556"/>
      <c r="G38" s="556"/>
      <c r="H38" s="556"/>
      <c r="I38" s="556"/>
      <c r="J38" s="556"/>
      <c r="K38" s="557"/>
      <c r="L38" s="128" t="s">
        <v>4</v>
      </c>
      <c r="M38" s="128" t="s">
        <v>5</v>
      </c>
      <c r="N38" s="128" t="s">
        <v>70</v>
      </c>
      <c r="O38" s="127" t="s">
        <v>59</v>
      </c>
      <c r="P38" s="130" t="s">
        <v>8</v>
      </c>
      <c r="Q38" s="130" t="s">
        <v>10</v>
      </c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spans="1:43" s="204" customFormat="1" ht="15.75" customHeight="1" x14ac:dyDescent="0.3">
      <c r="A39" s="193" t="s">
        <v>738</v>
      </c>
      <c r="B39" s="193">
        <v>19</v>
      </c>
      <c r="C39" s="193" t="s">
        <v>825</v>
      </c>
      <c r="D39" s="196">
        <v>1037</v>
      </c>
      <c r="E39" s="551" t="s">
        <v>1024</v>
      </c>
      <c r="F39" s="580"/>
      <c r="G39" s="580"/>
      <c r="H39" s="580"/>
      <c r="I39" s="580"/>
      <c r="J39" s="580"/>
      <c r="K39" s="552"/>
      <c r="L39" s="196">
        <v>317.92</v>
      </c>
      <c r="M39" s="192">
        <f>7%*L39</f>
        <v>22.254400000000004</v>
      </c>
      <c r="N39" s="192">
        <f>L39-M39</f>
        <v>295.66560000000004</v>
      </c>
      <c r="O39" s="193" t="s">
        <v>1048</v>
      </c>
      <c r="P39" s="207">
        <v>10</v>
      </c>
      <c r="Q39" s="197">
        <v>11</v>
      </c>
      <c r="R39" s="200"/>
      <c r="S39" s="200"/>
      <c r="T39" s="200"/>
      <c r="U39" s="200"/>
      <c r="V39" s="200"/>
      <c r="W39" s="200"/>
      <c r="X39" s="200"/>
      <c r="Y39" s="200"/>
      <c r="Z39" s="200"/>
    </row>
    <row r="40" spans="1:43" s="11" customFormat="1" x14ac:dyDescent="0.3">
      <c r="A40" s="518" t="s">
        <v>4</v>
      </c>
      <c r="B40" s="518"/>
      <c r="C40" s="518"/>
      <c r="D40" s="518"/>
      <c r="E40" s="518"/>
      <c r="F40" s="518"/>
      <c r="G40" s="518"/>
      <c r="H40" s="518"/>
      <c r="I40" s="518"/>
      <c r="J40" s="518"/>
      <c r="K40" s="518"/>
      <c r="L40" s="109">
        <f>SUM(L39:L39)</f>
        <v>317.92</v>
      </c>
      <c r="M40" s="109">
        <f>SUM(M39:M39)</f>
        <v>22.254400000000004</v>
      </c>
      <c r="N40" s="109">
        <f>SUM(N39:N39)</f>
        <v>295.66560000000004</v>
      </c>
      <c r="O40" s="527"/>
      <c r="P40" s="527"/>
      <c r="Q40" s="527"/>
      <c r="R40" s="10"/>
      <c r="S40" s="10"/>
      <c r="T40" s="10"/>
      <c r="U40" s="10"/>
      <c r="V40" s="10"/>
      <c r="W40" s="10"/>
      <c r="X40" s="10"/>
      <c r="Y40" s="10"/>
      <c r="Z40" s="10"/>
    </row>
    <row r="41" spans="1:43" s="11" customFormat="1" x14ac:dyDescent="0.3">
      <c r="A41" s="518"/>
      <c r="B41" s="518"/>
      <c r="C41" s="518"/>
      <c r="D41" s="518"/>
      <c r="E41" s="518"/>
      <c r="F41" s="518"/>
      <c r="G41" s="518"/>
      <c r="H41" s="518"/>
      <c r="I41" s="518"/>
      <c r="J41" s="518"/>
      <c r="K41" s="518"/>
      <c r="L41" s="518"/>
      <c r="M41" s="518"/>
      <c r="N41" s="518"/>
      <c r="O41" s="518"/>
      <c r="P41" s="109"/>
      <c r="Q41" s="109"/>
      <c r="R41" s="10"/>
      <c r="S41" s="10"/>
      <c r="T41" s="10"/>
      <c r="U41" s="10"/>
      <c r="V41" s="10"/>
      <c r="W41" s="10"/>
      <c r="X41" s="10"/>
      <c r="Y41" s="10"/>
      <c r="Z41" s="10"/>
    </row>
    <row r="42" spans="1:43" s="11" customFormat="1" ht="28.5" customHeight="1" x14ac:dyDescent="0.3">
      <c r="A42" s="521" t="s">
        <v>177</v>
      </c>
      <c r="B42" s="521"/>
      <c r="C42" s="521"/>
      <c r="D42" s="521"/>
      <c r="E42" s="521"/>
      <c r="F42" s="521"/>
      <c r="G42" s="521"/>
      <c r="H42" s="521"/>
      <c r="I42" s="521"/>
      <c r="J42" s="521"/>
      <c r="K42" s="521"/>
      <c r="L42" s="521"/>
      <c r="M42" s="521"/>
      <c r="N42" s="521"/>
      <c r="O42" s="521"/>
      <c r="P42" s="521"/>
      <c r="Q42" s="52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43" s="11" customFormat="1" ht="25.5" customHeight="1" x14ac:dyDescent="0.3">
      <c r="A43" s="126" t="s">
        <v>173</v>
      </c>
      <c r="B43" s="126" t="s">
        <v>0</v>
      </c>
      <c r="C43" s="126"/>
      <c r="D43" s="126" t="s">
        <v>174</v>
      </c>
      <c r="E43" s="521" t="s">
        <v>175</v>
      </c>
      <c r="F43" s="521"/>
      <c r="G43" s="521"/>
      <c r="H43" s="521"/>
      <c r="I43" s="521"/>
      <c r="J43" s="521"/>
      <c r="K43" s="521"/>
      <c r="L43" s="129" t="s">
        <v>4</v>
      </c>
      <c r="M43" s="128"/>
      <c r="N43" s="128"/>
      <c r="O43" s="127" t="s">
        <v>59</v>
      </c>
      <c r="P43" s="130" t="s">
        <v>8</v>
      </c>
      <c r="Q43" s="130" t="s">
        <v>10</v>
      </c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43" s="69" customFormat="1" ht="15" customHeight="1" x14ac:dyDescent="0.3">
      <c r="A44" s="4" t="s">
        <v>132</v>
      </c>
      <c r="B44" s="4">
        <v>1</v>
      </c>
      <c r="C44" s="4"/>
      <c r="D44" s="5">
        <f>4977.59-1520</f>
        <v>3457.59</v>
      </c>
      <c r="E44" s="546" t="s">
        <v>284</v>
      </c>
      <c r="F44" s="547"/>
      <c r="G44" s="547"/>
      <c r="H44" s="547"/>
      <c r="I44" s="547"/>
      <c r="J44" s="547"/>
      <c r="K44" s="548"/>
      <c r="L44" s="5">
        <f>4977.59-1520</f>
        <v>3457.59</v>
      </c>
      <c r="M44" s="5"/>
      <c r="N44" s="5"/>
      <c r="O44" s="5" t="s">
        <v>510</v>
      </c>
      <c r="P44" s="140">
        <v>10</v>
      </c>
      <c r="Q44" s="4">
        <v>11</v>
      </c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</row>
    <row r="45" spans="1:43" s="11" customFormat="1" x14ac:dyDescent="0.3">
      <c r="A45" s="90" t="s">
        <v>87</v>
      </c>
      <c r="B45" s="90">
        <v>25</v>
      </c>
      <c r="C45" s="90"/>
      <c r="D45" s="5">
        <v>3013.33</v>
      </c>
      <c r="E45" s="546" t="s">
        <v>543</v>
      </c>
      <c r="F45" s="547"/>
      <c r="G45" s="547"/>
      <c r="H45" s="547"/>
      <c r="I45" s="547"/>
      <c r="J45" s="547"/>
      <c r="K45" s="548"/>
      <c r="L45" s="5">
        <v>3040.58</v>
      </c>
      <c r="M45" s="2"/>
      <c r="N45" s="2"/>
      <c r="O45" s="5" t="s">
        <v>545</v>
      </c>
      <c r="P45" s="98">
        <v>10</v>
      </c>
      <c r="Q45" s="3">
        <v>11</v>
      </c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</row>
    <row r="46" spans="1:43" s="11" customFormat="1" ht="15" customHeight="1" x14ac:dyDescent="0.3">
      <c r="A46" s="3" t="s">
        <v>894</v>
      </c>
      <c r="B46" s="90">
        <v>16</v>
      </c>
      <c r="C46" s="90" t="s">
        <v>823</v>
      </c>
      <c r="D46" s="5">
        <f>144.52+11.29+12.89+0.3+0.18+1664</f>
        <v>1833.18</v>
      </c>
      <c r="E46" s="546" t="s">
        <v>969</v>
      </c>
      <c r="F46" s="547"/>
      <c r="G46" s="547"/>
      <c r="H46" s="547"/>
      <c r="I46" s="547"/>
      <c r="J46" s="547"/>
      <c r="K46" s="548"/>
      <c r="L46" s="5">
        <f>144.52+11.29+12.89+0.3+0.18+1664</f>
        <v>1833.18</v>
      </c>
      <c r="M46" s="2"/>
      <c r="N46" s="2"/>
      <c r="O46" s="90" t="s">
        <v>969</v>
      </c>
      <c r="P46" s="98">
        <v>10</v>
      </c>
      <c r="Q46" s="3">
        <v>11</v>
      </c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</row>
    <row r="47" spans="1:43" s="206" customFormat="1" ht="15" customHeight="1" x14ac:dyDescent="0.3">
      <c r="A47" s="194" t="s">
        <v>739</v>
      </c>
      <c r="B47" s="194">
        <v>10</v>
      </c>
      <c r="C47" s="194" t="s">
        <v>825</v>
      </c>
      <c r="D47" s="196">
        <f>550+50+57.1+1.31+0.8</f>
        <v>659.20999999999992</v>
      </c>
      <c r="E47" s="551" t="s">
        <v>1015</v>
      </c>
      <c r="F47" s="580"/>
      <c r="G47" s="580"/>
      <c r="H47" s="580"/>
      <c r="I47" s="580"/>
      <c r="J47" s="580"/>
      <c r="K47" s="552"/>
      <c r="L47" s="234">
        <f>550+50+57.1+1.31+0.8</f>
        <v>659.20999999999992</v>
      </c>
      <c r="M47" s="192"/>
      <c r="N47" s="192"/>
      <c r="O47" s="193" t="s">
        <v>1015</v>
      </c>
      <c r="P47" s="235">
        <v>10</v>
      </c>
      <c r="Q47" s="197">
        <v>11</v>
      </c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  <c r="AC47" s="205"/>
      <c r="AD47" s="205"/>
      <c r="AE47" s="205"/>
      <c r="AF47" s="205"/>
      <c r="AG47" s="205"/>
      <c r="AH47" s="205"/>
      <c r="AI47" s="205"/>
      <c r="AJ47" s="205"/>
      <c r="AK47" s="205"/>
      <c r="AL47" s="205"/>
      <c r="AM47" s="205"/>
      <c r="AN47" s="205"/>
      <c r="AO47" s="205"/>
      <c r="AP47" s="205"/>
      <c r="AQ47" s="205"/>
    </row>
    <row r="48" spans="1:43" s="206" customFormat="1" ht="15" customHeight="1" x14ac:dyDescent="0.3">
      <c r="A48" s="194" t="s">
        <v>739</v>
      </c>
      <c r="B48" s="194">
        <v>10</v>
      </c>
      <c r="C48" s="194" t="s">
        <v>825</v>
      </c>
      <c r="D48" s="196">
        <f>550+50+57.1+1.31+0.8</f>
        <v>659.20999999999992</v>
      </c>
      <c r="E48" s="551" t="s">
        <v>1050</v>
      </c>
      <c r="F48" s="580"/>
      <c r="G48" s="580"/>
      <c r="H48" s="580"/>
      <c r="I48" s="580"/>
      <c r="J48" s="580"/>
      <c r="K48" s="552"/>
      <c r="L48" s="234">
        <f>550+50+61.7+1.31+0.8</f>
        <v>663.81</v>
      </c>
      <c r="M48" s="192"/>
      <c r="N48" s="192"/>
      <c r="O48" s="193" t="s">
        <v>1050</v>
      </c>
      <c r="P48" s="235">
        <v>10</v>
      </c>
      <c r="Q48" s="197">
        <v>11</v>
      </c>
      <c r="R48" s="205"/>
      <c r="S48" s="205"/>
      <c r="T48" s="205"/>
      <c r="U48" s="205"/>
      <c r="V48" s="205"/>
      <c r="W48" s="205"/>
      <c r="X48" s="205"/>
      <c r="Y48" s="205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05"/>
      <c r="AP48" s="205"/>
      <c r="AQ48" s="205"/>
    </row>
    <row r="49" spans="1:61" s="206" customFormat="1" ht="15" customHeight="1" x14ac:dyDescent="0.3">
      <c r="A49" s="237" t="s">
        <v>902</v>
      </c>
      <c r="B49" s="195">
        <v>17</v>
      </c>
      <c r="C49" s="195" t="s">
        <v>823</v>
      </c>
      <c r="D49" s="196">
        <v>2080.41</v>
      </c>
      <c r="E49" s="551" t="s">
        <v>1011</v>
      </c>
      <c r="F49" s="580"/>
      <c r="G49" s="580"/>
      <c r="H49" s="580"/>
      <c r="I49" s="580"/>
      <c r="J49" s="580"/>
      <c r="K49" s="552"/>
      <c r="L49" s="196">
        <v>300</v>
      </c>
      <c r="M49" s="192"/>
      <c r="N49" s="192"/>
      <c r="O49" s="193" t="s">
        <v>1039</v>
      </c>
      <c r="P49" s="235">
        <v>10</v>
      </c>
      <c r="Q49" s="197">
        <v>11</v>
      </c>
      <c r="R49" s="205"/>
      <c r="S49" s="205"/>
      <c r="T49" s="205"/>
      <c r="U49" s="205"/>
      <c r="V49" s="205"/>
      <c r="W49" s="205"/>
      <c r="X49" s="205"/>
      <c r="Y49" s="205"/>
      <c r="Z49" s="205"/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</row>
    <row r="50" spans="1:61" s="206" customFormat="1" ht="15" customHeight="1" x14ac:dyDescent="0.3">
      <c r="A50" s="237" t="s">
        <v>902</v>
      </c>
      <c r="B50" s="195">
        <v>17</v>
      </c>
      <c r="C50" s="195" t="s">
        <v>823</v>
      </c>
      <c r="D50" s="196">
        <v>2080.41</v>
      </c>
      <c r="E50" s="551" t="s">
        <v>1011</v>
      </c>
      <c r="F50" s="580"/>
      <c r="G50" s="580"/>
      <c r="H50" s="580"/>
      <c r="I50" s="580"/>
      <c r="J50" s="580"/>
      <c r="K50" s="552"/>
      <c r="L50" s="196">
        <v>300</v>
      </c>
      <c r="M50" s="192"/>
      <c r="N50" s="192"/>
      <c r="O50" s="193" t="s">
        <v>1049</v>
      </c>
      <c r="P50" s="235">
        <v>10</v>
      </c>
      <c r="Q50" s="197">
        <v>11</v>
      </c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</row>
    <row r="51" spans="1:61" s="40" customFormat="1" ht="15" customHeight="1" thickBot="1" x14ac:dyDescent="0.35">
      <c r="A51" s="534" t="s">
        <v>4</v>
      </c>
      <c r="B51" s="549"/>
      <c r="C51" s="549"/>
      <c r="D51" s="549"/>
      <c r="E51" s="549"/>
      <c r="F51" s="549"/>
      <c r="G51" s="549"/>
      <c r="H51" s="549"/>
      <c r="I51" s="549"/>
      <c r="J51" s="549"/>
      <c r="K51" s="535"/>
      <c r="L51" s="114">
        <f>SUM(L44:L50)</f>
        <v>10254.369999999999</v>
      </c>
      <c r="M51" s="90"/>
      <c r="N51" s="90"/>
      <c r="O51" s="90"/>
      <c r="P51" s="90"/>
      <c r="Q51" s="9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1"/>
      <c r="AV51" s="11"/>
      <c r="AW51" s="11"/>
      <c r="AX51" s="11"/>
    </row>
    <row r="52" spans="1:61" s="19" customFormat="1" x14ac:dyDescent="0.3">
      <c r="A52" s="179"/>
      <c r="B52" s="180"/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1"/>
      <c r="Q52" s="182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</row>
    <row r="53" spans="1:61" s="40" customFormat="1" x14ac:dyDescent="0.3">
      <c r="A53" s="585"/>
      <c r="B53" s="585"/>
      <c r="C53" s="585"/>
      <c r="D53" s="585"/>
      <c r="E53" s="585"/>
      <c r="F53" s="46"/>
      <c r="G53" s="46"/>
      <c r="H53" s="46"/>
      <c r="I53" s="46"/>
      <c r="J53" s="46"/>
      <c r="K53" s="46"/>
      <c r="L53" s="46"/>
      <c r="M53" s="46"/>
      <c r="N53" s="46"/>
      <c r="O53" s="544" t="s">
        <v>315</v>
      </c>
      <c r="P53" s="544"/>
      <c r="Q53" s="545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1"/>
      <c r="AV53" s="11"/>
      <c r="AW53" s="11"/>
      <c r="AX53" s="11"/>
    </row>
    <row r="54" spans="1:61" s="40" customFormat="1" x14ac:dyDescent="0.3">
      <c r="A54" s="206"/>
      <c r="B54" s="223"/>
      <c r="C54" s="223"/>
      <c r="D54" s="224"/>
      <c r="E54" s="223"/>
      <c r="F54" s="46"/>
      <c r="G54" s="46"/>
      <c r="H54" s="46"/>
      <c r="I54" s="11"/>
      <c r="J54" s="11"/>
      <c r="K54" s="11"/>
      <c r="L54" s="87"/>
      <c r="M54" s="87"/>
      <c r="N54" s="87"/>
      <c r="O54" s="527" t="s">
        <v>94</v>
      </c>
      <c r="P54" s="527"/>
      <c r="Q54" s="114">
        <f>M36+M40</f>
        <v>1011.4793419346101</v>
      </c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1"/>
      <c r="AV54" s="11"/>
      <c r="AW54" s="11"/>
      <c r="AX54" s="11"/>
    </row>
    <row r="55" spans="1:61" s="40" customFormat="1" x14ac:dyDescent="0.3">
      <c r="A55" s="206"/>
      <c r="B55" s="223"/>
      <c r="C55" s="223"/>
      <c r="D55" s="224"/>
      <c r="E55" s="223"/>
      <c r="F55" s="46"/>
      <c r="G55" s="46"/>
      <c r="H55" s="46"/>
      <c r="I55" s="11"/>
      <c r="J55" s="11"/>
      <c r="K55" s="11"/>
      <c r="L55" s="14"/>
      <c r="M55" s="14"/>
      <c r="N55" s="14"/>
      <c r="O55" s="518" t="s">
        <v>260</v>
      </c>
      <c r="P55" s="518"/>
      <c r="Q55" s="114">
        <f>M6</f>
        <v>780</v>
      </c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1"/>
      <c r="AV55" s="11"/>
      <c r="AW55" s="11"/>
      <c r="AX55" s="11"/>
    </row>
    <row r="56" spans="1:61" s="40" customFormat="1" x14ac:dyDescent="0.3">
      <c r="A56" s="206"/>
      <c r="B56" s="223"/>
      <c r="C56" s="223"/>
      <c r="D56" s="224"/>
      <c r="E56" s="223"/>
      <c r="F56" s="46"/>
      <c r="G56" s="46"/>
      <c r="H56" s="46"/>
      <c r="I56" s="11"/>
      <c r="J56" s="11"/>
      <c r="K56" s="11"/>
      <c r="L56" s="14"/>
      <c r="M56" s="14"/>
      <c r="N56" s="14"/>
      <c r="O56" s="520"/>
      <c r="P56" s="520"/>
      <c r="Q56" s="52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1"/>
      <c r="AV56" s="11"/>
      <c r="AW56" s="11"/>
      <c r="AX56" s="11"/>
    </row>
    <row r="57" spans="1:61" s="40" customFormat="1" x14ac:dyDescent="0.3">
      <c r="A57" s="206"/>
      <c r="B57" s="223"/>
      <c r="C57" s="223"/>
      <c r="D57" s="224"/>
      <c r="E57" s="223"/>
      <c r="F57" s="46"/>
      <c r="G57" s="46"/>
      <c r="H57" s="46"/>
      <c r="I57" s="11"/>
      <c r="J57" s="11"/>
      <c r="K57" s="11"/>
      <c r="L57" s="62"/>
      <c r="M57" s="62"/>
      <c r="N57" s="62"/>
      <c r="O57" s="520"/>
      <c r="P57" s="520"/>
      <c r="Q57" s="52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1"/>
      <c r="AV57" s="11"/>
      <c r="AW57" s="11"/>
      <c r="AX57" s="11"/>
    </row>
    <row r="58" spans="1:61" s="40" customFormat="1" ht="14.4" x14ac:dyDescent="0.3">
      <c r="A58" s="206"/>
      <c r="B58" s="223"/>
      <c r="C58" s="223"/>
      <c r="D58" s="224"/>
      <c r="E58" s="223"/>
      <c r="F58" s="46"/>
      <c r="G58" s="46"/>
      <c r="H58" s="46"/>
      <c r="I58" s="11"/>
      <c r="J58" s="11"/>
      <c r="K58" s="11"/>
      <c r="L58" s="14"/>
      <c r="M58" s="14"/>
      <c r="N58" s="14"/>
      <c r="O58" s="529" t="s">
        <v>12</v>
      </c>
      <c r="P58" s="529"/>
      <c r="Q58" s="529"/>
      <c r="R58" s="175"/>
      <c r="S58" s="178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1"/>
      <c r="AV58" s="11"/>
      <c r="AW58" s="11"/>
      <c r="AX58" s="11"/>
    </row>
    <row r="59" spans="1:61" s="11" customFormat="1" ht="15" customHeight="1" x14ac:dyDescent="0.3">
      <c r="A59" s="206"/>
      <c r="B59" s="223"/>
      <c r="C59" s="223"/>
      <c r="D59" s="224"/>
      <c r="E59" s="223"/>
      <c r="F59" s="46"/>
      <c r="G59" s="46"/>
      <c r="H59" s="46"/>
      <c r="L59" s="63"/>
      <c r="M59" s="63"/>
      <c r="N59" s="63"/>
      <c r="O59" s="514" t="s">
        <v>126</v>
      </c>
      <c r="P59" s="514"/>
      <c r="Q59" s="236">
        <v>97.79</v>
      </c>
      <c r="R59" s="190"/>
      <c r="S59" s="178"/>
    </row>
    <row r="60" spans="1:61" s="11" customFormat="1" ht="14.4" x14ac:dyDescent="0.3">
      <c r="A60" s="206"/>
      <c r="B60" s="223"/>
      <c r="C60" s="223"/>
      <c r="D60" s="224"/>
      <c r="E60" s="223"/>
      <c r="F60" s="46"/>
      <c r="G60" s="46"/>
      <c r="H60" s="46"/>
      <c r="L60" s="14"/>
      <c r="M60" s="14"/>
      <c r="N60" s="14"/>
      <c r="O60" s="583" t="s">
        <v>127</v>
      </c>
      <c r="P60" s="583"/>
      <c r="Q60" s="236">
        <v>1665.9</v>
      </c>
      <c r="R60" s="175"/>
      <c r="S60" s="178"/>
    </row>
    <row r="61" spans="1:61" s="11" customFormat="1" ht="15" customHeight="1" x14ac:dyDescent="0.3">
      <c r="A61" s="206"/>
      <c r="B61" s="223"/>
      <c r="C61" s="223"/>
      <c r="D61" s="224"/>
      <c r="E61" s="223"/>
      <c r="F61" s="46"/>
      <c r="G61" s="46"/>
      <c r="H61" s="46"/>
      <c r="L61" s="63"/>
      <c r="M61" s="63"/>
      <c r="N61" s="63"/>
      <c r="O61" s="566" t="s">
        <v>673</v>
      </c>
      <c r="P61" s="567"/>
      <c r="Q61" s="238">
        <v>800</v>
      </c>
      <c r="R61" s="190"/>
      <c r="S61" s="178"/>
    </row>
    <row r="62" spans="1:61" s="11" customFormat="1" ht="14.4" x14ac:dyDescent="0.3">
      <c r="A62" s="206"/>
      <c r="B62" s="223"/>
      <c r="C62" s="223"/>
      <c r="D62" s="224"/>
      <c r="E62" s="223"/>
      <c r="F62" s="46"/>
      <c r="G62" s="46"/>
      <c r="H62" s="46"/>
      <c r="L62" s="14"/>
      <c r="M62" s="14"/>
      <c r="N62" s="14"/>
      <c r="O62" s="518" t="s">
        <v>26</v>
      </c>
      <c r="P62" s="518"/>
      <c r="Q62" s="109">
        <f>SUM(Q54:Q61)</f>
        <v>4355.1693419346102</v>
      </c>
      <c r="R62" s="222"/>
      <c r="S62" s="178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</row>
    <row r="63" spans="1:61" s="11" customFormat="1" ht="14.4" x14ac:dyDescent="0.3">
      <c r="A63" s="206"/>
      <c r="B63" s="223"/>
      <c r="C63" s="223"/>
      <c r="D63" s="224"/>
      <c r="E63" s="223"/>
      <c r="F63" s="46"/>
      <c r="G63" s="46"/>
      <c r="H63" s="46"/>
      <c r="L63" s="63"/>
      <c r="M63" s="63"/>
      <c r="N63" s="63"/>
      <c r="O63" s="543"/>
      <c r="P63" s="543"/>
      <c r="Q63" s="135"/>
      <c r="R63" s="175"/>
      <c r="S63" s="178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</row>
    <row r="64" spans="1:61" s="11" customFormat="1" ht="14.4" x14ac:dyDescent="0.3">
      <c r="A64" s="206"/>
      <c r="B64" s="223"/>
      <c r="C64" s="223"/>
      <c r="D64" s="224"/>
      <c r="E64" s="223"/>
      <c r="F64" s="46"/>
      <c r="G64" s="46"/>
      <c r="H64" s="46"/>
      <c r="L64" s="14"/>
      <c r="M64" s="14"/>
      <c r="N64" s="14"/>
      <c r="O64" s="564" t="s">
        <v>11</v>
      </c>
      <c r="P64" s="565"/>
      <c r="Q64" s="153">
        <f>L6+L36+L40</f>
        <v>15877.322674378254</v>
      </c>
      <c r="R64" s="175"/>
      <c r="S64" s="185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</row>
    <row r="65" spans="1:49" s="11" customFormat="1" ht="14.4" x14ac:dyDescent="0.3">
      <c r="A65" s="206"/>
      <c r="B65" s="223"/>
      <c r="C65" s="223"/>
      <c r="D65" s="224"/>
      <c r="E65" s="223"/>
      <c r="F65" s="46"/>
      <c r="G65" s="46"/>
      <c r="H65" s="46"/>
      <c r="L65" s="14"/>
      <c r="M65" s="14"/>
      <c r="N65" s="14"/>
      <c r="O65" s="518"/>
      <c r="P65" s="518"/>
      <c r="Q65" s="519"/>
      <c r="R65" s="175"/>
      <c r="S65" s="185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</row>
    <row r="66" spans="1:49" s="11" customFormat="1" ht="14.4" x14ac:dyDescent="0.3">
      <c r="A66" s="206"/>
      <c r="B66" s="223"/>
      <c r="C66" s="223"/>
      <c r="D66" s="224"/>
      <c r="E66" s="223"/>
      <c r="F66" s="46"/>
      <c r="G66" s="46"/>
      <c r="H66" s="46"/>
      <c r="L66" s="63"/>
      <c r="M66" s="63"/>
      <c r="N66" s="63"/>
      <c r="O66" s="513" t="s">
        <v>13</v>
      </c>
      <c r="P66" s="513"/>
      <c r="Q66" s="151">
        <f>Q64-Q62</f>
        <v>11522.153332443644</v>
      </c>
      <c r="R66" s="175"/>
      <c r="S66" s="178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</row>
    <row r="67" spans="1:49" s="11" customFormat="1" ht="14.4" x14ac:dyDescent="0.3">
      <c r="A67" s="206"/>
      <c r="B67" s="223"/>
      <c r="C67" s="223"/>
      <c r="D67" s="224"/>
      <c r="E67" s="223"/>
      <c r="F67" s="46"/>
      <c r="G67" s="46"/>
      <c r="H67" s="46"/>
      <c r="L67" s="14"/>
      <c r="M67" s="14"/>
      <c r="N67" s="14"/>
      <c r="O67" s="124"/>
      <c r="P67" s="124"/>
      <c r="Q67" s="57"/>
      <c r="R67" s="175"/>
      <c r="S67" s="178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</row>
    <row r="68" spans="1:49" s="11" customFormat="1" ht="15" customHeight="1" x14ac:dyDescent="0.3">
      <c r="A68" s="206"/>
      <c r="B68" s="223"/>
      <c r="C68" s="223"/>
      <c r="D68" s="224"/>
      <c r="E68" s="223"/>
      <c r="F68" s="46"/>
      <c r="G68" s="46"/>
      <c r="H68" s="46"/>
      <c r="L68" s="63"/>
      <c r="M68" s="63"/>
      <c r="N68" s="63"/>
      <c r="O68" s="124"/>
      <c r="P68" s="124"/>
      <c r="Q68" s="57"/>
      <c r="S68" s="14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</row>
    <row r="69" spans="1:49" s="11" customFormat="1" ht="14.4" x14ac:dyDescent="0.3">
      <c r="A69" s="206"/>
      <c r="B69" s="223"/>
      <c r="C69" s="223"/>
      <c r="D69" s="224"/>
      <c r="E69" s="223"/>
      <c r="F69" s="46"/>
      <c r="G69" s="46"/>
      <c r="H69" s="46"/>
      <c r="L69" s="14"/>
      <c r="M69" s="14"/>
      <c r="N69" s="14"/>
      <c r="O69" s="124"/>
      <c r="P69" s="124"/>
      <c r="Q69" s="57"/>
      <c r="R69" s="190"/>
      <c r="S69" s="178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</row>
    <row r="70" spans="1:49" s="11" customFormat="1" ht="14.4" x14ac:dyDescent="0.3">
      <c r="A70" s="206"/>
      <c r="B70" s="223"/>
      <c r="C70" s="223"/>
      <c r="D70" s="224"/>
      <c r="E70" s="223"/>
      <c r="F70" s="46"/>
      <c r="G70" s="46"/>
      <c r="H70" s="46"/>
      <c r="L70" s="63"/>
      <c r="M70" s="63"/>
      <c r="N70" s="63"/>
      <c r="O70" s="124"/>
      <c r="P70" s="124"/>
      <c r="Q70" s="57"/>
      <c r="R70" s="175"/>
      <c r="S70" s="178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</row>
    <row r="71" spans="1:49" s="11" customFormat="1" ht="14.4" x14ac:dyDescent="0.3">
      <c r="A71" s="206"/>
      <c r="B71" s="223"/>
      <c r="C71" s="223"/>
      <c r="D71" s="224"/>
      <c r="E71" s="223"/>
      <c r="F71" s="46"/>
      <c r="G71" s="46"/>
      <c r="H71" s="46"/>
      <c r="O71" s="15"/>
      <c r="P71" s="14"/>
      <c r="Q71" s="57"/>
      <c r="R71" s="175"/>
      <c r="S71" s="178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</row>
    <row r="72" spans="1:49" s="11" customFormat="1" ht="14.4" x14ac:dyDescent="0.3">
      <c r="A72" s="206"/>
      <c r="B72" s="223"/>
      <c r="C72" s="223"/>
      <c r="D72" s="224"/>
      <c r="E72" s="223"/>
      <c r="F72" s="46"/>
      <c r="G72" s="46"/>
      <c r="H72" s="46"/>
      <c r="L72" s="63"/>
      <c r="M72" s="63"/>
      <c r="N72" s="63"/>
      <c r="P72" s="15"/>
      <c r="Q72" s="57"/>
      <c r="R72" s="175"/>
      <c r="S72" s="178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</row>
    <row r="73" spans="1:49" s="11" customFormat="1" ht="14.4" x14ac:dyDescent="0.3">
      <c r="A73" s="206"/>
      <c r="B73" s="223"/>
      <c r="C73" s="223"/>
      <c r="D73" s="224"/>
      <c r="E73" s="223"/>
      <c r="F73" s="46"/>
      <c r="G73" s="46"/>
      <c r="H73" s="46"/>
      <c r="L73" s="14"/>
      <c r="M73" s="14"/>
      <c r="N73" s="14"/>
      <c r="Q73" s="57"/>
      <c r="R73" s="175"/>
      <c r="S73" s="185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</row>
    <row r="74" spans="1:49" s="11" customFormat="1" ht="14.4" x14ac:dyDescent="0.3">
      <c r="A74" s="206"/>
      <c r="B74" s="223"/>
      <c r="C74" s="223"/>
      <c r="D74" s="224"/>
      <c r="E74" s="223"/>
      <c r="F74" s="46"/>
      <c r="G74" s="46"/>
      <c r="H74" s="46"/>
      <c r="O74" s="14"/>
      <c r="P74" s="14"/>
      <c r="Q74" s="57"/>
      <c r="R74" s="175"/>
      <c r="S74" s="176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</row>
    <row r="75" spans="1:49" s="11" customFormat="1" ht="14.4" x14ac:dyDescent="0.3">
      <c r="A75" s="206"/>
      <c r="B75" s="223"/>
      <c r="C75" s="223"/>
      <c r="D75" s="224"/>
      <c r="E75" s="223"/>
      <c r="F75" s="46"/>
      <c r="G75" s="46"/>
      <c r="H75" s="46"/>
      <c r="O75" s="14"/>
      <c r="P75" s="15"/>
      <c r="Q75" s="57"/>
      <c r="R75" s="175"/>
      <c r="S75" s="176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</row>
    <row r="76" spans="1:49" s="11" customFormat="1" ht="14.4" x14ac:dyDescent="0.3">
      <c r="A76" s="206"/>
      <c r="B76" s="223"/>
      <c r="C76" s="223"/>
      <c r="D76" s="224"/>
      <c r="E76" s="223"/>
      <c r="F76" s="46"/>
      <c r="G76" s="46"/>
      <c r="H76" s="46"/>
      <c r="O76" s="14"/>
      <c r="Q76" s="57"/>
      <c r="R76" s="175"/>
      <c r="S76" s="178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</row>
    <row r="77" spans="1:49" s="11" customFormat="1" ht="14.4" x14ac:dyDescent="0.3">
      <c r="A77" s="206"/>
      <c r="B77" s="223"/>
      <c r="C77" s="223"/>
      <c r="D77" s="224"/>
      <c r="E77" s="223"/>
      <c r="F77" s="46"/>
      <c r="G77" s="46"/>
      <c r="H77" s="46"/>
      <c r="L77" s="14"/>
      <c r="M77" s="14"/>
      <c r="N77" s="14"/>
      <c r="O77" s="14"/>
      <c r="Q77" s="57"/>
      <c r="R77" s="175"/>
      <c r="S77" s="178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</row>
    <row r="78" spans="1:49" s="11" customFormat="1" ht="14.4" x14ac:dyDescent="0.3">
      <c r="A78" s="206"/>
      <c r="B78" s="223"/>
      <c r="C78" s="223"/>
      <c r="D78" s="224"/>
      <c r="E78" s="223"/>
      <c r="F78" s="46"/>
      <c r="G78" s="46"/>
      <c r="H78" s="46"/>
      <c r="L78" s="15"/>
      <c r="M78" s="15"/>
      <c r="N78" s="15"/>
      <c r="Q78" s="57"/>
      <c r="R78" s="175"/>
      <c r="S78" s="178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</row>
    <row r="79" spans="1:49" s="11" customFormat="1" ht="14.4" x14ac:dyDescent="0.3">
      <c r="A79" s="206"/>
      <c r="B79" s="223"/>
      <c r="C79" s="223"/>
      <c r="D79" s="224"/>
      <c r="E79" s="223"/>
      <c r="F79" s="46"/>
      <c r="G79" s="46"/>
      <c r="H79" s="46"/>
      <c r="L79" s="14"/>
      <c r="M79" s="14"/>
      <c r="N79" s="14"/>
      <c r="P79" s="14"/>
      <c r="Q79" s="57"/>
      <c r="R79" s="175"/>
      <c r="S79" s="178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</row>
    <row r="80" spans="1:49" s="11" customFormat="1" ht="14.4" x14ac:dyDescent="0.3">
      <c r="A80" s="206"/>
      <c r="B80" s="223"/>
      <c r="C80" s="223"/>
      <c r="D80" s="224"/>
      <c r="E80" s="223"/>
      <c r="F80" s="46"/>
      <c r="G80" s="46"/>
      <c r="H80" s="46"/>
      <c r="L80" s="14"/>
      <c r="M80" s="14"/>
      <c r="N80" s="14"/>
      <c r="P80" s="14"/>
      <c r="Q80" s="57"/>
      <c r="R80" s="175"/>
      <c r="S80" s="178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</row>
    <row r="81" spans="1:49" s="11" customFormat="1" ht="14.4" x14ac:dyDescent="0.3">
      <c r="A81" s="206"/>
      <c r="B81" s="223"/>
      <c r="C81" s="223"/>
      <c r="D81" s="224"/>
      <c r="E81" s="223"/>
      <c r="F81" s="46"/>
      <c r="G81" s="46"/>
      <c r="H81" s="46"/>
      <c r="L81" s="14"/>
      <c r="M81" s="14"/>
      <c r="N81" s="14"/>
      <c r="P81" s="14"/>
      <c r="Q81" s="57"/>
      <c r="R81" s="175"/>
      <c r="S81" s="178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</row>
    <row r="82" spans="1:49" s="11" customFormat="1" x14ac:dyDescent="0.3">
      <c r="A82" s="206"/>
      <c r="B82" s="223"/>
      <c r="C82" s="223"/>
      <c r="D82" s="224"/>
      <c r="E82" s="223"/>
      <c r="F82" s="46"/>
      <c r="G82" s="46"/>
      <c r="H82" s="46"/>
      <c r="L82" s="14"/>
      <c r="M82" s="14"/>
      <c r="N82" s="14"/>
      <c r="P82" s="14"/>
      <c r="Q82" s="57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</row>
    <row r="83" spans="1:49" s="69" customFormat="1" x14ac:dyDescent="0.3">
      <c r="A83" s="206"/>
      <c r="B83" s="223"/>
      <c r="C83" s="223"/>
      <c r="D83" s="224"/>
      <c r="E83" s="223"/>
      <c r="F83" s="46"/>
      <c r="G83" s="46"/>
      <c r="H83" s="46"/>
      <c r="I83" s="11"/>
      <c r="J83" s="11"/>
      <c r="K83" s="11"/>
      <c r="L83" s="14"/>
      <c r="M83" s="14"/>
      <c r="N83" s="14"/>
      <c r="O83" s="11"/>
      <c r="P83" s="11"/>
      <c r="Q83" s="57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s="69" customFormat="1" x14ac:dyDescent="0.3">
      <c r="A84" s="206"/>
      <c r="B84" s="223"/>
      <c r="C84" s="223"/>
      <c r="D84" s="224"/>
      <c r="E84" s="223"/>
      <c r="F84" s="46"/>
      <c r="G84" s="46"/>
      <c r="H84" s="46"/>
      <c r="I84" s="11"/>
      <c r="J84" s="11"/>
      <c r="K84" s="11"/>
      <c r="L84" s="14"/>
      <c r="M84" s="14"/>
      <c r="N84" s="14"/>
      <c r="O84" s="11"/>
      <c r="P84" s="11"/>
      <c r="Q84" s="57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s="69" customFormat="1" x14ac:dyDescent="0.3">
      <c r="A85" s="206"/>
      <c r="B85" s="223"/>
      <c r="C85" s="223"/>
      <c r="D85" s="224"/>
      <c r="E85" s="223"/>
      <c r="F85" s="46"/>
      <c r="G85" s="46"/>
      <c r="H85" s="46"/>
      <c r="I85" s="11"/>
      <c r="J85" s="11"/>
      <c r="K85" s="11"/>
      <c r="L85" s="14"/>
      <c r="M85" s="14"/>
      <c r="N85" s="14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s="69" customFormat="1" x14ac:dyDescent="0.3">
      <c r="A86" s="206"/>
      <c r="B86" s="223"/>
      <c r="C86" s="223"/>
      <c r="D86" s="224"/>
      <c r="E86" s="223"/>
      <c r="F86" s="46"/>
      <c r="G86" s="46"/>
      <c r="H86" s="46"/>
      <c r="I86" s="11"/>
      <c r="J86" s="11"/>
      <c r="K86" s="11"/>
      <c r="L86" s="14"/>
      <c r="M86" s="14"/>
      <c r="N86" s="14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s="69" customFormat="1" x14ac:dyDescent="0.3">
      <c r="A87" s="206"/>
      <c r="B87" s="223"/>
      <c r="C87" s="223"/>
      <c r="D87" s="224"/>
      <c r="E87" s="223"/>
      <c r="F87" s="46"/>
      <c r="G87" s="46"/>
      <c r="H87" s="46"/>
      <c r="I87" s="11"/>
      <c r="J87" s="11"/>
      <c r="K87" s="11"/>
      <c r="L87" s="14"/>
      <c r="M87" s="14"/>
      <c r="N87" s="14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s="69" customFormat="1" x14ac:dyDescent="0.3">
      <c r="A88" s="206"/>
      <c r="B88" s="223"/>
      <c r="C88" s="223"/>
      <c r="D88" s="224"/>
      <c r="E88" s="223"/>
      <c r="F88" s="46"/>
      <c r="G88" s="46"/>
      <c r="H88" s="46"/>
      <c r="I88" s="11"/>
      <c r="J88" s="11"/>
      <c r="K88" s="11"/>
      <c r="L88" s="14"/>
      <c r="M88" s="14"/>
      <c r="N88" s="14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69" customFormat="1" x14ac:dyDescent="0.3">
      <c r="A89" s="206"/>
      <c r="B89" s="223"/>
      <c r="C89" s="223"/>
      <c r="D89" s="224"/>
      <c r="E89" s="223"/>
      <c r="F89" s="46"/>
      <c r="G89" s="46"/>
      <c r="H89" s="46"/>
      <c r="I89" s="11"/>
      <c r="J89" s="11"/>
      <c r="K89" s="11"/>
      <c r="L89" s="14"/>
      <c r="M89" s="14"/>
      <c r="N89" s="14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s="69" customFormat="1" x14ac:dyDescent="0.3">
      <c r="A90" s="206"/>
      <c r="B90" s="223"/>
      <c r="C90" s="223"/>
      <c r="D90" s="224"/>
      <c r="E90" s="223"/>
      <c r="F90" s="46"/>
      <c r="G90" s="46"/>
      <c r="H90" s="46"/>
      <c r="I90" s="11"/>
      <c r="J90" s="11"/>
      <c r="K90" s="11"/>
      <c r="L90" s="14"/>
      <c r="M90" s="14"/>
      <c r="N90" s="14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s="69" customFormat="1" x14ac:dyDescent="0.3">
      <c r="A91" s="206"/>
      <c r="B91" s="223"/>
      <c r="C91" s="223"/>
      <c r="D91" s="224"/>
      <c r="E91" s="223"/>
      <c r="F91" s="46"/>
      <c r="G91" s="46"/>
      <c r="H91" s="46"/>
      <c r="I91" s="11"/>
      <c r="J91" s="11"/>
      <c r="K91" s="11"/>
      <c r="L91" s="14"/>
      <c r="M91" s="14"/>
      <c r="N91" s="14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</row>
    <row r="92" spans="1:49" s="69" customFormat="1" x14ac:dyDescent="0.3">
      <c r="A92" s="206"/>
      <c r="B92" s="223"/>
      <c r="C92" s="223"/>
      <c r="D92" s="224"/>
      <c r="E92" s="223"/>
      <c r="F92" s="46"/>
      <c r="G92" s="46"/>
      <c r="H92" s="46"/>
      <c r="I92" s="11"/>
      <c r="J92" s="11"/>
      <c r="K92" s="11"/>
      <c r="L92" s="14"/>
      <c r="M92" s="14"/>
      <c r="N92" s="14"/>
      <c r="O92" s="144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</row>
    <row r="93" spans="1:49" s="69" customFormat="1" x14ac:dyDescent="0.3">
      <c r="A93" s="206"/>
      <c r="B93" s="223"/>
      <c r="C93" s="223"/>
      <c r="D93" s="224"/>
      <c r="E93" s="223"/>
      <c r="F93" s="46"/>
      <c r="G93" s="46"/>
      <c r="H93" s="46"/>
      <c r="I93" s="11"/>
      <c r="J93" s="11"/>
      <c r="K93" s="11"/>
      <c r="L93" s="14"/>
      <c r="M93" s="14"/>
      <c r="N93" s="14"/>
      <c r="O93" s="144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s="69" customFormat="1" x14ac:dyDescent="0.3">
      <c r="A94" s="206"/>
      <c r="B94" s="223"/>
      <c r="C94" s="223"/>
      <c r="D94" s="224"/>
      <c r="E94" s="223"/>
      <c r="F94" s="46"/>
      <c r="G94" s="46"/>
      <c r="H94" s="46"/>
      <c r="L94" s="142"/>
      <c r="M94" s="142"/>
      <c r="N94" s="142"/>
      <c r="O94" s="144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0" customFormat="1" x14ac:dyDescent="0.3">
      <c r="A95" s="206"/>
      <c r="B95" s="223"/>
      <c r="C95" s="223"/>
      <c r="D95" s="224"/>
      <c r="E95" s="223"/>
      <c r="F95" s="46"/>
      <c r="G95" s="46"/>
      <c r="H95" s="46"/>
      <c r="I95" s="63"/>
      <c r="J95" s="63"/>
      <c r="K95" s="63"/>
      <c r="L95" s="69"/>
      <c r="M95" s="69"/>
      <c r="N95" s="69"/>
      <c r="O95" s="144"/>
      <c r="P95" s="69"/>
    </row>
    <row r="96" spans="1:49" s="70" customFormat="1" ht="15" customHeight="1" x14ac:dyDescent="0.3">
      <c r="A96" s="206"/>
      <c r="B96" s="223"/>
      <c r="C96" s="223"/>
      <c r="D96" s="224"/>
      <c r="E96" s="223"/>
      <c r="F96" s="46"/>
      <c r="G96" s="46"/>
      <c r="H96" s="46"/>
      <c r="I96" s="11"/>
      <c r="J96" s="11"/>
      <c r="K96" s="63"/>
      <c r="L96" s="142"/>
      <c r="M96" s="142"/>
      <c r="N96" s="142"/>
      <c r="O96" s="144"/>
      <c r="P96" s="69"/>
      <c r="AW96" s="69"/>
    </row>
    <row r="97" spans="1:49" s="70" customFormat="1" x14ac:dyDescent="0.3">
      <c r="A97" s="206"/>
      <c r="B97" s="223"/>
      <c r="C97" s="223"/>
      <c r="D97" s="224"/>
      <c r="E97" s="223"/>
      <c r="F97" s="46"/>
      <c r="G97" s="46"/>
      <c r="H97" s="46"/>
      <c r="I97" s="142"/>
      <c r="J97" s="142"/>
      <c r="K97" s="142"/>
      <c r="L97" s="142"/>
      <c r="M97" s="142"/>
      <c r="N97" s="142"/>
      <c r="O97" s="144"/>
      <c r="P97" s="144"/>
      <c r="AW97" s="69"/>
    </row>
    <row r="98" spans="1:49" s="70" customFormat="1" x14ac:dyDescent="0.3">
      <c r="A98" s="206"/>
      <c r="B98" s="223"/>
      <c r="C98" s="223"/>
      <c r="D98" s="224"/>
      <c r="E98" s="223"/>
      <c r="F98" s="46"/>
      <c r="G98" s="46"/>
      <c r="H98" s="46"/>
      <c r="I98" s="11"/>
      <c r="J98" s="11"/>
      <c r="K98" s="63"/>
      <c r="L98" s="142"/>
      <c r="M98" s="142"/>
      <c r="N98" s="142"/>
      <c r="O98" s="144"/>
      <c r="P98" s="144"/>
      <c r="AW98" s="69"/>
    </row>
    <row r="99" spans="1:49" s="70" customFormat="1" x14ac:dyDescent="0.3">
      <c r="A99" s="206"/>
      <c r="B99" s="223"/>
      <c r="C99" s="223"/>
      <c r="D99" s="224"/>
      <c r="E99" s="223"/>
      <c r="F99" s="46"/>
      <c r="G99" s="46"/>
      <c r="H99" s="46"/>
      <c r="I99" s="142"/>
      <c r="J99" s="142"/>
      <c r="K99" s="142"/>
      <c r="L99" s="142"/>
      <c r="M99" s="142"/>
      <c r="N99" s="142"/>
      <c r="O99" s="144"/>
      <c r="P99" s="144"/>
      <c r="AW99" s="69"/>
    </row>
    <row r="100" spans="1:49" s="70" customFormat="1" x14ac:dyDescent="0.3">
      <c r="A100" s="206"/>
      <c r="B100" s="223"/>
      <c r="C100" s="223"/>
      <c r="D100" s="224"/>
      <c r="E100" s="223"/>
      <c r="F100" s="46"/>
      <c r="G100" s="46"/>
      <c r="H100" s="46"/>
      <c r="I100" s="11"/>
      <c r="J100" s="11"/>
      <c r="K100" s="63"/>
      <c r="L100" s="142"/>
      <c r="M100" s="142"/>
      <c r="N100" s="142"/>
      <c r="O100" s="144"/>
      <c r="P100" s="144"/>
      <c r="AW100" s="69"/>
    </row>
    <row r="101" spans="1:49" s="70" customFormat="1" x14ac:dyDescent="0.3">
      <c r="A101" s="206"/>
      <c r="B101" s="223"/>
      <c r="C101" s="223"/>
      <c r="D101" s="224"/>
      <c r="E101" s="223"/>
      <c r="F101" s="46"/>
      <c r="G101" s="46"/>
      <c r="H101" s="46"/>
      <c r="I101" s="142"/>
      <c r="J101" s="142"/>
      <c r="K101" s="142"/>
      <c r="L101" s="142"/>
      <c r="M101" s="142"/>
      <c r="N101" s="142"/>
      <c r="O101" s="144"/>
      <c r="P101" s="144"/>
      <c r="AW101" s="69"/>
    </row>
    <row r="102" spans="1:49" s="70" customFormat="1" x14ac:dyDescent="0.3">
      <c r="A102" s="206"/>
      <c r="B102" s="223"/>
      <c r="C102" s="223"/>
      <c r="D102" s="224"/>
      <c r="E102" s="223"/>
      <c r="F102" s="46"/>
      <c r="G102" s="46"/>
      <c r="H102" s="46"/>
      <c r="I102" s="11"/>
      <c r="J102" s="11"/>
      <c r="K102" s="63"/>
      <c r="L102" s="142"/>
      <c r="M102" s="142"/>
      <c r="N102" s="142"/>
      <c r="O102" s="144"/>
      <c r="P102" s="144"/>
      <c r="AW102" s="69"/>
    </row>
    <row r="103" spans="1:49" s="70" customFormat="1" x14ac:dyDescent="0.3">
      <c r="A103" s="206"/>
      <c r="B103" s="223"/>
      <c r="C103" s="223"/>
      <c r="D103" s="224"/>
      <c r="E103" s="223"/>
      <c r="F103" s="46"/>
      <c r="G103" s="46"/>
      <c r="H103" s="46"/>
      <c r="I103" s="142"/>
      <c r="J103" s="142"/>
      <c r="K103" s="142"/>
      <c r="L103" s="142"/>
      <c r="M103" s="142"/>
      <c r="N103" s="142"/>
      <c r="O103" s="144"/>
      <c r="P103" s="144"/>
      <c r="AW103" s="69"/>
    </row>
    <row r="104" spans="1:49" s="70" customFormat="1" x14ac:dyDescent="0.3">
      <c r="A104" s="206"/>
      <c r="B104" s="223"/>
      <c r="C104" s="223"/>
      <c r="D104" s="224"/>
      <c r="E104" s="223"/>
      <c r="F104" s="46"/>
      <c r="G104" s="46"/>
      <c r="H104" s="46"/>
      <c r="I104" s="11"/>
      <c r="J104" s="11"/>
      <c r="K104" s="63"/>
      <c r="L104" s="142"/>
      <c r="M104" s="142"/>
      <c r="N104" s="142"/>
      <c r="O104" s="144"/>
      <c r="P104" s="144"/>
      <c r="AW104" s="69"/>
    </row>
    <row r="105" spans="1:49" s="70" customFormat="1" x14ac:dyDescent="0.3">
      <c r="A105" s="148"/>
      <c r="B105" s="225"/>
      <c r="C105" s="225"/>
      <c r="D105" s="225"/>
      <c r="E105" s="225"/>
      <c r="F105" s="46"/>
      <c r="G105" s="46"/>
      <c r="H105" s="46"/>
      <c r="I105" s="142"/>
      <c r="J105" s="142"/>
      <c r="K105" s="142"/>
      <c r="L105" s="142"/>
      <c r="M105" s="142"/>
      <c r="N105" s="142"/>
      <c r="O105" s="144"/>
      <c r="P105" s="144"/>
      <c r="AW105" s="69"/>
    </row>
    <row r="106" spans="1:49" s="70" customFormat="1" x14ac:dyDescent="0.3">
      <c r="A106" s="69"/>
      <c r="B106" s="69"/>
      <c r="C106" s="69"/>
      <c r="D106" s="69"/>
      <c r="E106" s="69"/>
      <c r="F106" s="69"/>
      <c r="G106" s="69"/>
      <c r="H106" s="69"/>
      <c r="I106" s="142"/>
      <c r="J106" s="142"/>
      <c r="K106" s="142"/>
      <c r="L106" s="142"/>
      <c r="M106" s="142"/>
      <c r="N106" s="142"/>
      <c r="O106" s="144"/>
      <c r="P106" s="144"/>
      <c r="AW106" s="69"/>
    </row>
    <row r="107" spans="1:49" s="70" customFormat="1" x14ac:dyDescent="0.3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142"/>
      <c r="M107" s="142"/>
      <c r="N107" s="142"/>
      <c r="O107" s="144"/>
      <c r="P107" s="144"/>
      <c r="AW107" s="69"/>
    </row>
    <row r="108" spans="1:49" s="70" customFormat="1" x14ac:dyDescent="0.3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142"/>
      <c r="M108" s="142"/>
      <c r="N108" s="142"/>
      <c r="O108" s="144"/>
      <c r="P108" s="144"/>
      <c r="AW108" s="69"/>
    </row>
    <row r="109" spans="1:49" s="70" customFormat="1" x14ac:dyDescent="0.3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142"/>
      <c r="M109" s="142"/>
      <c r="N109" s="142"/>
      <c r="O109" s="144"/>
      <c r="P109" s="144"/>
      <c r="AW109" s="69"/>
    </row>
    <row r="110" spans="1:49" s="70" customFormat="1" x14ac:dyDescent="0.3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142"/>
      <c r="M110" s="142"/>
      <c r="N110" s="142"/>
      <c r="O110" s="144"/>
      <c r="P110" s="144"/>
      <c r="AW110" s="69"/>
    </row>
    <row r="111" spans="1:49" s="70" customFormat="1" x14ac:dyDescent="0.3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142"/>
      <c r="M111" s="142"/>
      <c r="N111" s="142"/>
      <c r="O111" s="144"/>
      <c r="P111" s="144"/>
      <c r="AW111" s="69"/>
    </row>
    <row r="112" spans="1:49" s="70" customFormat="1" x14ac:dyDescent="0.3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142"/>
      <c r="M112" s="142"/>
      <c r="N112" s="142"/>
      <c r="O112" s="144"/>
      <c r="P112" s="144"/>
      <c r="AW112" s="69"/>
    </row>
    <row r="113" spans="6:49" s="70" customFormat="1" x14ac:dyDescent="0.3">
      <c r="F113" s="69"/>
      <c r="G113" s="69"/>
      <c r="H113" s="69"/>
      <c r="I113" s="69"/>
      <c r="J113" s="69"/>
      <c r="K113" s="69"/>
      <c r="L113" s="142"/>
      <c r="M113" s="142"/>
      <c r="N113" s="142"/>
      <c r="O113" s="144"/>
      <c r="P113" s="144"/>
      <c r="AW113" s="69"/>
    </row>
    <row r="114" spans="6:49" s="70" customFormat="1" x14ac:dyDescent="0.3">
      <c r="I114" s="69"/>
      <c r="J114" s="69"/>
      <c r="K114" s="69"/>
      <c r="L114" s="142"/>
      <c r="M114" s="142"/>
      <c r="N114" s="142"/>
      <c r="O114" s="144"/>
      <c r="P114" s="144"/>
      <c r="AW114" s="69"/>
    </row>
    <row r="115" spans="6:49" s="70" customFormat="1" x14ac:dyDescent="0.3">
      <c r="L115" s="142"/>
      <c r="M115" s="142"/>
      <c r="N115" s="142"/>
      <c r="O115" s="144"/>
      <c r="P115" s="144"/>
      <c r="AW115" s="69"/>
    </row>
    <row r="116" spans="6:49" s="70" customFormat="1" x14ac:dyDescent="0.3">
      <c r="L116" s="142"/>
      <c r="M116" s="142"/>
      <c r="N116" s="142"/>
      <c r="O116" s="144"/>
      <c r="P116" s="144"/>
      <c r="AW116" s="69"/>
    </row>
    <row r="117" spans="6:49" s="70" customFormat="1" x14ac:dyDescent="0.3">
      <c r="L117" s="142"/>
      <c r="M117" s="142"/>
      <c r="N117" s="142"/>
      <c r="O117" s="144"/>
      <c r="P117" s="144"/>
      <c r="AW117" s="69"/>
    </row>
    <row r="118" spans="6:49" s="70" customFormat="1" x14ac:dyDescent="0.3">
      <c r="L118" s="142"/>
      <c r="M118" s="142"/>
      <c r="N118" s="142"/>
      <c r="O118" s="144"/>
      <c r="P118" s="144"/>
      <c r="AW118" s="69"/>
    </row>
    <row r="119" spans="6:49" s="70" customFormat="1" x14ac:dyDescent="0.3">
      <c r="L119" s="142"/>
      <c r="M119" s="142"/>
      <c r="N119" s="142"/>
      <c r="O119" s="144"/>
      <c r="P119" s="144"/>
      <c r="AW119" s="69"/>
    </row>
    <row r="120" spans="6:49" s="70" customFormat="1" x14ac:dyDescent="0.3">
      <c r="L120" s="142"/>
      <c r="M120" s="142"/>
      <c r="N120" s="142"/>
      <c r="O120" s="144"/>
      <c r="P120" s="144"/>
      <c r="AW120" s="69"/>
    </row>
    <row r="121" spans="6:49" s="70" customFormat="1" x14ac:dyDescent="0.3">
      <c r="L121" s="142"/>
      <c r="M121" s="142"/>
      <c r="N121" s="142"/>
      <c r="O121" s="144"/>
      <c r="P121" s="144"/>
      <c r="AW121" s="69"/>
    </row>
    <row r="122" spans="6:49" s="70" customFormat="1" x14ac:dyDescent="0.3">
      <c r="L122" s="142"/>
      <c r="M122" s="142"/>
      <c r="N122" s="142"/>
      <c r="O122" s="144"/>
      <c r="P122" s="144"/>
      <c r="AW122" s="69"/>
    </row>
    <row r="123" spans="6:49" s="70" customFormat="1" x14ac:dyDescent="0.3">
      <c r="L123" s="142"/>
      <c r="M123" s="142"/>
      <c r="N123" s="142"/>
      <c r="O123" s="144"/>
      <c r="P123" s="144"/>
      <c r="AW123" s="69"/>
    </row>
    <row r="124" spans="6:49" s="70" customFormat="1" x14ac:dyDescent="0.3">
      <c r="L124" s="142"/>
      <c r="M124" s="142"/>
      <c r="N124" s="142"/>
      <c r="O124" s="144"/>
      <c r="P124" s="144"/>
      <c r="AW124" s="69"/>
    </row>
    <row r="125" spans="6:49" s="70" customFormat="1" x14ac:dyDescent="0.3">
      <c r="L125" s="142"/>
      <c r="M125" s="142"/>
      <c r="N125" s="142"/>
      <c r="O125" s="144"/>
      <c r="P125" s="144"/>
      <c r="AW125" s="69"/>
    </row>
    <row r="126" spans="6:49" s="70" customFormat="1" x14ac:dyDescent="0.3">
      <c r="L126" s="142"/>
      <c r="M126" s="142"/>
      <c r="N126" s="142"/>
      <c r="O126" s="144"/>
      <c r="P126" s="144"/>
      <c r="AW126" s="69"/>
    </row>
    <row r="127" spans="6:49" s="70" customFormat="1" x14ac:dyDescent="0.3">
      <c r="L127" s="142"/>
      <c r="M127" s="142"/>
      <c r="N127" s="142"/>
      <c r="O127" s="144"/>
      <c r="P127" s="144"/>
      <c r="AW127" s="69"/>
    </row>
    <row r="128" spans="6:49" s="70" customFormat="1" x14ac:dyDescent="0.3">
      <c r="L128" s="142"/>
      <c r="M128" s="142"/>
      <c r="N128" s="142"/>
      <c r="O128" s="144"/>
      <c r="P128" s="144"/>
      <c r="AW128" s="69"/>
    </row>
    <row r="129" spans="12:49" s="70" customFormat="1" x14ac:dyDescent="0.3">
      <c r="L129" s="142"/>
      <c r="M129" s="142"/>
      <c r="N129" s="142"/>
      <c r="O129" s="144"/>
      <c r="P129" s="144"/>
      <c r="AW129" s="69"/>
    </row>
    <row r="130" spans="12:49" s="70" customFormat="1" x14ac:dyDescent="0.3">
      <c r="L130" s="142"/>
      <c r="M130" s="142"/>
      <c r="N130" s="142"/>
      <c r="O130" s="144"/>
      <c r="P130" s="144"/>
      <c r="AW130" s="69"/>
    </row>
    <row r="131" spans="12:49" s="70" customFormat="1" x14ac:dyDescent="0.3">
      <c r="L131" s="142"/>
      <c r="M131" s="142"/>
      <c r="N131" s="142"/>
      <c r="O131" s="144"/>
      <c r="P131" s="144"/>
      <c r="AW131" s="69"/>
    </row>
    <row r="132" spans="12:49" s="70" customFormat="1" x14ac:dyDescent="0.3">
      <c r="L132" s="142"/>
      <c r="M132" s="142"/>
      <c r="N132" s="142"/>
      <c r="O132" s="144"/>
      <c r="P132" s="144"/>
      <c r="AW132" s="69"/>
    </row>
    <row r="133" spans="12:49" s="70" customFormat="1" x14ac:dyDescent="0.3">
      <c r="L133" s="142"/>
      <c r="M133" s="142"/>
      <c r="N133" s="142"/>
      <c r="O133" s="144"/>
      <c r="P133" s="144"/>
      <c r="AW133" s="69"/>
    </row>
    <row r="134" spans="12:49" s="70" customFormat="1" x14ac:dyDescent="0.3">
      <c r="L134" s="142"/>
      <c r="M134" s="142"/>
      <c r="N134" s="142"/>
      <c r="O134" s="144"/>
      <c r="P134" s="144"/>
      <c r="AW134" s="69"/>
    </row>
    <row r="135" spans="12:49" s="70" customFormat="1" x14ac:dyDescent="0.3">
      <c r="L135" s="142"/>
      <c r="M135" s="142"/>
      <c r="N135" s="142"/>
      <c r="O135" s="144"/>
      <c r="P135" s="144"/>
      <c r="AW135" s="69"/>
    </row>
    <row r="136" spans="12:49" s="70" customFormat="1" x14ac:dyDescent="0.3">
      <c r="L136" s="142"/>
      <c r="M136" s="142"/>
      <c r="N136" s="142"/>
      <c r="O136" s="144"/>
      <c r="P136" s="144"/>
      <c r="AW136" s="69"/>
    </row>
    <row r="137" spans="12:49" s="70" customFormat="1" x14ac:dyDescent="0.3">
      <c r="L137" s="142"/>
      <c r="M137" s="142"/>
      <c r="N137" s="142"/>
      <c r="O137" s="144"/>
      <c r="P137" s="144"/>
      <c r="AW137" s="69"/>
    </row>
    <row r="138" spans="12:49" s="70" customFormat="1" x14ac:dyDescent="0.3">
      <c r="L138" s="142"/>
      <c r="M138" s="142"/>
      <c r="N138" s="142"/>
      <c r="O138" s="144"/>
      <c r="P138" s="144"/>
      <c r="AW138" s="69"/>
    </row>
    <row r="139" spans="12:49" s="70" customFormat="1" x14ac:dyDescent="0.3">
      <c r="L139" s="142"/>
      <c r="M139" s="142"/>
      <c r="N139" s="142"/>
      <c r="O139" s="144"/>
      <c r="P139" s="144"/>
      <c r="AW139" s="69"/>
    </row>
    <row r="140" spans="12:49" s="70" customFormat="1" x14ac:dyDescent="0.3">
      <c r="L140" s="142"/>
      <c r="M140" s="142"/>
      <c r="N140" s="142"/>
      <c r="O140" s="144"/>
      <c r="P140" s="144"/>
      <c r="AW140" s="69"/>
    </row>
    <row r="141" spans="12:49" s="70" customFormat="1" x14ac:dyDescent="0.3">
      <c r="L141" s="142"/>
      <c r="M141" s="142"/>
      <c r="N141" s="142"/>
      <c r="O141" s="144"/>
      <c r="P141" s="144"/>
      <c r="AW141" s="69"/>
    </row>
    <row r="142" spans="12:49" s="70" customFormat="1" x14ac:dyDescent="0.3">
      <c r="L142" s="142"/>
      <c r="M142" s="142"/>
      <c r="N142" s="142"/>
      <c r="O142" s="144"/>
      <c r="P142" s="144"/>
      <c r="AW142" s="69"/>
    </row>
    <row r="143" spans="12:49" s="70" customFormat="1" x14ac:dyDescent="0.3">
      <c r="L143" s="142"/>
      <c r="M143" s="142"/>
      <c r="N143" s="142"/>
      <c r="O143" s="144"/>
      <c r="P143" s="144"/>
      <c r="AW143" s="69"/>
    </row>
    <row r="144" spans="12:49" s="70" customFormat="1" x14ac:dyDescent="0.3">
      <c r="L144" s="142"/>
      <c r="M144" s="142"/>
      <c r="N144" s="142"/>
      <c r="O144" s="144"/>
      <c r="P144" s="144"/>
      <c r="AW144" s="69"/>
    </row>
    <row r="145" spans="12:49" s="70" customFormat="1" x14ac:dyDescent="0.3">
      <c r="L145" s="142"/>
      <c r="M145" s="142"/>
      <c r="N145" s="142"/>
      <c r="O145" s="144"/>
      <c r="P145" s="144"/>
      <c r="AW145" s="69"/>
    </row>
    <row r="146" spans="12:49" s="70" customFormat="1" x14ac:dyDescent="0.3">
      <c r="L146" s="142"/>
      <c r="M146" s="142"/>
      <c r="N146" s="142"/>
      <c r="O146" s="144"/>
      <c r="P146" s="144"/>
      <c r="AW146" s="69"/>
    </row>
    <row r="147" spans="12:49" s="70" customFormat="1" x14ac:dyDescent="0.3">
      <c r="L147" s="142"/>
      <c r="M147" s="142"/>
      <c r="N147" s="142"/>
      <c r="O147" s="144"/>
      <c r="P147" s="144"/>
      <c r="AW147" s="69"/>
    </row>
    <row r="148" spans="12:49" s="70" customFormat="1" x14ac:dyDescent="0.3">
      <c r="L148" s="142"/>
      <c r="M148" s="142"/>
      <c r="N148" s="142"/>
      <c r="O148" s="144"/>
      <c r="P148" s="144"/>
      <c r="AW148" s="69"/>
    </row>
    <row r="149" spans="12:49" s="70" customFormat="1" x14ac:dyDescent="0.3">
      <c r="L149" s="142"/>
      <c r="M149" s="142"/>
      <c r="N149" s="142"/>
      <c r="O149" s="144"/>
      <c r="P149" s="144"/>
      <c r="AW149" s="69"/>
    </row>
    <row r="150" spans="12:49" s="70" customFormat="1" x14ac:dyDescent="0.3">
      <c r="L150" s="142"/>
      <c r="M150" s="142"/>
      <c r="N150" s="142"/>
      <c r="O150" s="144"/>
      <c r="P150" s="144"/>
      <c r="AW150" s="69"/>
    </row>
    <row r="151" spans="12:49" s="70" customFormat="1" x14ac:dyDescent="0.3">
      <c r="L151" s="142"/>
      <c r="M151" s="142"/>
      <c r="N151" s="142"/>
      <c r="O151" s="144"/>
      <c r="P151" s="144"/>
      <c r="AW151" s="69"/>
    </row>
    <row r="152" spans="12:49" s="70" customFormat="1" x14ac:dyDescent="0.3">
      <c r="L152" s="142"/>
      <c r="M152" s="142"/>
      <c r="N152" s="142"/>
      <c r="O152" s="144"/>
      <c r="P152" s="144"/>
      <c r="AW152" s="69"/>
    </row>
    <row r="153" spans="12:49" s="70" customFormat="1" x14ac:dyDescent="0.3">
      <c r="L153" s="142"/>
      <c r="M153" s="142"/>
      <c r="N153" s="142"/>
      <c r="O153" s="144"/>
      <c r="P153" s="144"/>
      <c r="AW153" s="69"/>
    </row>
    <row r="154" spans="12:49" s="70" customFormat="1" x14ac:dyDescent="0.3">
      <c r="L154" s="142"/>
      <c r="M154" s="142"/>
      <c r="N154" s="142"/>
      <c r="O154" s="144"/>
      <c r="P154" s="144"/>
      <c r="AW154" s="69"/>
    </row>
    <row r="155" spans="12:49" s="70" customFormat="1" x14ac:dyDescent="0.3">
      <c r="L155" s="142"/>
      <c r="M155" s="142"/>
      <c r="N155" s="142"/>
      <c r="O155" s="144"/>
      <c r="P155" s="144"/>
      <c r="AW155" s="69"/>
    </row>
    <row r="156" spans="12:49" s="70" customFormat="1" x14ac:dyDescent="0.3">
      <c r="L156" s="142"/>
      <c r="M156" s="142"/>
      <c r="N156" s="142"/>
      <c r="O156" s="144"/>
      <c r="P156" s="144"/>
      <c r="AW156" s="69"/>
    </row>
    <row r="157" spans="12:49" s="70" customFormat="1" x14ac:dyDescent="0.3">
      <c r="L157" s="142"/>
      <c r="M157" s="142"/>
      <c r="N157" s="142"/>
      <c r="O157" s="144"/>
      <c r="P157" s="144"/>
      <c r="AW157" s="69"/>
    </row>
    <row r="158" spans="12:49" s="70" customFormat="1" x14ac:dyDescent="0.3">
      <c r="L158" s="142"/>
      <c r="M158" s="142"/>
      <c r="N158" s="142"/>
      <c r="O158" s="144"/>
      <c r="P158" s="144"/>
      <c r="AW158" s="69"/>
    </row>
    <row r="159" spans="12:49" s="70" customFormat="1" x14ac:dyDescent="0.3">
      <c r="L159" s="142"/>
      <c r="M159" s="142"/>
      <c r="N159" s="142"/>
      <c r="O159" s="144"/>
      <c r="P159" s="144"/>
      <c r="AW159" s="69"/>
    </row>
    <row r="160" spans="12:49" s="70" customFormat="1" x14ac:dyDescent="0.3">
      <c r="L160" s="142"/>
      <c r="M160" s="142"/>
      <c r="N160" s="142"/>
      <c r="O160" s="144"/>
      <c r="P160" s="144"/>
      <c r="AW160" s="69"/>
    </row>
    <row r="161" spans="1:50" s="70" customFormat="1" x14ac:dyDescent="0.3">
      <c r="L161" s="142"/>
      <c r="M161" s="142"/>
      <c r="N161" s="142"/>
      <c r="O161" s="144"/>
      <c r="P161" s="144"/>
      <c r="AW161" s="69"/>
    </row>
    <row r="162" spans="1:50" s="70" customFormat="1" x14ac:dyDescent="0.3">
      <c r="L162" s="142"/>
      <c r="M162" s="142"/>
      <c r="N162" s="142"/>
      <c r="O162" s="144"/>
      <c r="P162" s="144"/>
      <c r="AW162" s="69"/>
    </row>
    <row r="163" spans="1:50" s="70" customFormat="1" x14ac:dyDescent="0.3">
      <c r="L163" s="142"/>
      <c r="M163" s="142"/>
      <c r="N163" s="142"/>
      <c r="O163" s="144"/>
      <c r="P163" s="144"/>
      <c r="AW163" s="69"/>
    </row>
    <row r="164" spans="1:50" s="70" customFormat="1" x14ac:dyDescent="0.3">
      <c r="L164" s="142"/>
      <c r="M164" s="142"/>
      <c r="N164" s="142"/>
      <c r="O164" s="144"/>
      <c r="P164" s="144"/>
      <c r="AW164" s="69"/>
    </row>
    <row r="165" spans="1:50" s="70" customFormat="1" x14ac:dyDescent="0.3">
      <c r="L165" s="142"/>
      <c r="M165" s="142"/>
      <c r="N165" s="142"/>
      <c r="O165" s="144"/>
      <c r="P165" s="144"/>
      <c r="AW165" s="69"/>
    </row>
    <row r="166" spans="1:50" s="70" customFormat="1" x14ac:dyDescent="0.3">
      <c r="L166" s="142"/>
      <c r="M166" s="142"/>
      <c r="N166" s="142"/>
      <c r="O166" s="144"/>
      <c r="P166" s="144"/>
      <c r="AW166" s="69"/>
    </row>
    <row r="167" spans="1:50" s="70" customFormat="1" x14ac:dyDescent="0.3">
      <c r="L167" s="142"/>
      <c r="M167" s="142"/>
      <c r="N167" s="142"/>
      <c r="O167" s="144"/>
      <c r="P167" s="144"/>
      <c r="AW167" s="69"/>
    </row>
    <row r="168" spans="1:50" s="70" customFormat="1" x14ac:dyDescent="0.3">
      <c r="L168" s="142"/>
      <c r="M168" s="142"/>
      <c r="N168" s="142"/>
      <c r="O168" s="144"/>
      <c r="P168" s="144"/>
      <c r="AW168" s="69"/>
    </row>
    <row r="169" spans="1:50" s="70" customFormat="1" x14ac:dyDescent="0.3">
      <c r="L169" s="142"/>
      <c r="M169" s="142"/>
      <c r="N169" s="142"/>
      <c r="O169" s="147"/>
      <c r="P169" s="144"/>
      <c r="AW169" s="69"/>
    </row>
    <row r="170" spans="1:50" s="145" customFormat="1" x14ac:dyDescent="0.3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142"/>
      <c r="M170" s="142"/>
      <c r="N170" s="142"/>
      <c r="O170" s="147"/>
      <c r="P170" s="144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69"/>
      <c r="AX170" s="70"/>
    </row>
    <row r="171" spans="1:50" s="145" customFormat="1" x14ac:dyDescent="0.3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142"/>
      <c r="M171" s="142"/>
      <c r="N171" s="142"/>
      <c r="O171" s="147"/>
      <c r="P171" s="144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69"/>
      <c r="AX171" s="70"/>
    </row>
    <row r="172" spans="1:50" s="145" customFormat="1" x14ac:dyDescent="0.3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142"/>
      <c r="M172" s="142"/>
      <c r="N172" s="142"/>
      <c r="O172" s="147"/>
      <c r="P172" s="144"/>
      <c r="Q172" s="149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69"/>
      <c r="AX172" s="70"/>
    </row>
    <row r="173" spans="1:50" s="145" customFormat="1" x14ac:dyDescent="0.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142"/>
      <c r="M173" s="142"/>
      <c r="N173" s="142"/>
      <c r="O173" s="147"/>
      <c r="P173" s="144"/>
      <c r="Q173" s="149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69"/>
      <c r="AX173" s="70"/>
    </row>
    <row r="174" spans="1:50" s="145" customFormat="1" x14ac:dyDescent="0.3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142"/>
      <c r="M174" s="142"/>
      <c r="N174" s="142"/>
      <c r="O174" s="147"/>
      <c r="P174" s="147"/>
      <c r="Q174" s="149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69"/>
      <c r="AX174" s="70"/>
    </row>
    <row r="175" spans="1:50" s="145" customFormat="1" x14ac:dyDescent="0.3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142"/>
      <c r="M175" s="142"/>
      <c r="N175" s="142"/>
      <c r="O175" s="147"/>
      <c r="P175" s="147"/>
      <c r="Q175" s="149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69"/>
      <c r="AX175" s="70"/>
    </row>
    <row r="176" spans="1:50" s="145" customFormat="1" x14ac:dyDescent="0.3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142"/>
      <c r="M176" s="142"/>
      <c r="N176" s="142"/>
      <c r="O176" s="147"/>
      <c r="P176" s="147"/>
      <c r="Q176" s="149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69"/>
      <c r="AX176" s="70"/>
    </row>
    <row r="177" spans="1:50" s="145" customFormat="1" x14ac:dyDescent="0.3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142"/>
      <c r="M177" s="142"/>
      <c r="N177" s="142"/>
      <c r="O177" s="147"/>
      <c r="P177" s="147"/>
      <c r="Q177" s="149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69"/>
      <c r="AX177" s="70"/>
    </row>
    <row r="178" spans="1:50" s="145" customFormat="1" x14ac:dyDescent="0.3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142"/>
      <c r="M178" s="142"/>
      <c r="N178" s="142"/>
      <c r="O178" s="147"/>
      <c r="P178" s="147"/>
      <c r="Q178" s="149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69"/>
      <c r="AX178" s="70"/>
    </row>
    <row r="179" spans="1:50" s="145" customFormat="1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142"/>
      <c r="M179" s="142"/>
      <c r="N179" s="142"/>
      <c r="O179" s="147"/>
      <c r="P179" s="147"/>
      <c r="Q179" s="149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69"/>
      <c r="AX179" s="70"/>
    </row>
    <row r="180" spans="1:50" s="145" customFormat="1" x14ac:dyDescent="0.3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142"/>
      <c r="M180" s="142"/>
      <c r="N180" s="142"/>
      <c r="O180" s="147"/>
      <c r="P180" s="147"/>
      <c r="Q180" s="149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69"/>
      <c r="AX180" s="70"/>
    </row>
    <row r="181" spans="1:50" s="145" customFormat="1" x14ac:dyDescent="0.3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142"/>
      <c r="M181" s="142"/>
      <c r="N181" s="142"/>
      <c r="O181" s="147"/>
      <c r="P181" s="147"/>
      <c r="Q181" s="149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69"/>
      <c r="AX181" s="70"/>
    </row>
    <row r="182" spans="1:50" s="145" customFormat="1" x14ac:dyDescent="0.3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146"/>
      <c r="M182" s="146"/>
      <c r="N182" s="146"/>
      <c r="O182" s="147"/>
      <c r="P182" s="147"/>
      <c r="Q182" s="149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69"/>
      <c r="AX182" s="70"/>
    </row>
    <row r="183" spans="1:50" s="145" customFormat="1" x14ac:dyDescent="0.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146"/>
      <c r="M183" s="146"/>
      <c r="N183" s="146"/>
      <c r="O183" s="147"/>
      <c r="P183" s="147"/>
      <c r="Q183" s="149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69"/>
      <c r="AX183" s="70"/>
    </row>
    <row r="184" spans="1:50" s="145" customFormat="1" x14ac:dyDescent="0.3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146"/>
      <c r="M184" s="146"/>
      <c r="N184" s="146"/>
      <c r="O184" s="147"/>
      <c r="P184" s="147"/>
      <c r="Q184" s="148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69"/>
      <c r="AX184" s="70"/>
    </row>
    <row r="185" spans="1:50" s="145" customFormat="1" x14ac:dyDescent="0.3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146"/>
      <c r="M185" s="146"/>
      <c r="N185" s="146"/>
      <c r="O185" s="147"/>
      <c r="P185" s="147"/>
      <c r="Q185" s="148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69"/>
      <c r="AX185" s="70"/>
    </row>
    <row r="186" spans="1:50" s="145" customFormat="1" x14ac:dyDescent="0.3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146"/>
      <c r="M186" s="146"/>
      <c r="N186" s="146"/>
      <c r="O186" s="150"/>
      <c r="P186" s="147"/>
      <c r="Q186" s="148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69"/>
      <c r="AX186" s="70"/>
    </row>
    <row r="187" spans="1:50" x14ac:dyDescent="0.3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146"/>
      <c r="M187" s="146"/>
      <c r="N187" s="146"/>
      <c r="P187" s="147"/>
      <c r="AW187" s="148"/>
      <c r="AX187" s="148"/>
    </row>
    <row r="188" spans="1:50" x14ac:dyDescent="0.3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146"/>
      <c r="M188" s="146"/>
      <c r="N188" s="146"/>
      <c r="P188" s="147"/>
      <c r="AW188" s="148"/>
      <c r="AX188" s="148"/>
    </row>
    <row r="189" spans="1:50" x14ac:dyDescent="0.3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146"/>
      <c r="M189" s="146"/>
      <c r="N189" s="146"/>
      <c r="P189" s="147"/>
      <c r="AW189" s="148"/>
      <c r="AX189" s="148"/>
    </row>
    <row r="190" spans="1:50" x14ac:dyDescent="0.3">
      <c r="A190" s="149"/>
      <c r="B190" s="149"/>
      <c r="C190" s="149"/>
      <c r="D190" s="149"/>
      <c r="E190" s="149"/>
      <c r="F190" s="70"/>
      <c r="G190" s="70"/>
      <c r="H190" s="70"/>
      <c r="I190" s="70"/>
      <c r="J190" s="70"/>
      <c r="K190" s="70"/>
      <c r="L190" s="146"/>
      <c r="M190" s="146"/>
      <c r="N190" s="146"/>
      <c r="O190" s="148"/>
      <c r="P190" s="147"/>
      <c r="AW190" s="148"/>
      <c r="AX190" s="148"/>
    </row>
    <row r="191" spans="1:50" x14ac:dyDescent="0.3">
      <c r="A191" s="149"/>
      <c r="B191" s="149"/>
      <c r="C191" s="149"/>
      <c r="D191" s="149"/>
      <c r="E191" s="149"/>
      <c r="F191" s="149"/>
      <c r="G191" s="149"/>
      <c r="H191" s="149"/>
      <c r="I191" s="70"/>
      <c r="J191" s="70"/>
      <c r="K191" s="70"/>
      <c r="L191" s="146"/>
      <c r="M191" s="146"/>
      <c r="N191" s="146"/>
      <c r="AW191" s="148"/>
      <c r="AX191" s="148"/>
    </row>
    <row r="192" spans="1:50" x14ac:dyDescent="0.3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6"/>
      <c r="M192" s="146"/>
      <c r="N192" s="146"/>
      <c r="AW192" s="148"/>
      <c r="AX192" s="148"/>
    </row>
    <row r="193" spans="1:50" x14ac:dyDescent="0.3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6"/>
      <c r="M193" s="146"/>
      <c r="N193" s="146"/>
      <c r="AW193" s="148"/>
      <c r="AX193" s="148"/>
    </row>
    <row r="194" spans="1:50" x14ac:dyDescent="0.3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6"/>
      <c r="M194" s="146"/>
      <c r="N194" s="146"/>
      <c r="AW194" s="148"/>
      <c r="AX194" s="148"/>
    </row>
    <row r="195" spans="1:50" x14ac:dyDescent="0.3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6"/>
      <c r="M195" s="146"/>
      <c r="N195" s="146"/>
      <c r="AW195" s="148"/>
      <c r="AX195" s="148"/>
    </row>
    <row r="196" spans="1:50" x14ac:dyDescent="0.3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L196" s="146"/>
      <c r="M196" s="146"/>
      <c r="N196" s="146"/>
      <c r="AW196" s="148"/>
      <c r="AX196" s="148"/>
    </row>
    <row r="197" spans="1:50" x14ac:dyDescent="0.3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L197" s="146"/>
      <c r="M197" s="146"/>
      <c r="N197" s="146"/>
      <c r="AW197" s="148"/>
      <c r="AX197" s="148"/>
    </row>
    <row r="198" spans="1:50" x14ac:dyDescent="0.3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L198" s="146"/>
      <c r="M198" s="146"/>
      <c r="N198" s="146"/>
      <c r="AW198" s="148"/>
      <c r="AX198" s="148"/>
    </row>
    <row r="199" spans="1:50" x14ac:dyDescent="0.3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</row>
    <row r="200" spans="1:50" x14ac:dyDescent="0.3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  <c r="AP200" s="69"/>
      <c r="AQ200" s="69"/>
      <c r="AR200" s="69"/>
      <c r="AS200" s="69"/>
      <c r="AT200" s="69"/>
      <c r="AU200" s="69"/>
      <c r="AV200" s="69"/>
      <c r="AW200" s="148"/>
      <c r="AX200" s="148"/>
    </row>
    <row r="201" spans="1:50" x14ac:dyDescent="0.3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</row>
    <row r="202" spans="1:50" x14ac:dyDescent="0.3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</row>
    <row r="203" spans="1:50" x14ac:dyDescent="0.3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</row>
    <row r="204" spans="1:50" x14ac:dyDescent="0.3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  <c r="K204" s="149"/>
    </row>
    <row r="205" spans="1:50" x14ac:dyDescent="0.3">
      <c r="A205" s="149"/>
      <c r="B205" s="149"/>
      <c r="C205" s="149"/>
      <c r="D205" s="149"/>
      <c r="E205" s="149"/>
      <c r="F205" s="149"/>
      <c r="G205" s="149"/>
      <c r="H205" s="149"/>
      <c r="I205" s="149"/>
      <c r="J205" s="149"/>
      <c r="K205" s="149"/>
    </row>
    <row r="206" spans="1:50" x14ac:dyDescent="0.3">
      <c r="A206" s="149"/>
      <c r="B206" s="149"/>
      <c r="C206" s="149"/>
      <c r="D206" s="149"/>
      <c r="E206" s="149"/>
      <c r="F206" s="149"/>
      <c r="G206" s="149"/>
      <c r="H206" s="149"/>
      <c r="I206" s="149"/>
      <c r="J206" s="149"/>
      <c r="K206" s="149"/>
    </row>
    <row r="207" spans="1:50" x14ac:dyDescent="0.3">
      <c r="F207" s="149"/>
      <c r="G207" s="149"/>
      <c r="H207" s="149"/>
      <c r="I207" s="149"/>
      <c r="J207" s="149"/>
      <c r="K207" s="149"/>
    </row>
    <row r="208" spans="1:50" x14ac:dyDescent="0.3">
      <c r="I208" s="149"/>
      <c r="J208" s="149"/>
      <c r="K208" s="149"/>
    </row>
    <row r="212" spans="12:14" x14ac:dyDescent="0.3">
      <c r="L212" s="148"/>
      <c r="M212" s="148"/>
      <c r="N212" s="148"/>
    </row>
    <row r="1048528" spans="17:17" x14ac:dyDescent="0.3">
      <c r="Q1048528" s="57"/>
    </row>
    <row r="1048544" spans="1:61" s="70" customFormat="1" x14ac:dyDescent="0.3">
      <c r="A1048544" s="148"/>
      <c r="B1048544" s="148"/>
      <c r="C1048544" s="148"/>
      <c r="D1048544" s="148"/>
      <c r="E1048544" s="148"/>
      <c r="F1048544" s="148"/>
      <c r="G1048544" s="148"/>
      <c r="H1048544" s="148"/>
      <c r="I1048544" s="148"/>
      <c r="J1048544" s="148"/>
      <c r="K1048544" s="148"/>
      <c r="L1048544" s="150"/>
      <c r="M1048544" s="150"/>
      <c r="N1048544" s="150"/>
      <c r="O1048544" s="150"/>
      <c r="P1048544" s="150"/>
      <c r="Q1048544" s="148"/>
      <c r="AW1048544" s="69"/>
      <c r="AX1048544" s="69"/>
      <c r="AY1048544" s="148"/>
      <c r="AZ1048544" s="148"/>
      <c r="BA1048544" s="148"/>
      <c r="BB1048544" s="148"/>
      <c r="BC1048544" s="148"/>
      <c r="BD1048544" s="148"/>
      <c r="BE1048544" s="148"/>
      <c r="BF1048544" s="148"/>
      <c r="BG1048544" s="148"/>
      <c r="BH1048544" s="148"/>
      <c r="BI1048544" s="148"/>
    </row>
  </sheetData>
  <mergeCells count="35">
    <mergeCell ref="O66:P66"/>
    <mergeCell ref="O56:Q57"/>
    <mergeCell ref="O58:Q58"/>
    <mergeCell ref="O59:P59"/>
    <mergeCell ref="O60:P60"/>
    <mergeCell ref="O61:P61"/>
    <mergeCell ref="O62:P62"/>
    <mergeCell ref="O63:P63"/>
    <mergeCell ref="O64:P64"/>
    <mergeCell ref="O65:Q65"/>
    <mergeCell ref="O55:P55"/>
    <mergeCell ref="A42:Q42"/>
    <mergeCell ref="E43:K43"/>
    <mergeCell ref="E44:K44"/>
    <mergeCell ref="E45:K45"/>
    <mergeCell ref="E46:K46"/>
    <mergeCell ref="E47:K47"/>
    <mergeCell ref="E49:K49"/>
    <mergeCell ref="A51:K51"/>
    <mergeCell ref="A53:E53"/>
    <mergeCell ref="O53:Q53"/>
    <mergeCell ref="O54:P54"/>
    <mergeCell ref="E50:K50"/>
    <mergeCell ref="E48:K48"/>
    <mergeCell ref="A41:O41"/>
    <mergeCell ref="A1:Q1"/>
    <mergeCell ref="A2:Q2"/>
    <mergeCell ref="A6:B6"/>
    <mergeCell ref="A7:Q7"/>
    <mergeCell ref="A36:B36"/>
    <mergeCell ref="A37:Q37"/>
    <mergeCell ref="E38:K38"/>
    <mergeCell ref="E39:K39"/>
    <mergeCell ref="A40:K40"/>
    <mergeCell ref="O40:Q40"/>
  </mergeCells>
  <pageMargins left="0.19685039370078741" right="0.19685039370078741" top="0.19685039370078741" bottom="0.19685039370078741" header="0.19685039370078741" footer="0.19685039370078741"/>
  <pageSetup paperSize="9" scale="10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5A63C-1ACA-423B-AE05-40DFC6FD5ACA}">
  <dimension ref="A1:BI1048546"/>
  <sheetViews>
    <sheetView zoomScale="60" zoomScaleNormal="60" workbookViewId="0">
      <selection activeCell="J30" sqref="J30"/>
    </sheetView>
  </sheetViews>
  <sheetFormatPr defaultColWidth="9.109375" defaultRowHeight="13.8" x14ac:dyDescent="0.3"/>
  <cols>
    <col min="1" max="1" width="50.6640625" style="148" bestFit="1" customWidth="1"/>
    <col min="2" max="2" width="8.33203125" style="148" bestFit="1" customWidth="1"/>
    <col min="3" max="4" width="19" style="148" customWidth="1"/>
    <col min="5" max="5" width="17.109375" style="148" customWidth="1"/>
    <col min="6" max="6" width="19" style="148" bestFit="1" customWidth="1"/>
    <col min="7" max="7" width="16" style="148" customWidth="1"/>
    <col min="8" max="8" width="16.6640625" style="148" bestFit="1" customWidth="1"/>
    <col min="9" max="10" width="14.109375" style="148" bestFit="1" customWidth="1"/>
    <col min="11" max="11" width="15.109375" style="148" bestFit="1" customWidth="1"/>
    <col min="12" max="12" width="18.44140625" style="150" bestFit="1" customWidth="1"/>
    <col min="13" max="13" width="17.5546875" style="150" bestFit="1" customWidth="1"/>
    <col min="14" max="14" width="19" style="150" bestFit="1" customWidth="1"/>
    <col min="15" max="15" width="141.6640625" style="150" customWidth="1"/>
    <col min="16" max="16" width="12" style="150" customWidth="1"/>
    <col min="17" max="17" width="18.109375" style="148" bestFit="1" customWidth="1"/>
    <col min="18" max="19" width="13.109375" style="70" bestFit="1" customWidth="1"/>
    <col min="20" max="48" width="9.109375" style="70"/>
    <col min="49" max="50" width="9.109375" style="69"/>
    <col min="51" max="16384" width="9.109375" style="148"/>
  </cols>
  <sheetData>
    <row r="1" spans="1:43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</row>
    <row r="2" spans="1:43" s="10" customFormat="1" ht="28.5" customHeight="1" x14ac:dyDescent="0.3">
      <c r="A2" s="571" t="s">
        <v>1053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3"/>
    </row>
    <row r="3" spans="1:43" s="10" customFormat="1" ht="28.8" customHeight="1" x14ac:dyDescent="0.3">
      <c r="A3" s="83" t="s">
        <v>3</v>
      </c>
      <c r="B3" s="83" t="s">
        <v>0</v>
      </c>
      <c r="C3" s="83" t="s">
        <v>821</v>
      </c>
      <c r="D3" s="84" t="s">
        <v>1</v>
      </c>
      <c r="E3" s="84" t="s">
        <v>68</v>
      </c>
      <c r="F3" s="84" t="s">
        <v>69</v>
      </c>
      <c r="G3" s="85" t="s">
        <v>2</v>
      </c>
      <c r="H3" s="85" t="s">
        <v>592</v>
      </c>
      <c r="I3" s="84" t="s">
        <v>6</v>
      </c>
      <c r="J3" s="84" t="s">
        <v>764</v>
      </c>
      <c r="K3" s="84" t="s">
        <v>7</v>
      </c>
      <c r="L3" s="84" t="s">
        <v>4</v>
      </c>
      <c r="M3" s="84" t="s">
        <v>5</v>
      </c>
      <c r="N3" s="84" t="s">
        <v>70</v>
      </c>
      <c r="O3" s="83" t="s">
        <v>59</v>
      </c>
      <c r="P3" s="86" t="s">
        <v>8</v>
      </c>
      <c r="Q3" s="86" t="s">
        <v>10</v>
      </c>
    </row>
    <row r="4" spans="1:43" s="203" customFormat="1" ht="15.6" customHeight="1" x14ac:dyDescent="0.3">
      <c r="A4" s="195"/>
      <c r="B4" s="195"/>
      <c r="C4" s="195"/>
      <c r="D4" s="196">
        <v>0</v>
      </c>
      <c r="E4" s="192">
        <v>0</v>
      </c>
      <c r="F4" s="196">
        <f t="shared" ref="F4" si="0">D4-E4</f>
        <v>0</v>
      </c>
      <c r="G4" s="192">
        <v>0</v>
      </c>
      <c r="H4" s="192">
        <v>0</v>
      </c>
      <c r="I4" s="192">
        <v>0</v>
      </c>
      <c r="J4" s="192">
        <v>0</v>
      </c>
      <c r="K4" s="192">
        <v>0</v>
      </c>
      <c r="L4" s="191">
        <f>SUM(F4:K4)</f>
        <v>0</v>
      </c>
      <c r="M4" s="192">
        <f>60%*(F4+G4)</f>
        <v>0</v>
      </c>
      <c r="N4" s="192">
        <f>L4-M4</f>
        <v>0</v>
      </c>
      <c r="O4" s="193"/>
      <c r="P4" s="197"/>
      <c r="Q4" s="197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0"/>
      <c r="AM4" s="201"/>
      <c r="AN4" s="202"/>
      <c r="AO4" s="202"/>
      <c r="AP4" s="202"/>
      <c r="AQ4" s="202"/>
    </row>
    <row r="5" spans="1:43" s="206" customFormat="1" x14ac:dyDescent="0.3">
      <c r="A5" s="195"/>
      <c r="B5" s="193"/>
      <c r="C5" s="195"/>
      <c r="D5" s="196">
        <v>0</v>
      </c>
      <c r="E5" s="192">
        <v>0</v>
      </c>
      <c r="F5" s="196">
        <f>D5-E5</f>
        <v>0</v>
      </c>
      <c r="G5" s="192">
        <v>0</v>
      </c>
      <c r="H5" s="192">
        <v>0</v>
      </c>
      <c r="I5" s="192">
        <v>0</v>
      </c>
      <c r="J5" s="192">
        <v>0</v>
      </c>
      <c r="K5" s="192">
        <v>0</v>
      </c>
      <c r="L5" s="191">
        <f>SUM(F5:K5)</f>
        <v>0</v>
      </c>
      <c r="M5" s="192">
        <f>60%*(F5+G5)</f>
        <v>0</v>
      </c>
      <c r="N5" s="192">
        <f>L5-M5</f>
        <v>0</v>
      </c>
      <c r="O5" s="193"/>
      <c r="P5" s="197"/>
      <c r="Q5" s="197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</row>
    <row r="6" spans="1:43" s="10" customFormat="1" x14ac:dyDescent="0.3">
      <c r="A6" s="518" t="s">
        <v>4</v>
      </c>
      <c r="B6" s="518"/>
      <c r="C6" s="95"/>
      <c r="D6" s="109">
        <f t="shared" ref="D6:I6" si="1">SUM(D4:D5)</f>
        <v>0</v>
      </c>
      <c r="E6" s="109">
        <f t="shared" si="1"/>
        <v>0</v>
      </c>
      <c r="F6" s="109">
        <f t="shared" si="1"/>
        <v>0</v>
      </c>
      <c r="G6" s="109">
        <f t="shared" si="1"/>
        <v>0</v>
      </c>
      <c r="H6" s="109">
        <f t="shared" si="1"/>
        <v>0</v>
      </c>
      <c r="I6" s="109">
        <f t="shared" si="1"/>
        <v>0</v>
      </c>
      <c r="J6" s="109">
        <f>SUM(J4:J5)</f>
        <v>0</v>
      </c>
      <c r="K6" s="109">
        <f>SUM(K4:K5)</f>
        <v>0</v>
      </c>
      <c r="L6" s="109">
        <f>SUM(L4:L5)</f>
        <v>0</v>
      </c>
      <c r="M6" s="109">
        <f>SUM(M4:M5)</f>
        <v>0</v>
      </c>
      <c r="N6" s="109">
        <f>SUM(N4:N5)</f>
        <v>0</v>
      </c>
      <c r="O6" s="90"/>
      <c r="P6" s="3"/>
      <c r="Q6" s="3"/>
    </row>
    <row r="7" spans="1:43" s="10" customFormat="1" ht="28.5" customHeight="1" x14ac:dyDescent="0.3">
      <c r="A7" s="571" t="s">
        <v>1054</v>
      </c>
      <c r="B7" s="572"/>
      <c r="C7" s="572"/>
      <c r="D7" s="572"/>
      <c r="E7" s="572"/>
      <c r="F7" s="572"/>
      <c r="G7" s="572"/>
      <c r="H7" s="572"/>
      <c r="I7" s="572"/>
      <c r="J7" s="572"/>
      <c r="K7" s="572"/>
      <c r="L7" s="572"/>
      <c r="M7" s="572"/>
      <c r="N7" s="572"/>
      <c r="O7" s="572"/>
      <c r="P7" s="572"/>
      <c r="Q7" s="573"/>
    </row>
    <row r="8" spans="1:43" s="11" customFormat="1" ht="34.5" customHeight="1" x14ac:dyDescent="0.3">
      <c r="A8" s="83" t="s">
        <v>3</v>
      </c>
      <c r="B8" s="83" t="s">
        <v>0</v>
      </c>
      <c r="C8" s="83" t="s">
        <v>821</v>
      </c>
      <c r="D8" s="84" t="s">
        <v>1</v>
      </c>
      <c r="E8" s="84" t="s">
        <v>68</v>
      </c>
      <c r="F8" s="84" t="s">
        <v>69</v>
      </c>
      <c r="G8" s="85" t="s">
        <v>2</v>
      </c>
      <c r="H8" s="85" t="s">
        <v>592</v>
      </c>
      <c r="I8" s="84" t="s">
        <v>6</v>
      </c>
      <c r="J8" s="84" t="s">
        <v>764</v>
      </c>
      <c r="K8" s="84" t="s">
        <v>7</v>
      </c>
      <c r="L8" s="84" t="s">
        <v>4</v>
      </c>
      <c r="M8" s="84" t="s">
        <v>5</v>
      </c>
      <c r="N8" s="84" t="s">
        <v>70</v>
      </c>
      <c r="O8" s="83" t="s">
        <v>59</v>
      </c>
      <c r="P8" s="86" t="s">
        <v>8</v>
      </c>
      <c r="Q8" s="86" t="s">
        <v>10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</row>
    <row r="9" spans="1:43" s="199" customFormat="1" ht="16.8" customHeight="1" x14ac:dyDescent="0.3">
      <c r="A9" s="195"/>
      <c r="B9" s="193">
        <v>1</v>
      </c>
      <c r="C9" s="209"/>
      <c r="D9" s="196">
        <v>0</v>
      </c>
      <c r="E9" s="192">
        <v>0</v>
      </c>
      <c r="F9" s="192">
        <f t="shared" ref="F9:F25" si="2">D9-E9</f>
        <v>0</v>
      </c>
      <c r="G9" s="196">
        <v>0</v>
      </c>
      <c r="H9" s="192">
        <v>0</v>
      </c>
      <c r="I9" s="192">
        <v>0</v>
      </c>
      <c r="J9" s="192">
        <v>0</v>
      </c>
      <c r="K9" s="192">
        <v>0</v>
      </c>
      <c r="L9" s="191">
        <f t="shared" ref="L9:L35" si="3">SUM(F9:K9)</f>
        <v>0</v>
      </c>
      <c r="M9" s="192">
        <f>7%*L9</f>
        <v>0</v>
      </c>
      <c r="N9" s="192">
        <f>L9-M9</f>
        <v>0</v>
      </c>
      <c r="O9" s="196" t="s">
        <v>525</v>
      </c>
      <c r="P9" s="197"/>
      <c r="Q9" s="197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  <c r="AQ9" s="198"/>
    </row>
    <row r="10" spans="1:43" s="203" customFormat="1" x14ac:dyDescent="0.3">
      <c r="A10" s="193" t="s">
        <v>1004</v>
      </c>
      <c r="B10" s="194">
        <v>2</v>
      </c>
      <c r="C10" s="193" t="s">
        <v>822</v>
      </c>
      <c r="D10" s="196">
        <f>'[1]GERAL 2024'!G41</f>
        <v>610</v>
      </c>
      <c r="E10" s="196">
        <v>0</v>
      </c>
      <c r="F10" s="196">
        <f t="shared" si="2"/>
        <v>610</v>
      </c>
      <c r="G10" s="196">
        <v>0</v>
      </c>
      <c r="H10" s="192">
        <f t="shared" ref="H10:H15" si="4">(1665.9/27)</f>
        <v>61.7</v>
      </c>
      <c r="I10" s="192">
        <f>'[1]GERAL 2024'!I41</f>
        <v>1.3105200945626476</v>
      </c>
      <c r="J10" s="192">
        <f>'[1]GERAL 2024'!K41</f>
        <v>0.79837470449172576</v>
      </c>
      <c r="K10" s="196">
        <v>0</v>
      </c>
      <c r="L10" s="191">
        <f t="shared" si="3"/>
        <v>673.80889479905443</v>
      </c>
      <c r="M10" s="192">
        <f>7%*L10</f>
        <v>47.166622635933813</v>
      </c>
      <c r="N10" s="192">
        <f t="shared" ref="N10:N34" si="5">L10-M10</f>
        <v>626.64227216312065</v>
      </c>
      <c r="O10" s="193" t="s">
        <v>1055</v>
      </c>
      <c r="P10" s="197">
        <v>10</v>
      </c>
      <c r="Q10" s="197">
        <v>11</v>
      </c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0"/>
      <c r="AM10" s="201"/>
      <c r="AN10" s="202"/>
      <c r="AO10" s="202"/>
      <c r="AP10" s="202"/>
      <c r="AQ10" s="202"/>
    </row>
    <row r="11" spans="1:43" s="204" customFormat="1" x14ac:dyDescent="0.3">
      <c r="A11" s="193" t="s">
        <v>1005</v>
      </c>
      <c r="B11" s="194">
        <v>3</v>
      </c>
      <c r="C11" s="193" t="s">
        <v>822</v>
      </c>
      <c r="D11" s="196">
        <f>'[1]GERAL 2024'!G42</f>
        <v>610</v>
      </c>
      <c r="E11" s="196">
        <v>0</v>
      </c>
      <c r="F11" s="196">
        <f t="shared" si="2"/>
        <v>610</v>
      </c>
      <c r="G11" s="196">
        <v>0</v>
      </c>
      <c r="H11" s="192">
        <f t="shared" si="4"/>
        <v>61.7</v>
      </c>
      <c r="I11" s="192">
        <f>'[1]GERAL 2024'!I42</f>
        <v>1.3105200945626476</v>
      </c>
      <c r="J11" s="192">
        <f>'[1]GERAL 2024'!K42</f>
        <v>0.79837470449172576</v>
      </c>
      <c r="K11" s="196">
        <v>0</v>
      </c>
      <c r="L11" s="191">
        <f t="shared" si="3"/>
        <v>673.80889479905443</v>
      </c>
      <c r="M11" s="192">
        <f>7%*L11</f>
        <v>47.166622635933813</v>
      </c>
      <c r="N11" s="192">
        <f t="shared" si="5"/>
        <v>626.64227216312065</v>
      </c>
      <c r="O11" s="193" t="s">
        <v>1055</v>
      </c>
      <c r="P11" s="197">
        <v>10</v>
      </c>
      <c r="Q11" s="197">
        <v>11</v>
      </c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  <c r="AQ11" s="200"/>
    </row>
    <row r="12" spans="1:43" s="199" customFormat="1" ht="15.6" customHeight="1" x14ac:dyDescent="0.3">
      <c r="A12" s="193" t="s">
        <v>842</v>
      </c>
      <c r="B12" s="193">
        <v>4</v>
      </c>
      <c r="C12" s="209" t="s">
        <v>832</v>
      </c>
      <c r="D12" s="196">
        <f>610+(4.52806%*610)</f>
        <v>637.62116600000002</v>
      </c>
      <c r="E12" s="196">
        <v>0</v>
      </c>
      <c r="F12" s="196">
        <f t="shared" si="2"/>
        <v>637.62116600000002</v>
      </c>
      <c r="G12" s="192">
        <v>50</v>
      </c>
      <c r="H12" s="192">
        <f t="shared" si="4"/>
        <v>61.7</v>
      </c>
      <c r="I12" s="192">
        <f>'[1]GERAL 2024'!I6</f>
        <v>1.3105200945626476</v>
      </c>
      <c r="J12" s="192">
        <f>'[1]GERAL 2024'!K6</f>
        <v>0.79837470449172576</v>
      </c>
      <c r="K12" s="192">
        <v>126.81</v>
      </c>
      <c r="L12" s="191">
        <f t="shared" si="3"/>
        <v>878.24006079905439</v>
      </c>
      <c r="M12" s="192">
        <f>7%*L12</f>
        <v>61.476804255933814</v>
      </c>
      <c r="N12" s="192">
        <f t="shared" si="5"/>
        <v>816.76325654312063</v>
      </c>
      <c r="O12" s="193" t="s">
        <v>1056</v>
      </c>
      <c r="P12" s="197">
        <v>10</v>
      </c>
      <c r="Q12" s="194">
        <v>11</v>
      </c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</row>
    <row r="13" spans="1:43" s="199" customFormat="1" x14ac:dyDescent="0.3">
      <c r="A13" s="193" t="s">
        <v>744</v>
      </c>
      <c r="B13" s="193">
        <v>5</v>
      </c>
      <c r="C13" s="193" t="s">
        <v>823</v>
      </c>
      <c r="D13" s="196">
        <f>'[1]GERAL 2023'!G7</f>
        <v>580</v>
      </c>
      <c r="E13" s="192">
        <v>0</v>
      </c>
      <c r="F13" s="192">
        <f t="shared" si="2"/>
        <v>580</v>
      </c>
      <c r="G13" s="192">
        <f>50</f>
        <v>50</v>
      </c>
      <c r="H13" s="192">
        <f t="shared" si="4"/>
        <v>61.7</v>
      </c>
      <c r="I13" s="192">
        <f>'[1]GERAL 2024'!I7</f>
        <v>1.3105200945626476</v>
      </c>
      <c r="J13" s="192">
        <f>'[1]GERAL 2024'!K7</f>
        <v>0.79837470449172576</v>
      </c>
      <c r="K13" s="192">
        <v>0</v>
      </c>
      <c r="L13" s="191">
        <f t="shared" si="3"/>
        <v>693.80889479905443</v>
      </c>
      <c r="M13" s="192">
        <f>7%*L13</f>
        <v>48.566622635933811</v>
      </c>
      <c r="N13" s="192">
        <f t="shared" si="5"/>
        <v>645.24227216312056</v>
      </c>
      <c r="O13" s="193" t="s">
        <v>1057</v>
      </c>
      <c r="P13" s="197">
        <v>10</v>
      </c>
      <c r="Q13" s="197">
        <v>11</v>
      </c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</row>
    <row r="14" spans="1:43" s="206" customFormat="1" x14ac:dyDescent="0.3">
      <c r="A14" s="193" t="s">
        <v>745</v>
      </c>
      <c r="B14" s="193">
        <v>6</v>
      </c>
      <c r="C14" s="193" t="s">
        <v>823</v>
      </c>
      <c r="D14" s="196">
        <f>'[1]GERAL 2023'!G8</f>
        <v>680</v>
      </c>
      <c r="E14" s="196">
        <v>0</v>
      </c>
      <c r="F14" s="192">
        <f t="shared" si="2"/>
        <v>680</v>
      </c>
      <c r="G14" s="192">
        <v>50</v>
      </c>
      <c r="H14" s="192">
        <f t="shared" si="4"/>
        <v>61.7</v>
      </c>
      <c r="I14" s="192">
        <f>'[1]GERAL 2024'!I8</f>
        <v>1.8347281323877069</v>
      </c>
      <c r="J14" s="192">
        <f>'[1]GERAL 2024'!K8</f>
        <v>1.1177245862884162</v>
      </c>
      <c r="K14" s="192">
        <v>0</v>
      </c>
      <c r="L14" s="191">
        <f t="shared" si="3"/>
        <v>794.65245271867616</v>
      </c>
      <c r="M14" s="192">
        <f t="shared" ref="M14:M35" si="6">7%*L14</f>
        <v>55.625671690307335</v>
      </c>
      <c r="N14" s="192">
        <f>L14-M14</f>
        <v>739.02678102836887</v>
      </c>
      <c r="O14" s="193" t="s">
        <v>1057</v>
      </c>
      <c r="P14" s="197">
        <v>10</v>
      </c>
      <c r="Q14" s="197">
        <v>11</v>
      </c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  <c r="AQ14" s="205"/>
    </row>
    <row r="15" spans="1:43" s="199" customFormat="1" x14ac:dyDescent="0.3">
      <c r="A15" s="193" t="s">
        <v>791</v>
      </c>
      <c r="B15" s="193">
        <v>7</v>
      </c>
      <c r="C15" s="193" t="s">
        <v>822</v>
      </c>
      <c r="D15" s="196">
        <f>'[1]GERAL 2023'!G35+(2.45026%*610)</f>
        <v>624.94658600000002</v>
      </c>
      <c r="E15" s="192">
        <v>0</v>
      </c>
      <c r="F15" s="196">
        <f t="shared" si="2"/>
        <v>624.94658600000002</v>
      </c>
      <c r="G15" s="192">
        <v>50</v>
      </c>
      <c r="H15" s="192">
        <f t="shared" si="4"/>
        <v>61.7</v>
      </c>
      <c r="I15" s="192">
        <f>'[1]GERAL 2024'!I9</f>
        <v>1.3105200945626476</v>
      </c>
      <c r="J15" s="192">
        <f>'[1]GERAL 2024'!K9</f>
        <v>0.79837470449172576</v>
      </c>
      <c r="K15" s="192">
        <v>0</v>
      </c>
      <c r="L15" s="191">
        <f t="shared" si="3"/>
        <v>738.75548079905445</v>
      </c>
      <c r="M15" s="192">
        <f t="shared" si="6"/>
        <v>51.712883655933815</v>
      </c>
      <c r="N15" s="192">
        <f t="shared" si="5"/>
        <v>687.04259714312059</v>
      </c>
      <c r="O15" s="193" t="s">
        <v>1057</v>
      </c>
      <c r="P15" s="197">
        <v>10</v>
      </c>
      <c r="Q15" s="197">
        <v>11</v>
      </c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</row>
    <row r="16" spans="1:43" s="199" customFormat="1" x14ac:dyDescent="0.3">
      <c r="A16" s="193"/>
      <c r="B16" s="193">
        <v>8</v>
      </c>
      <c r="C16" s="193"/>
      <c r="D16" s="196">
        <v>0</v>
      </c>
      <c r="E16" s="192">
        <v>0</v>
      </c>
      <c r="F16" s="196">
        <f t="shared" si="2"/>
        <v>0</v>
      </c>
      <c r="G16" s="192">
        <v>0</v>
      </c>
      <c r="H16" s="192">
        <v>0</v>
      </c>
      <c r="I16" s="192">
        <v>0</v>
      </c>
      <c r="J16" s="192">
        <v>0</v>
      </c>
      <c r="K16" s="192">
        <v>0</v>
      </c>
      <c r="L16" s="191">
        <f t="shared" si="3"/>
        <v>0</v>
      </c>
      <c r="M16" s="192">
        <f>7%*L16</f>
        <v>0</v>
      </c>
      <c r="N16" s="192">
        <f>L16-M16</f>
        <v>0</v>
      </c>
      <c r="O16" s="193" t="s">
        <v>525</v>
      </c>
      <c r="P16" s="207"/>
      <c r="Q16" s="197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  <c r="AQ16" s="198"/>
    </row>
    <row r="17" spans="1:48" s="199" customFormat="1" x14ac:dyDescent="0.3">
      <c r="A17" s="193" t="s">
        <v>852</v>
      </c>
      <c r="B17" s="193">
        <v>9</v>
      </c>
      <c r="C17" s="193" t="s">
        <v>828</v>
      </c>
      <c r="D17" s="196">
        <f>'[1]GERAL 2024'!G11</f>
        <v>640</v>
      </c>
      <c r="E17" s="192">
        <v>0</v>
      </c>
      <c r="F17" s="196">
        <f t="shared" si="2"/>
        <v>640</v>
      </c>
      <c r="G17" s="192">
        <v>0</v>
      </c>
      <c r="H17" s="192">
        <f>(1665.9/27)</f>
        <v>61.7</v>
      </c>
      <c r="I17" s="192">
        <f>'[1]GERAL 2024'!I11</f>
        <v>1.3105200945626476</v>
      </c>
      <c r="J17" s="192">
        <f>'[1]GERAL 2024'!K11</f>
        <v>0.79837470449172576</v>
      </c>
      <c r="K17" s="192">
        <v>0</v>
      </c>
      <c r="L17" s="191">
        <f t="shared" si="3"/>
        <v>703.80889479905443</v>
      </c>
      <c r="M17" s="192">
        <f>7%*L17</f>
        <v>49.266622635933814</v>
      </c>
      <c r="N17" s="192">
        <f>L17-M17</f>
        <v>654.54227216312063</v>
      </c>
      <c r="O17" s="193" t="s">
        <v>1055</v>
      </c>
      <c r="P17" s="207">
        <v>10</v>
      </c>
      <c r="Q17" s="197">
        <v>11</v>
      </c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  <c r="AQ17" s="198"/>
    </row>
    <row r="18" spans="1:48" s="148" customFormat="1" x14ac:dyDescent="0.3">
      <c r="A18" s="194" t="s">
        <v>739</v>
      </c>
      <c r="B18" s="194">
        <v>10</v>
      </c>
      <c r="C18" s="194" t="s">
        <v>825</v>
      </c>
      <c r="D18" s="196">
        <v>0</v>
      </c>
      <c r="E18" s="192">
        <v>0</v>
      </c>
      <c r="F18" s="196">
        <f t="shared" si="2"/>
        <v>0</v>
      </c>
      <c r="G18" s="192">
        <v>0</v>
      </c>
      <c r="H18" s="192">
        <v>0</v>
      </c>
      <c r="I18" s="192">
        <v>0</v>
      </c>
      <c r="J18" s="192">
        <v>0</v>
      </c>
      <c r="K18" s="192">
        <v>0</v>
      </c>
      <c r="L18" s="191">
        <f t="shared" si="3"/>
        <v>0</v>
      </c>
      <c r="M18" s="192">
        <f t="shared" si="6"/>
        <v>0</v>
      </c>
      <c r="N18" s="192">
        <f t="shared" si="5"/>
        <v>0</v>
      </c>
      <c r="O18" s="193" t="s">
        <v>179</v>
      </c>
      <c r="P18" s="197">
        <v>10</v>
      </c>
      <c r="Q18" s="194">
        <v>11</v>
      </c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  <c r="AI18" s="208"/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  <c r="AT18" s="208"/>
      <c r="AU18" s="208"/>
      <c r="AV18" s="208"/>
    </row>
    <row r="19" spans="1:48" s="148" customFormat="1" ht="15.6" customHeight="1" x14ac:dyDescent="0.3">
      <c r="A19" s="194" t="s">
        <v>965</v>
      </c>
      <c r="B19" s="194">
        <v>11</v>
      </c>
      <c r="C19" s="194" t="s">
        <v>827</v>
      </c>
      <c r="D19" s="192">
        <f>'[1]GERAL 2024'!G39</f>
        <v>610</v>
      </c>
      <c r="E19" s="192">
        <v>0</v>
      </c>
      <c r="F19" s="196">
        <f t="shared" si="2"/>
        <v>610</v>
      </c>
      <c r="G19" s="192">
        <v>0</v>
      </c>
      <c r="H19" s="192">
        <f t="shared" ref="H19:H35" si="7">(1665.9/27)</f>
        <v>61.7</v>
      </c>
      <c r="I19" s="192">
        <f>'[1]GERAL 2024'!I39</f>
        <v>1.3105200945626476</v>
      </c>
      <c r="J19" s="192">
        <f>'[1]GERAL 2024'!K39</f>
        <v>0.79837470449172576</v>
      </c>
      <c r="K19" s="192">
        <v>0</v>
      </c>
      <c r="L19" s="191">
        <f t="shared" si="3"/>
        <v>673.80889479905443</v>
      </c>
      <c r="M19" s="192">
        <f>7%*L19</f>
        <v>47.166622635933813</v>
      </c>
      <c r="N19" s="192">
        <f t="shared" si="5"/>
        <v>626.64227216312065</v>
      </c>
      <c r="O19" s="193" t="s">
        <v>1055</v>
      </c>
      <c r="P19" s="197">
        <v>10</v>
      </c>
      <c r="Q19" s="194">
        <v>11</v>
      </c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8"/>
      <c r="AR19" s="208"/>
      <c r="AS19" s="208"/>
      <c r="AT19" s="208"/>
      <c r="AU19" s="208"/>
      <c r="AV19" s="208"/>
    </row>
    <row r="20" spans="1:48" s="199" customFormat="1" x14ac:dyDescent="0.3">
      <c r="A20" s="193"/>
      <c r="B20" s="193">
        <v>12</v>
      </c>
      <c r="C20" s="193"/>
      <c r="D20" s="196">
        <v>0</v>
      </c>
      <c r="E20" s="192">
        <v>0</v>
      </c>
      <c r="F20" s="196">
        <f t="shared" si="2"/>
        <v>0</v>
      </c>
      <c r="G20" s="196">
        <v>0</v>
      </c>
      <c r="H20" s="192">
        <v>0</v>
      </c>
      <c r="I20" s="192">
        <v>0</v>
      </c>
      <c r="J20" s="192">
        <v>0</v>
      </c>
      <c r="K20" s="196">
        <v>0</v>
      </c>
      <c r="L20" s="191">
        <f t="shared" si="3"/>
        <v>0</v>
      </c>
      <c r="M20" s="192">
        <f t="shared" si="6"/>
        <v>0</v>
      </c>
      <c r="N20" s="192">
        <f t="shared" si="5"/>
        <v>0</v>
      </c>
      <c r="O20" s="193" t="s">
        <v>525</v>
      </c>
      <c r="P20" s="197"/>
      <c r="Q20" s="197"/>
      <c r="R20" s="198"/>
      <c r="S20" s="198"/>
      <c r="T20" s="198"/>
      <c r="U20" s="198"/>
      <c r="V20" s="198"/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  <c r="AQ20" s="198"/>
    </row>
    <row r="21" spans="1:48" s="206" customFormat="1" ht="16.2" customHeight="1" x14ac:dyDescent="0.3">
      <c r="A21" s="193" t="s">
        <v>756</v>
      </c>
      <c r="B21" s="193">
        <v>13</v>
      </c>
      <c r="C21" s="193" t="s">
        <v>827</v>
      </c>
      <c r="D21" s="196">
        <f>'[1]GERAL 2022'!G15</f>
        <v>550</v>
      </c>
      <c r="E21" s="196">
        <v>0</v>
      </c>
      <c r="F21" s="196">
        <f t="shared" si="2"/>
        <v>550</v>
      </c>
      <c r="G21" s="192">
        <v>0</v>
      </c>
      <c r="H21" s="192">
        <f t="shared" si="7"/>
        <v>61.7</v>
      </c>
      <c r="I21" s="192">
        <f>'[1]GERAL 2024'!I15</f>
        <v>1.3105200945626476</v>
      </c>
      <c r="J21" s="192">
        <f>'[1]GERAL 2024'!K15</f>
        <v>0.79837470449172576</v>
      </c>
      <c r="K21" s="192">
        <v>0</v>
      </c>
      <c r="L21" s="191">
        <f t="shared" si="3"/>
        <v>613.80889479905443</v>
      </c>
      <c r="M21" s="192">
        <f t="shared" si="6"/>
        <v>42.966622635933817</v>
      </c>
      <c r="N21" s="192">
        <f t="shared" si="5"/>
        <v>570.84227216312058</v>
      </c>
      <c r="O21" s="193" t="s">
        <v>1055</v>
      </c>
      <c r="P21" s="197">
        <v>10</v>
      </c>
      <c r="Q21" s="197">
        <v>11</v>
      </c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  <c r="AQ21" s="205"/>
    </row>
    <row r="22" spans="1:48" s="148" customFormat="1" x14ac:dyDescent="0.3">
      <c r="A22" s="194" t="s">
        <v>747</v>
      </c>
      <c r="B22" s="194">
        <v>14</v>
      </c>
      <c r="C22" s="209" t="s">
        <v>832</v>
      </c>
      <c r="D22" s="196">
        <f>580+(4.52806%*580)</f>
        <v>606.26274799999999</v>
      </c>
      <c r="E22" s="192">
        <v>0</v>
      </c>
      <c r="F22" s="196">
        <f t="shared" si="2"/>
        <v>606.26274799999999</v>
      </c>
      <c r="G22" s="192">
        <f>50</f>
        <v>50</v>
      </c>
      <c r="H22" s="192">
        <f t="shared" si="7"/>
        <v>61.7</v>
      </c>
      <c r="I22" s="192">
        <f>'[1]GERAL 2024'!I16</f>
        <v>1.3105200945626476</v>
      </c>
      <c r="J22" s="192">
        <f>'[1]GERAL 2024'!K16</f>
        <v>0.79837470449172576</v>
      </c>
      <c r="K22" s="192">
        <v>126.44</v>
      </c>
      <c r="L22" s="191">
        <f t="shared" si="3"/>
        <v>846.51164279905447</v>
      </c>
      <c r="M22" s="192">
        <f t="shared" si="6"/>
        <v>59.255814995933818</v>
      </c>
      <c r="N22" s="192">
        <f t="shared" si="5"/>
        <v>787.25582780312061</v>
      </c>
      <c r="O22" s="193" t="s">
        <v>1056</v>
      </c>
      <c r="P22" s="197">
        <v>10</v>
      </c>
      <c r="Q22" s="194">
        <v>11</v>
      </c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  <c r="AD22" s="208"/>
      <c r="AE22" s="208"/>
      <c r="AF22" s="208"/>
      <c r="AG22" s="208"/>
      <c r="AH22" s="208"/>
      <c r="AI22" s="208"/>
      <c r="AJ22" s="208"/>
      <c r="AK22" s="208"/>
      <c r="AL22" s="208"/>
      <c r="AM22" s="208"/>
      <c r="AN22" s="208"/>
      <c r="AO22" s="208"/>
      <c r="AP22" s="208"/>
      <c r="AQ22" s="208"/>
      <c r="AR22" s="208"/>
      <c r="AS22" s="208"/>
      <c r="AT22" s="208"/>
      <c r="AU22" s="208"/>
      <c r="AV22" s="208"/>
    </row>
    <row r="23" spans="1:48" s="204" customFormat="1" x14ac:dyDescent="0.3">
      <c r="A23" s="193" t="s">
        <v>748</v>
      </c>
      <c r="B23" s="193">
        <v>15</v>
      </c>
      <c r="C23" s="193" t="s">
        <v>827</v>
      </c>
      <c r="D23" s="196">
        <f>'[1]GERAL 2023'!G36</f>
        <v>680</v>
      </c>
      <c r="E23" s="192">
        <v>0</v>
      </c>
      <c r="F23" s="196">
        <f t="shared" si="2"/>
        <v>680</v>
      </c>
      <c r="G23" s="192">
        <v>25</v>
      </c>
      <c r="H23" s="192">
        <f t="shared" si="7"/>
        <v>61.7</v>
      </c>
      <c r="I23" s="192">
        <f>'[1]GERAL 2024'!I17</f>
        <v>1.8347281323877069</v>
      </c>
      <c r="J23" s="192">
        <f>'[1]GERAL 2024'!K17</f>
        <v>1.1177245862884162</v>
      </c>
      <c r="K23" s="192">
        <v>0</v>
      </c>
      <c r="L23" s="191">
        <f t="shared" si="3"/>
        <v>769.65245271867616</v>
      </c>
      <c r="M23" s="192">
        <f t="shared" si="6"/>
        <v>53.875671690307335</v>
      </c>
      <c r="N23" s="192">
        <f t="shared" si="5"/>
        <v>715.77678102836887</v>
      </c>
      <c r="O23" s="193" t="s">
        <v>1058</v>
      </c>
      <c r="P23" s="197">
        <v>10</v>
      </c>
      <c r="Q23" s="194">
        <v>11</v>
      </c>
      <c r="R23" s="200"/>
      <c r="S23" s="200"/>
      <c r="T23" s="200"/>
      <c r="U23" s="200"/>
      <c r="V23" s="200"/>
      <c r="W23" s="200"/>
      <c r="X23" s="200"/>
      <c r="Y23" s="200"/>
      <c r="Z23" s="200"/>
    </row>
    <row r="24" spans="1:48" s="206" customFormat="1" ht="14.4" customHeight="1" x14ac:dyDescent="0.3">
      <c r="A24" s="197" t="s">
        <v>977</v>
      </c>
      <c r="B24" s="197">
        <v>16</v>
      </c>
      <c r="C24" s="193" t="s">
        <v>827</v>
      </c>
      <c r="D24" s="196">
        <f>'[1]GERAL 2024'!G40</f>
        <v>640</v>
      </c>
      <c r="E24" s="192">
        <v>0</v>
      </c>
      <c r="F24" s="196">
        <f>D24-E24</f>
        <v>640</v>
      </c>
      <c r="G24" s="192">
        <v>0</v>
      </c>
      <c r="H24" s="192">
        <f t="shared" si="7"/>
        <v>61.7</v>
      </c>
      <c r="I24" s="192">
        <f>'[1]GERAL 2024'!I40</f>
        <v>1.3105200945626476</v>
      </c>
      <c r="J24" s="192">
        <f>'[1]GERAL 2024'!K40</f>
        <v>0.79837470449172576</v>
      </c>
      <c r="K24" s="192">
        <v>0</v>
      </c>
      <c r="L24" s="191">
        <f t="shared" si="3"/>
        <v>703.80889479905443</v>
      </c>
      <c r="M24" s="192">
        <f t="shared" si="6"/>
        <v>49.266622635933814</v>
      </c>
      <c r="N24" s="192">
        <f>L24-M24</f>
        <v>654.54227216312063</v>
      </c>
      <c r="O24" s="193" t="s">
        <v>1055</v>
      </c>
      <c r="P24" s="197">
        <v>10</v>
      </c>
      <c r="Q24" s="197">
        <v>11</v>
      </c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  <c r="AP24" s="205"/>
      <c r="AQ24" s="205"/>
    </row>
    <row r="25" spans="1:48" s="206" customFormat="1" x14ac:dyDescent="0.3">
      <c r="A25" s="195" t="s">
        <v>1029</v>
      </c>
      <c r="B25" s="195">
        <v>17</v>
      </c>
      <c r="C25" s="195" t="s">
        <v>824</v>
      </c>
      <c r="D25" s="196">
        <f>'[1]GERAL 2024'!G45</f>
        <v>610</v>
      </c>
      <c r="E25" s="192">
        <v>0</v>
      </c>
      <c r="F25" s="196">
        <f t="shared" si="2"/>
        <v>610</v>
      </c>
      <c r="G25" s="192">
        <v>50</v>
      </c>
      <c r="H25" s="192">
        <f t="shared" si="7"/>
        <v>61.7</v>
      </c>
      <c r="I25" s="192">
        <f>'[1]GERAL 2024'!I45</f>
        <v>1.3105200945626476</v>
      </c>
      <c r="J25" s="192">
        <f>'[1]GERAL 2024'!K45</f>
        <v>0.79837470449172576</v>
      </c>
      <c r="K25" s="192">
        <v>0</v>
      </c>
      <c r="L25" s="191">
        <f t="shared" si="3"/>
        <v>723.80889479905443</v>
      </c>
      <c r="M25" s="192">
        <f>7%*L25</f>
        <v>50.666622635933813</v>
      </c>
      <c r="N25" s="192">
        <f>L25-M25</f>
        <v>673.14227216312065</v>
      </c>
      <c r="O25" s="193" t="s">
        <v>1057</v>
      </c>
      <c r="P25" s="197">
        <v>10</v>
      </c>
      <c r="Q25" s="197">
        <v>11</v>
      </c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  <c r="AQ25" s="205"/>
    </row>
    <row r="26" spans="1:48" s="206" customFormat="1" x14ac:dyDescent="0.3">
      <c r="A26" s="195" t="s">
        <v>1030</v>
      </c>
      <c r="B26" s="193">
        <v>18</v>
      </c>
      <c r="C26" s="195" t="s">
        <v>824</v>
      </c>
      <c r="D26" s="196">
        <f>'[1]GERAL 2024'!G46</f>
        <v>640</v>
      </c>
      <c r="E26" s="192">
        <v>0</v>
      </c>
      <c r="F26" s="196">
        <f>D26-E26</f>
        <v>640</v>
      </c>
      <c r="G26" s="192">
        <v>0</v>
      </c>
      <c r="H26" s="192">
        <f t="shared" si="7"/>
        <v>61.7</v>
      </c>
      <c r="I26" s="192">
        <f>'[1]GERAL 2024'!I46</f>
        <v>1.3105200945626476</v>
      </c>
      <c r="J26" s="192">
        <f>'[1]GERAL 2024'!K46</f>
        <v>0.79837470449172576</v>
      </c>
      <c r="K26" s="192">
        <v>0</v>
      </c>
      <c r="L26" s="191">
        <f t="shared" si="3"/>
        <v>703.80889479905443</v>
      </c>
      <c r="M26" s="192">
        <f t="shared" si="6"/>
        <v>49.266622635933814</v>
      </c>
      <c r="N26" s="192">
        <f t="shared" si="5"/>
        <v>654.54227216312063</v>
      </c>
      <c r="O26" s="193" t="s">
        <v>1055</v>
      </c>
      <c r="P26" s="197">
        <v>10</v>
      </c>
      <c r="Q26" s="197">
        <v>11</v>
      </c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  <c r="AQ26" s="205"/>
    </row>
    <row r="27" spans="1:48" s="206" customFormat="1" ht="15.6" customHeight="1" x14ac:dyDescent="0.3">
      <c r="A27" s="193" t="s">
        <v>1012</v>
      </c>
      <c r="B27" s="193">
        <v>19</v>
      </c>
      <c r="C27" s="193" t="s">
        <v>822</v>
      </c>
      <c r="D27" s="196">
        <f>'[1]GERAL 2024'!G44</f>
        <v>580</v>
      </c>
      <c r="E27" s="192">
        <v>0</v>
      </c>
      <c r="F27" s="196">
        <f>(D27-E27)</f>
        <v>580</v>
      </c>
      <c r="G27" s="192">
        <v>0</v>
      </c>
      <c r="H27" s="192">
        <f t="shared" si="7"/>
        <v>61.7</v>
      </c>
      <c r="I27" s="192">
        <f>'[1]GERAL 2024'!I44</f>
        <v>1.3105200945626476</v>
      </c>
      <c r="J27" s="192">
        <f>'[1]GERAL 2024'!K44</f>
        <v>0.79837470449172576</v>
      </c>
      <c r="K27" s="192">
        <v>0</v>
      </c>
      <c r="L27" s="191">
        <f t="shared" si="3"/>
        <v>643.80889479905443</v>
      </c>
      <c r="M27" s="192">
        <f t="shared" si="6"/>
        <v>45.066622635933811</v>
      </c>
      <c r="N27" s="192">
        <f t="shared" si="5"/>
        <v>598.74227216312056</v>
      </c>
      <c r="O27" s="193" t="s">
        <v>1055</v>
      </c>
      <c r="P27" s="207">
        <v>10</v>
      </c>
      <c r="Q27" s="197">
        <v>11</v>
      </c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  <c r="AQ27" s="205"/>
    </row>
    <row r="28" spans="1:48" s="206" customFormat="1" x14ac:dyDescent="0.3">
      <c r="A28" s="195" t="s">
        <v>919</v>
      </c>
      <c r="B28" s="193">
        <v>20</v>
      </c>
      <c r="C28" s="193" t="s">
        <v>917</v>
      </c>
      <c r="D28" s="196">
        <f>'[1]GERAL 2024'!G36</f>
        <v>780</v>
      </c>
      <c r="E28" s="192">
        <v>0</v>
      </c>
      <c r="F28" s="196">
        <f t="shared" ref="F28:F35" si="8">D28-E28</f>
        <v>780</v>
      </c>
      <c r="G28" s="192">
        <v>25</v>
      </c>
      <c r="H28" s="192">
        <f t="shared" si="7"/>
        <v>61.7</v>
      </c>
      <c r="I28" s="192">
        <f>'[1]GERAL 2024'!I36</f>
        <v>1.3105200945626476</v>
      </c>
      <c r="J28" s="192">
        <f>'[1]GERAL 2024'!K36</f>
        <v>0.79837470449172576</v>
      </c>
      <c r="K28" s="192">
        <v>0</v>
      </c>
      <c r="L28" s="191">
        <f t="shared" si="3"/>
        <v>868.80889479905443</v>
      </c>
      <c r="M28" s="192">
        <f t="shared" si="6"/>
        <v>60.816622635933818</v>
      </c>
      <c r="N28" s="192">
        <f t="shared" si="5"/>
        <v>807.99227216312056</v>
      </c>
      <c r="O28" s="193" t="s">
        <v>1058</v>
      </c>
      <c r="P28" s="207">
        <v>10</v>
      </c>
      <c r="Q28" s="197">
        <v>11</v>
      </c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  <c r="AQ28" s="205"/>
    </row>
    <row r="29" spans="1:48" s="206" customFormat="1" x14ac:dyDescent="0.3">
      <c r="A29" s="195" t="s">
        <v>788</v>
      </c>
      <c r="B29" s="193">
        <v>21</v>
      </c>
      <c r="C29" s="193" t="s">
        <v>822</v>
      </c>
      <c r="D29" s="196">
        <f>'[1]GERAL 2023'!G39+(2.45026%*580)</f>
        <v>594.21150799999998</v>
      </c>
      <c r="E29" s="192">
        <v>0</v>
      </c>
      <c r="F29" s="196">
        <f t="shared" si="8"/>
        <v>594.21150799999998</v>
      </c>
      <c r="G29" s="192">
        <v>25</v>
      </c>
      <c r="H29" s="192">
        <f t="shared" si="7"/>
        <v>61.7</v>
      </c>
      <c r="I29" s="192">
        <f>'[1]GERAL 2024'!I23</f>
        <v>1.3105200945626476</v>
      </c>
      <c r="J29" s="192">
        <f>'[1]GERAL 2024'!K23</f>
        <v>0.79837470449172576</v>
      </c>
      <c r="K29" s="192">
        <v>0</v>
      </c>
      <c r="L29" s="191">
        <f t="shared" si="3"/>
        <v>683.02040279905441</v>
      </c>
      <c r="M29" s="192">
        <f t="shared" si="6"/>
        <v>47.811428195933814</v>
      </c>
      <c r="N29" s="192">
        <f t="shared" si="5"/>
        <v>635.20897460312062</v>
      </c>
      <c r="O29" s="193" t="s">
        <v>1058</v>
      </c>
      <c r="P29" s="207">
        <v>10</v>
      </c>
      <c r="Q29" s="197">
        <v>11</v>
      </c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  <c r="AQ29" s="205"/>
    </row>
    <row r="30" spans="1:48" s="206" customFormat="1" x14ac:dyDescent="0.3">
      <c r="A30" s="195" t="s">
        <v>950</v>
      </c>
      <c r="B30" s="193">
        <v>22</v>
      </c>
      <c r="C30" s="193" t="s">
        <v>951</v>
      </c>
      <c r="D30" s="196">
        <f>'[1]GERAL 2024'!G38</f>
        <v>610</v>
      </c>
      <c r="E30" s="192">
        <v>0</v>
      </c>
      <c r="F30" s="196">
        <f t="shared" si="8"/>
        <v>610</v>
      </c>
      <c r="G30" s="192">
        <v>25</v>
      </c>
      <c r="H30" s="192">
        <f t="shared" si="7"/>
        <v>61.7</v>
      </c>
      <c r="I30" s="192">
        <f>'[1]GERAL 2024'!I38</f>
        <v>1.3105200945626476</v>
      </c>
      <c r="J30" s="192">
        <f>'[1]GERAL 2024'!K38</f>
        <v>0.79837470449172576</v>
      </c>
      <c r="K30" s="192">
        <v>0</v>
      </c>
      <c r="L30" s="191">
        <f t="shared" si="3"/>
        <v>698.80889479905443</v>
      </c>
      <c r="M30" s="192">
        <f>7%*L30</f>
        <v>48.916622635933813</v>
      </c>
      <c r="N30" s="192">
        <f>L30-M30</f>
        <v>649.89227216312065</v>
      </c>
      <c r="O30" s="193" t="s">
        <v>1058</v>
      </c>
      <c r="P30" s="207">
        <v>10</v>
      </c>
      <c r="Q30" s="197">
        <v>11</v>
      </c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  <c r="AQ30" s="205"/>
    </row>
    <row r="31" spans="1:48" s="206" customFormat="1" x14ac:dyDescent="0.3">
      <c r="A31" s="195" t="s">
        <v>750</v>
      </c>
      <c r="B31" s="193">
        <v>23</v>
      </c>
      <c r="C31" s="193" t="s">
        <v>827</v>
      </c>
      <c r="D31" s="196">
        <f>'[1]GERAL 2022'!G25</f>
        <v>550</v>
      </c>
      <c r="E31" s="192">
        <v>0</v>
      </c>
      <c r="F31" s="196">
        <f t="shared" si="8"/>
        <v>550</v>
      </c>
      <c r="G31" s="192">
        <v>0</v>
      </c>
      <c r="H31" s="192">
        <f t="shared" si="7"/>
        <v>61.7</v>
      </c>
      <c r="I31" s="192">
        <f>'[1]GERAL 2024'!I25</f>
        <v>1.3105200945626476</v>
      </c>
      <c r="J31" s="192">
        <f>'[1]GERAL 2024'!K25</f>
        <v>0.79837470449172576</v>
      </c>
      <c r="K31" s="192">
        <v>0</v>
      </c>
      <c r="L31" s="191">
        <f t="shared" si="3"/>
        <v>613.80889479905443</v>
      </c>
      <c r="M31" s="192">
        <f t="shared" si="6"/>
        <v>42.966622635933817</v>
      </c>
      <c r="N31" s="192">
        <f t="shared" si="5"/>
        <v>570.84227216312058</v>
      </c>
      <c r="O31" s="193" t="s">
        <v>1055</v>
      </c>
      <c r="P31" s="197">
        <v>10</v>
      </c>
      <c r="Q31" s="197">
        <v>11</v>
      </c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  <c r="AC31" s="205"/>
      <c r="AD31" s="205"/>
      <c r="AE31" s="205"/>
      <c r="AF31" s="205"/>
      <c r="AG31" s="205"/>
      <c r="AH31" s="205"/>
      <c r="AI31" s="205"/>
      <c r="AJ31" s="205"/>
      <c r="AK31" s="205"/>
      <c r="AL31" s="205"/>
      <c r="AM31" s="205"/>
      <c r="AN31" s="205"/>
      <c r="AO31" s="205"/>
      <c r="AP31" s="205"/>
      <c r="AQ31" s="205"/>
    </row>
    <row r="32" spans="1:48" s="204" customFormat="1" ht="15.6" customHeight="1" x14ac:dyDescent="0.3">
      <c r="A32" s="193"/>
      <c r="B32" s="193">
        <v>24</v>
      </c>
      <c r="C32" s="193"/>
      <c r="D32" s="196">
        <v>0</v>
      </c>
      <c r="E32" s="192">
        <v>0</v>
      </c>
      <c r="F32" s="196">
        <f>D32-E32</f>
        <v>0</v>
      </c>
      <c r="G32" s="192">
        <v>0</v>
      </c>
      <c r="H32" s="192">
        <v>0</v>
      </c>
      <c r="I32" s="192">
        <v>0</v>
      </c>
      <c r="J32" s="192">
        <v>0</v>
      </c>
      <c r="K32" s="192">
        <v>0</v>
      </c>
      <c r="L32" s="191">
        <f t="shared" si="3"/>
        <v>0</v>
      </c>
      <c r="M32" s="192">
        <f t="shared" si="6"/>
        <v>0</v>
      </c>
      <c r="N32" s="192">
        <f t="shared" si="5"/>
        <v>0</v>
      </c>
      <c r="O32" s="193" t="s">
        <v>525</v>
      </c>
      <c r="P32" s="207"/>
      <c r="Q32" s="197"/>
      <c r="R32" s="200"/>
      <c r="S32" s="200"/>
      <c r="T32" s="200"/>
      <c r="U32" s="200"/>
      <c r="V32" s="200"/>
      <c r="W32" s="200"/>
      <c r="X32" s="200"/>
      <c r="Y32" s="200"/>
      <c r="Z32" s="200"/>
    </row>
    <row r="33" spans="1:43" s="204" customFormat="1" ht="15" customHeight="1" x14ac:dyDescent="0.3">
      <c r="A33" s="206" t="s">
        <v>1007</v>
      </c>
      <c r="B33" s="193">
        <v>25</v>
      </c>
      <c r="C33" s="193" t="s">
        <v>822</v>
      </c>
      <c r="D33" s="196">
        <f>'[1]GERAL 2024'!G43</f>
        <v>640</v>
      </c>
      <c r="E33" s="192">
        <v>0</v>
      </c>
      <c r="F33" s="196">
        <f t="shared" si="8"/>
        <v>640</v>
      </c>
      <c r="G33" s="192">
        <v>25</v>
      </c>
      <c r="H33" s="192">
        <f t="shared" si="7"/>
        <v>61.7</v>
      </c>
      <c r="I33" s="192">
        <f>'[1]GERAL 2024'!I43</f>
        <v>1.3105200945626476</v>
      </c>
      <c r="J33" s="192">
        <f>'[1]GERAL 2024'!K43</f>
        <v>0.79837470449172576</v>
      </c>
      <c r="K33" s="192">
        <v>0</v>
      </c>
      <c r="L33" s="191">
        <f t="shared" si="3"/>
        <v>728.80889479905443</v>
      </c>
      <c r="M33" s="192">
        <f t="shared" si="6"/>
        <v>51.016622635933814</v>
      </c>
      <c r="N33" s="192">
        <f t="shared" si="5"/>
        <v>677.79227216312063</v>
      </c>
      <c r="O33" s="193" t="s">
        <v>1058</v>
      </c>
      <c r="P33" s="207">
        <v>10</v>
      </c>
      <c r="Q33" s="197">
        <v>11</v>
      </c>
      <c r="R33" s="200"/>
      <c r="S33" s="200"/>
      <c r="T33" s="200"/>
      <c r="U33" s="200"/>
      <c r="V33" s="200"/>
      <c r="W33" s="200"/>
      <c r="X33" s="200"/>
      <c r="Y33" s="200"/>
      <c r="Z33" s="200"/>
    </row>
    <row r="34" spans="1:43" s="206" customFormat="1" x14ac:dyDescent="0.3">
      <c r="A34" s="195" t="s">
        <v>751</v>
      </c>
      <c r="B34" s="193">
        <v>26</v>
      </c>
      <c r="C34" s="193" t="s">
        <v>827</v>
      </c>
      <c r="D34" s="196">
        <f>'[1]GERAL 2022'!G28</f>
        <v>560</v>
      </c>
      <c r="E34" s="192">
        <v>0</v>
      </c>
      <c r="F34" s="196">
        <f t="shared" si="8"/>
        <v>560</v>
      </c>
      <c r="G34" s="192">
        <v>25</v>
      </c>
      <c r="H34" s="192">
        <f t="shared" si="7"/>
        <v>61.7</v>
      </c>
      <c r="I34" s="192">
        <f>'[1]GERAL 2024'!I28</f>
        <v>1.3105200945626476</v>
      </c>
      <c r="J34" s="192">
        <f>'[1]GERAL 2024'!K29</f>
        <v>0.79837470449172576</v>
      </c>
      <c r="K34" s="192">
        <v>0</v>
      </c>
      <c r="L34" s="191">
        <f t="shared" si="3"/>
        <v>648.80889479905443</v>
      </c>
      <c r="M34" s="192">
        <f t="shared" si="6"/>
        <v>45.416622635933813</v>
      </c>
      <c r="N34" s="192">
        <f t="shared" si="5"/>
        <v>603.39227216312065</v>
      </c>
      <c r="O34" s="193" t="s">
        <v>1058</v>
      </c>
      <c r="P34" s="197">
        <v>10</v>
      </c>
      <c r="Q34" s="197">
        <v>11</v>
      </c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205"/>
    </row>
    <row r="35" spans="1:43" s="206" customFormat="1" x14ac:dyDescent="0.3">
      <c r="A35" s="195" t="s">
        <v>752</v>
      </c>
      <c r="B35" s="193">
        <v>27</v>
      </c>
      <c r="C35" s="216" t="s">
        <v>827</v>
      </c>
      <c r="D35" s="217">
        <f>'[1]GERAL 2022'!G45</f>
        <v>580</v>
      </c>
      <c r="E35" s="210">
        <v>0</v>
      </c>
      <c r="F35" s="196">
        <f t="shared" si="8"/>
        <v>580</v>
      </c>
      <c r="G35" s="210">
        <v>0</v>
      </c>
      <c r="H35" s="192">
        <f t="shared" si="7"/>
        <v>61.7</v>
      </c>
      <c r="I35" s="210">
        <f>'[1]GERAL 2024'!I29</f>
        <v>1.3105200945626476</v>
      </c>
      <c r="J35" s="192">
        <f>'[1]GERAL 2024'!K29</f>
        <v>0.79837470449172576</v>
      </c>
      <c r="K35" s="210">
        <v>0</v>
      </c>
      <c r="L35" s="191">
        <f t="shared" si="3"/>
        <v>643.80889479905443</v>
      </c>
      <c r="M35" s="192">
        <f t="shared" si="6"/>
        <v>45.066622635933811</v>
      </c>
      <c r="N35" s="192">
        <f>L35-M35</f>
        <v>598.74227216312056</v>
      </c>
      <c r="O35" s="193" t="s">
        <v>1055</v>
      </c>
      <c r="P35" s="197">
        <v>10</v>
      </c>
      <c r="Q35" s="197">
        <v>11</v>
      </c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  <c r="AQ35" s="205"/>
    </row>
    <row r="36" spans="1:43" s="206" customFormat="1" x14ac:dyDescent="0.3">
      <c r="A36" s="584" t="s">
        <v>4</v>
      </c>
      <c r="B36" s="584"/>
      <c r="C36" s="209"/>
      <c r="D36" s="191">
        <f t="shared" ref="D36:N36" si="9">SUM(D9:D35)</f>
        <v>13613.042008</v>
      </c>
      <c r="E36" s="191">
        <f t="shared" si="9"/>
        <v>0</v>
      </c>
      <c r="F36" s="191">
        <f t="shared" si="9"/>
        <v>13613.042008</v>
      </c>
      <c r="G36" s="191">
        <f t="shared" si="9"/>
        <v>450</v>
      </c>
      <c r="H36" s="191">
        <f t="shared" si="9"/>
        <v>1357.4000000000005</v>
      </c>
      <c r="I36" s="191">
        <f>SUM(I9:I35)</f>
        <v>29.879858156028369</v>
      </c>
      <c r="J36" s="191">
        <f t="shared" si="9"/>
        <v>18.202943262411349</v>
      </c>
      <c r="K36" s="191">
        <f t="shared" si="9"/>
        <v>253.25</v>
      </c>
      <c r="L36" s="191">
        <f t="shared" si="9"/>
        <v>15721.774809418443</v>
      </c>
      <c r="M36" s="191">
        <f t="shared" si="9"/>
        <v>1100.5242366592909</v>
      </c>
      <c r="N36" s="191">
        <f t="shared" si="9"/>
        <v>14621.250572759152</v>
      </c>
      <c r="O36" s="193"/>
      <c r="P36" s="197"/>
      <c r="Q36" s="197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  <c r="AQ36" s="205"/>
    </row>
    <row r="37" spans="1:43" s="11" customFormat="1" ht="28.5" customHeight="1" x14ac:dyDescent="0.3">
      <c r="A37" s="521" t="s">
        <v>1059</v>
      </c>
      <c r="B37" s="521"/>
      <c r="C37" s="521"/>
      <c r="D37" s="521"/>
      <c r="E37" s="521"/>
      <c r="F37" s="521"/>
      <c r="G37" s="521"/>
      <c r="H37" s="521"/>
      <c r="I37" s="521"/>
      <c r="J37" s="521"/>
      <c r="K37" s="521"/>
      <c r="L37" s="521"/>
      <c r="M37" s="521"/>
      <c r="N37" s="521"/>
      <c r="O37" s="521"/>
      <c r="P37" s="521"/>
      <c r="Q37" s="521"/>
      <c r="R37" s="10"/>
      <c r="S37" s="10"/>
      <c r="T37" s="10"/>
      <c r="U37" s="10"/>
      <c r="V37" s="10"/>
      <c r="W37" s="10"/>
      <c r="X37" s="10"/>
      <c r="Y37" s="10"/>
      <c r="Z37" s="10"/>
    </row>
    <row r="38" spans="1:43" s="11" customFormat="1" ht="27.75" customHeight="1" x14ac:dyDescent="0.3">
      <c r="A38" s="127" t="s">
        <v>3</v>
      </c>
      <c r="B38" s="127" t="s">
        <v>0</v>
      </c>
      <c r="C38" s="127" t="s">
        <v>821</v>
      </c>
      <c r="D38" s="128" t="s">
        <v>174</v>
      </c>
      <c r="E38" s="555" t="s">
        <v>175</v>
      </c>
      <c r="F38" s="556"/>
      <c r="G38" s="556"/>
      <c r="H38" s="556"/>
      <c r="I38" s="556"/>
      <c r="J38" s="556"/>
      <c r="K38" s="557"/>
      <c r="L38" s="128" t="s">
        <v>4</v>
      </c>
      <c r="M38" s="128" t="s">
        <v>5</v>
      </c>
      <c r="N38" s="128" t="s">
        <v>70</v>
      </c>
      <c r="O38" s="127" t="s">
        <v>59</v>
      </c>
      <c r="P38" s="130" t="s">
        <v>8</v>
      </c>
      <c r="Q38" s="130" t="s">
        <v>10</v>
      </c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spans="1:43" s="204" customFormat="1" ht="15.75" customHeight="1" x14ac:dyDescent="0.3">
      <c r="A39" s="193" t="s">
        <v>738</v>
      </c>
      <c r="B39" s="193">
        <v>19</v>
      </c>
      <c r="C39" s="193" t="s">
        <v>825</v>
      </c>
      <c r="D39" s="196">
        <v>1037</v>
      </c>
      <c r="E39" s="551" t="s">
        <v>1024</v>
      </c>
      <c r="F39" s="580"/>
      <c r="G39" s="580"/>
      <c r="H39" s="580"/>
      <c r="I39" s="580"/>
      <c r="J39" s="580"/>
      <c r="K39" s="552"/>
      <c r="L39" s="196">
        <v>317.92</v>
      </c>
      <c r="M39" s="192">
        <f>7%*L39</f>
        <v>22.254400000000004</v>
      </c>
      <c r="N39" s="192">
        <f>L39-M39</f>
        <v>295.66560000000004</v>
      </c>
      <c r="O39" s="193" t="s">
        <v>1060</v>
      </c>
      <c r="P39" s="207">
        <v>10</v>
      </c>
      <c r="Q39" s="197">
        <v>11</v>
      </c>
      <c r="R39" s="200"/>
      <c r="S39" s="200"/>
      <c r="T39" s="200"/>
      <c r="U39" s="200"/>
      <c r="V39" s="200"/>
      <c r="W39" s="200"/>
      <c r="X39" s="200"/>
      <c r="Y39" s="200"/>
      <c r="Z39" s="200"/>
    </row>
    <row r="40" spans="1:43" s="204" customFormat="1" ht="15.75" customHeight="1" x14ac:dyDescent="0.3">
      <c r="A40" s="194" t="s">
        <v>739</v>
      </c>
      <c r="B40" s="194">
        <v>10</v>
      </c>
      <c r="C40" s="194" t="s">
        <v>825</v>
      </c>
      <c r="D40" s="196">
        <f>550+50+57.1+1.31+0.8</f>
        <v>659.20999999999992</v>
      </c>
      <c r="E40" s="551" t="s">
        <v>1015</v>
      </c>
      <c r="F40" s="580"/>
      <c r="G40" s="580"/>
      <c r="H40" s="580"/>
      <c r="I40" s="580"/>
      <c r="J40" s="580"/>
      <c r="K40" s="552"/>
      <c r="L40" s="196">
        <v>750.08</v>
      </c>
      <c r="M40" s="192">
        <f>7%*L40</f>
        <v>52.505600000000008</v>
      </c>
      <c r="N40" s="192">
        <f t="shared" ref="N40:N42" si="10">L40-M40</f>
        <v>697.57440000000008</v>
      </c>
      <c r="O40" s="193" t="s">
        <v>1015</v>
      </c>
      <c r="P40" s="207">
        <v>10</v>
      </c>
      <c r="Q40" s="197">
        <v>11</v>
      </c>
      <c r="R40" s="200"/>
      <c r="S40" s="200"/>
      <c r="T40" s="200"/>
      <c r="U40" s="200"/>
      <c r="V40" s="200"/>
      <c r="W40" s="200"/>
      <c r="X40" s="200"/>
      <c r="Y40" s="200"/>
      <c r="Z40" s="200"/>
    </row>
    <row r="41" spans="1:43" s="204" customFormat="1" ht="15.6" customHeight="1" x14ac:dyDescent="0.3">
      <c r="A41" s="194" t="s">
        <v>739</v>
      </c>
      <c r="B41" s="194">
        <v>10</v>
      </c>
      <c r="C41" s="194" t="s">
        <v>825</v>
      </c>
      <c r="D41" s="196">
        <f>550+50+57.1+1.31+0.8</f>
        <v>659.20999999999992</v>
      </c>
      <c r="E41" s="551" t="s">
        <v>1050</v>
      </c>
      <c r="F41" s="580"/>
      <c r="G41" s="580"/>
      <c r="H41" s="580"/>
      <c r="I41" s="580"/>
      <c r="J41" s="580"/>
      <c r="K41" s="552"/>
      <c r="L41" s="196">
        <v>729.9</v>
      </c>
      <c r="M41" s="192">
        <f>7%*L41</f>
        <v>51.093000000000004</v>
      </c>
      <c r="N41" s="192">
        <f t="shared" si="10"/>
        <v>678.80700000000002</v>
      </c>
      <c r="O41" s="193" t="s">
        <v>1050</v>
      </c>
      <c r="P41" s="207">
        <v>10</v>
      </c>
      <c r="Q41" s="197">
        <v>11</v>
      </c>
      <c r="R41" s="200"/>
      <c r="S41" s="200"/>
      <c r="T41" s="200"/>
      <c r="U41" s="200"/>
      <c r="V41" s="200"/>
      <c r="W41" s="200"/>
      <c r="X41" s="200"/>
      <c r="Y41" s="200"/>
      <c r="Z41" s="200"/>
    </row>
    <row r="42" spans="1:43" s="204" customFormat="1" ht="15.6" customHeight="1" x14ac:dyDescent="0.3">
      <c r="A42" s="194" t="s">
        <v>929</v>
      </c>
      <c r="B42" s="194">
        <v>12</v>
      </c>
      <c r="C42" s="194" t="s">
        <v>829</v>
      </c>
      <c r="D42" s="196">
        <v>1464</v>
      </c>
      <c r="E42" s="551" t="s">
        <v>715</v>
      </c>
      <c r="F42" s="580"/>
      <c r="G42" s="580"/>
      <c r="H42" s="580"/>
      <c r="I42" s="580"/>
      <c r="J42" s="580"/>
      <c r="K42" s="552"/>
      <c r="L42" s="196">
        <v>183</v>
      </c>
      <c r="M42" s="192">
        <f>7%*L42</f>
        <v>12.81</v>
      </c>
      <c r="N42" s="192">
        <f t="shared" si="10"/>
        <v>170.19</v>
      </c>
      <c r="O42" s="193" t="s">
        <v>1061</v>
      </c>
      <c r="P42" s="207">
        <v>10</v>
      </c>
      <c r="Q42" s="197">
        <v>11</v>
      </c>
      <c r="R42" s="200"/>
      <c r="S42" s="200"/>
      <c r="T42" s="200"/>
      <c r="U42" s="200"/>
      <c r="V42" s="200"/>
      <c r="W42" s="200"/>
      <c r="X42" s="200"/>
      <c r="Y42" s="200"/>
      <c r="Z42" s="200"/>
    </row>
    <row r="43" spans="1:43" s="11" customFormat="1" x14ac:dyDescent="0.3">
      <c r="A43" s="518" t="s">
        <v>4</v>
      </c>
      <c r="B43" s="518"/>
      <c r="C43" s="518"/>
      <c r="D43" s="518"/>
      <c r="E43" s="518"/>
      <c r="F43" s="518"/>
      <c r="G43" s="518"/>
      <c r="H43" s="518"/>
      <c r="I43" s="518"/>
      <c r="J43" s="518"/>
      <c r="K43" s="518"/>
      <c r="L43" s="109">
        <f>SUM(L39:L42)</f>
        <v>1980.9</v>
      </c>
      <c r="M43" s="109">
        <f>SUM(M39:M42)</f>
        <v>138.66300000000001</v>
      </c>
      <c r="N43" s="109">
        <f>SUM(N39:N42)</f>
        <v>1842.2370000000001</v>
      </c>
      <c r="O43" s="527"/>
      <c r="P43" s="527"/>
      <c r="Q43" s="527"/>
      <c r="R43" s="10"/>
      <c r="S43" s="10"/>
      <c r="T43" s="10"/>
      <c r="U43" s="10"/>
      <c r="V43" s="10"/>
      <c r="W43" s="10"/>
      <c r="X43" s="10"/>
      <c r="Y43" s="10"/>
      <c r="Z43" s="10"/>
    </row>
    <row r="44" spans="1:43" s="11" customFormat="1" x14ac:dyDescent="0.3">
      <c r="A44" s="518"/>
      <c r="B44" s="518"/>
      <c r="C44" s="518"/>
      <c r="D44" s="518"/>
      <c r="E44" s="518"/>
      <c r="F44" s="518"/>
      <c r="G44" s="518"/>
      <c r="H44" s="518"/>
      <c r="I44" s="518"/>
      <c r="J44" s="518"/>
      <c r="K44" s="518"/>
      <c r="L44" s="518"/>
      <c r="M44" s="518"/>
      <c r="N44" s="518"/>
      <c r="O44" s="518"/>
      <c r="P44" s="109"/>
      <c r="Q44" s="109"/>
      <c r="R44" s="10"/>
      <c r="S44" s="10"/>
      <c r="T44" s="10"/>
      <c r="U44" s="10"/>
      <c r="V44" s="10"/>
      <c r="W44" s="10"/>
      <c r="X44" s="10"/>
      <c r="Y44" s="10"/>
      <c r="Z44" s="10"/>
    </row>
    <row r="45" spans="1:43" s="11" customFormat="1" ht="28.5" customHeight="1" x14ac:dyDescent="0.3">
      <c r="A45" s="521" t="s">
        <v>177</v>
      </c>
      <c r="B45" s="521"/>
      <c r="C45" s="521"/>
      <c r="D45" s="521"/>
      <c r="E45" s="521"/>
      <c r="F45" s="521"/>
      <c r="G45" s="521"/>
      <c r="H45" s="521"/>
      <c r="I45" s="521"/>
      <c r="J45" s="521"/>
      <c r="K45" s="521"/>
      <c r="L45" s="521"/>
      <c r="M45" s="521"/>
      <c r="N45" s="521"/>
      <c r="O45" s="521"/>
      <c r="P45" s="521"/>
      <c r="Q45" s="521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43" s="11" customFormat="1" ht="25.5" customHeight="1" x14ac:dyDescent="0.3">
      <c r="A46" s="126" t="s">
        <v>173</v>
      </c>
      <c r="B46" s="126" t="s">
        <v>0</v>
      </c>
      <c r="C46" s="126"/>
      <c r="D46" s="126" t="s">
        <v>174</v>
      </c>
      <c r="E46" s="521" t="s">
        <v>175</v>
      </c>
      <c r="F46" s="521"/>
      <c r="G46" s="521"/>
      <c r="H46" s="521"/>
      <c r="I46" s="521"/>
      <c r="J46" s="521"/>
      <c r="K46" s="521"/>
      <c r="L46" s="129" t="s">
        <v>4</v>
      </c>
      <c r="M46" s="128"/>
      <c r="N46" s="128"/>
      <c r="O46" s="127" t="s">
        <v>59</v>
      </c>
      <c r="P46" s="130" t="s">
        <v>8</v>
      </c>
      <c r="Q46" s="130" t="s">
        <v>10</v>
      </c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43" s="206" customFormat="1" ht="15" customHeight="1" x14ac:dyDescent="0.3">
      <c r="A47" s="194" t="s">
        <v>739</v>
      </c>
      <c r="B47" s="194">
        <v>10</v>
      </c>
      <c r="C47" s="194" t="s">
        <v>825</v>
      </c>
      <c r="D47" s="196">
        <f>550+50+57.1+1.31+0.8</f>
        <v>659.20999999999992</v>
      </c>
      <c r="E47" s="551" t="s">
        <v>1015</v>
      </c>
      <c r="F47" s="580"/>
      <c r="G47" s="580"/>
      <c r="H47" s="580"/>
      <c r="I47" s="580"/>
      <c r="J47" s="580"/>
      <c r="K47" s="580"/>
      <c r="L47" s="234">
        <f>550+50+61.7+1.31+0.8</f>
        <v>663.81</v>
      </c>
      <c r="M47" s="192"/>
      <c r="O47" s="193" t="s">
        <v>1062</v>
      </c>
      <c r="P47" s="140">
        <v>10</v>
      </c>
      <c r="Q47" s="4">
        <v>11</v>
      </c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  <c r="AC47" s="205"/>
      <c r="AD47" s="205"/>
      <c r="AE47" s="205"/>
      <c r="AF47" s="205"/>
      <c r="AG47" s="205"/>
      <c r="AH47" s="205"/>
      <c r="AI47" s="205"/>
      <c r="AJ47" s="205"/>
      <c r="AK47" s="205"/>
      <c r="AL47" s="205"/>
      <c r="AM47" s="205"/>
      <c r="AN47" s="205"/>
      <c r="AO47" s="205"/>
      <c r="AP47" s="205"/>
    </row>
    <row r="48" spans="1:43" s="69" customFormat="1" ht="15" customHeight="1" x14ac:dyDescent="0.3">
      <c r="A48" s="4" t="s">
        <v>132</v>
      </c>
      <c r="B48" s="4">
        <v>1</v>
      </c>
      <c r="C48" s="4"/>
      <c r="D48" s="5">
        <f>4977.59-1520</f>
        <v>3457.59</v>
      </c>
      <c r="E48" s="546" t="s">
        <v>284</v>
      </c>
      <c r="F48" s="547"/>
      <c r="G48" s="547"/>
      <c r="H48" s="547"/>
      <c r="I48" s="547"/>
      <c r="J48" s="547"/>
      <c r="K48" s="548"/>
      <c r="L48" s="5">
        <f>4977.59-1520</f>
        <v>3457.59</v>
      </c>
      <c r="M48" s="5"/>
      <c r="N48" s="5"/>
      <c r="O48" s="5" t="s">
        <v>510</v>
      </c>
      <c r="P48" s="140">
        <v>10</v>
      </c>
      <c r="Q48" s="4">
        <v>11</v>
      </c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</row>
    <row r="49" spans="1:61" s="11" customFormat="1" x14ac:dyDescent="0.3">
      <c r="A49" s="90" t="s">
        <v>87</v>
      </c>
      <c r="B49" s="90">
        <v>25</v>
      </c>
      <c r="C49" s="90"/>
      <c r="D49" s="5">
        <v>3013.33</v>
      </c>
      <c r="E49" s="546" t="s">
        <v>543</v>
      </c>
      <c r="F49" s="547"/>
      <c r="G49" s="547"/>
      <c r="H49" s="547"/>
      <c r="I49" s="547"/>
      <c r="J49" s="547"/>
      <c r="K49" s="548"/>
      <c r="L49" s="5">
        <v>3040.58</v>
      </c>
      <c r="M49" s="2"/>
      <c r="N49" s="2"/>
      <c r="O49" s="5" t="s">
        <v>545</v>
      </c>
      <c r="P49" s="98">
        <v>10</v>
      </c>
      <c r="Q49" s="3">
        <v>11</v>
      </c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</row>
    <row r="50" spans="1:61" s="11" customFormat="1" ht="15" customHeight="1" x14ac:dyDescent="0.3">
      <c r="A50" s="3" t="s">
        <v>894</v>
      </c>
      <c r="B50" s="90">
        <v>16</v>
      </c>
      <c r="C50" s="90" t="s">
        <v>823</v>
      </c>
      <c r="D50" s="5">
        <f>144.52+11.29+12.89+0.3+0.18+1664</f>
        <v>1833.18</v>
      </c>
      <c r="E50" s="546" t="s">
        <v>969</v>
      </c>
      <c r="F50" s="547"/>
      <c r="G50" s="547"/>
      <c r="H50" s="547"/>
      <c r="I50" s="547"/>
      <c r="J50" s="547"/>
      <c r="K50" s="548"/>
      <c r="L50" s="5">
        <f>144.52+11.29+12.89+0.3+0.18+1664</f>
        <v>1833.18</v>
      </c>
      <c r="M50" s="2"/>
      <c r="N50" s="2"/>
      <c r="O50" s="90" t="s">
        <v>969</v>
      </c>
      <c r="P50" s="98">
        <v>10</v>
      </c>
      <c r="Q50" s="3">
        <v>11</v>
      </c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</row>
    <row r="51" spans="1:61" s="206" customFormat="1" ht="15" customHeight="1" x14ac:dyDescent="0.3">
      <c r="A51" s="237" t="s">
        <v>902</v>
      </c>
      <c r="B51" s="195">
        <v>17</v>
      </c>
      <c r="C51" s="195" t="s">
        <v>823</v>
      </c>
      <c r="D51" s="196">
        <v>2080.41</v>
      </c>
      <c r="E51" s="551" t="s">
        <v>1011</v>
      </c>
      <c r="F51" s="580"/>
      <c r="G51" s="580"/>
      <c r="H51" s="580"/>
      <c r="I51" s="580"/>
      <c r="J51" s="580"/>
      <c r="K51" s="552"/>
      <c r="L51" s="196">
        <v>300</v>
      </c>
      <c r="M51" s="192"/>
      <c r="N51" s="192"/>
      <c r="O51" s="193" t="s">
        <v>1039</v>
      </c>
      <c r="P51" s="235">
        <v>10</v>
      </c>
      <c r="Q51" s="197">
        <v>11</v>
      </c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  <c r="AC51" s="205"/>
      <c r="AD51" s="205"/>
      <c r="AE51" s="205"/>
      <c r="AF51" s="205"/>
      <c r="AG51" s="205"/>
      <c r="AH51" s="205"/>
      <c r="AI51" s="205"/>
      <c r="AJ51" s="205"/>
      <c r="AK51" s="205"/>
      <c r="AL51" s="205"/>
      <c r="AM51" s="205"/>
      <c r="AN51" s="205"/>
      <c r="AO51" s="205"/>
      <c r="AP51" s="205"/>
      <c r="AQ51" s="205"/>
    </row>
    <row r="52" spans="1:61" s="206" customFormat="1" ht="15" customHeight="1" x14ac:dyDescent="0.3">
      <c r="A52" s="237" t="s">
        <v>902</v>
      </c>
      <c r="B52" s="195">
        <v>17</v>
      </c>
      <c r="C52" s="195" t="s">
        <v>823</v>
      </c>
      <c r="D52" s="196">
        <v>2080.41</v>
      </c>
      <c r="E52" s="551" t="s">
        <v>1011</v>
      </c>
      <c r="F52" s="580"/>
      <c r="G52" s="580"/>
      <c r="H52" s="580"/>
      <c r="I52" s="580"/>
      <c r="J52" s="580"/>
      <c r="K52" s="552"/>
      <c r="L52" s="196">
        <v>300</v>
      </c>
      <c r="M52" s="192"/>
      <c r="N52" s="192"/>
      <c r="O52" s="193" t="s">
        <v>1049</v>
      </c>
      <c r="P52" s="235">
        <v>10</v>
      </c>
      <c r="Q52" s="197">
        <v>11</v>
      </c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  <c r="AJ52" s="205"/>
      <c r="AK52" s="205"/>
      <c r="AL52" s="205"/>
      <c r="AM52" s="205"/>
      <c r="AN52" s="205"/>
      <c r="AO52" s="205"/>
      <c r="AP52" s="205"/>
      <c r="AQ52" s="205"/>
    </row>
    <row r="53" spans="1:61" s="40" customFormat="1" ht="15" customHeight="1" thickBot="1" x14ac:dyDescent="0.35">
      <c r="A53" s="534" t="s">
        <v>4</v>
      </c>
      <c r="B53" s="549"/>
      <c r="C53" s="549"/>
      <c r="D53" s="549"/>
      <c r="E53" s="549"/>
      <c r="F53" s="549"/>
      <c r="G53" s="549"/>
      <c r="H53" s="549"/>
      <c r="I53" s="549"/>
      <c r="J53" s="549"/>
      <c r="K53" s="535"/>
      <c r="L53" s="114">
        <f>SUM(L47:L52)</f>
        <v>9595.16</v>
      </c>
      <c r="M53" s="90"/>
      <c r="N53" s="90"/>
      <c r="O53" s="90"/>
      <c r="P53" s="90"/>
      <c r="Q53" s="9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1"/>
      <c r="AV53" s="11"/>
      <c r="AW53" s="11"/>
      <c r="AX53" s="11"/>
    </row>
    <row r="54" spans="1:61" s="19" customFormat="1" x14ac:dyDescent="0.3">
      <c r="A54" s="179"/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1"/>
      <c r="Q54" s="182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</row>
    <row r="55" spans="1:61" s="40" customFormat="1" x14ac:dyDescent="0.3">
      <c r="A55" s="585"/>
      <c r="B55" s="585"/>
      <c r="C55" s="585"/>
      <c r="D55" s="585"/>
      <c r="E55" s="585"/>
      <c r="F55" s="46"/>
      <c r="G55" s="46"/>
      <c r="H55" s="46"/>
      <c r="I55" s="46"/>
      <c r="J55" s="46"/>
      <c r="K55" s="46"/>
      <c r="L55" s="46"/>
      <c r="M55" s="46"/>
      <c r="N55" s="46"/>
      <c r="O55" s="544" t="s">
        <v>315</v>
      </c>
      <c r="P55" s="544"/>
      <c r="Q55" s="545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1"/>
      <c r="AV55" s="11"/>
      <c r="AW55" s="11"/>
      <c r="AX55" s="11"/>
    </row>
    <row r="56" spans="1:61" s="40" customFormat="1" x14ac:dyDescent="0.3">
      <c r="A56" s="206"/>
      <c r="B56" s="223"/>
      <c r="C56" s="223"/>
      <c r="D56" s="224"/>
      <c r="E56" s="223"/>
      <c r="F56" s="46"/>
      <c r="G56" s="46"/>
      <c r="H56" s="46"/>
      <c r="I56" s="11"/>
      <c r="J56" s="11"/>
      <c r="K56" s="11"/>
      <c r="L56" s="87"/>
      <c r="M56" s="87"/>
      <c r="N56" s="87"/>
      <c r="O56" s="527" t="s">
        <v>94</v>
      </c>
      <c r="P56" s="527"/>
      <c r="Q56" s="114">
        <f>M36+M43</f>
        <v>1239.1872366592909</v>
      </c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1"/>
      <c r="AV56" s="11"/>
      <c r="AW56" s="11"/>
      <c r="AX56" s="11"/>
    </row>
    <row r="57" spans="1:61" s="40" customFormat="1" x14ac:dyDescent="0.3">
      <c r="A57" s="206"/>
      <c r="B57" s="223"/>
      <c r="C57" s="223"/>
      <c r="D57" s="224"/>
      <c r="E57" s="223"/>
      <c r="F57" s="46"/>
      <c r="G57" s="46"/>
      <c r="H57" s="46"/>
      <c r="I57" s="11"/>
      <c r="J57" s="11"/>
      <c r="K57" s="11"/>
      <c r="L57" s="14"/>
      <c r="M57" s="14"/>
      <c r="N57" s="14"/>
      <c r="O57" s="518" t="s">
        <v>260</v>
      </c>
      <c r="P57" s="518"/>
      <c r="Q57" s="114">
        <f>M6</f>
        <v>0</v>
      </c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1"/>
      <c r="AV57" s="11"/>
      <c r="AW57" s="11"/>
      <c r="AX57" s="11"/>
    </row>
    <row r="58" spans="1:61" s="40" customFormat="1" x14ac:dyDescent="0.3">
      <c r="A58" s="206"/>
      <c r="B58" s="223"/>
      <c r="C58" s="223"/>
      <c r="D58" s="224"/>
      <c r="E58" s="223"/>
      <c r="F58" s="46"/>
      <c r="G58" s="46"/>
      <c r="H58" s="46"/>
      <c r="I58" s="11"/>
      <c r="J58" s="11"/>
      <c r="K58" s="11"/>
      <c r="L58" s="14"/>
      <c r="M58" s="14"/>
      <c r="N58" s="14"/>
      <c r="O58" s="520"/>
      <c r="P58" s="520"/>
      <c r="Q58" s="52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1"/>
      <c r="AV58" s="11"/>
      <c r="AW58" s="11"/>
      <c r="AX58" s="11"/>
    </row>
    <row r="59" spans="1:61" s="40" customFormat="1" x14ac:dyDescent="0.3">
      <c r="A59" s="206"/>
      <c r="B59" s="223"/>
      <c r="C59" s="223"/>
      <c r="D59" s="224"/>
      <c r="E59" s="223"/>
      <c r="F59" s="46"/>
      <c r="G59" s="46"/>
      <c r="H59" s="46"/>
      <c r="I59" s="11"/>
      <c r="J59" s="11"/>
      <c r="K59" s="11"/>
      <c r="L59" s="62"/>
      <c r="M59" s="62"/>
      <c r="N59" s="62"/>
      <c r="O59" s="520"/>
      <c r="P59" s="520"/>
      <c r="Q59" s="52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1"/>
      <c r="AV59" s="11"/>
      <c r="AW59" s="11"/>
      <c r="AX59" s="11"/>
    </row>
    <row r="60" spans="1:61" s="40" customFormat="1" ht="14.4" x14ac:dyDescent="0.3">
      <c r="A60" s="206"/>
      <c r="B60" s="223"/>
      <c r="C60" s="223"/>
      <c r="D60" s="224"/>
      <c r="E60" s="223"/>
      <c r="F60" s="46"/>
      <c r="G60" s="46"/>
      <c r="H60" s="46"/>
      <c r="I60" s="11"/>
      <c r="J60" s="11"/>
      <c r="K60" s="11"/>
      <c r="L60" s="14"/>
      <c r="M60" s="14"/>
      <c r="N60" s="14"/>
      <c r="O60" s="529" t="s">
        <v>12</v>
      </c>
      <c r="P60" s="529"/>
      <c r="Q60" s="529"/>
      <c r="R60" s="175"/>
      <c r="S60" s="178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1"/>
      <c r="AV60" s="11"/>
      <c r="AW60" s="11"/>
      <c r="AX60" s="11"/>
    </row>
    <row r="61" spans="1:61" s="11" customFormat="1" ht="15" customHeight="1" x14ac:dyDescent="0.3">
      <c r="A61" s="206"/>
      <c r="B61" s="223"/>
      <c r="C61" s="223"/>
      <c r="D61" s="224"/>
      <c r="E61" s="223"/>
      <c r="F61" s="46"/>
      <c r="G61" s="46"/>
      <c r="H61" s="46"/>
      <c r="L61" s="63"/>
      <c r="M61" s="63"/>
      <c r="N61" s="63"/>
      <c r="O61" s="581" t="s">
        <v>1063</v>
      </c>
      <c r="P61" s="582"/>
      <c r="Q61" s="2">
        <v>126.81</v>
      </c>
      <c r="R61" s="190"/>
      <c r="S61" s="178"/>
    </row>
    <row r="62" spans="1:61" s="11" customFormat="1" ht="14.4" x14ac:dyDescent="0.3">
      <c r="A62" s="206"/>
      <c r="B62" s="223"/>
      <c r="C62" s="223"/>
      <c r="D62" s="224"/>
      <c r="E62" s="223"/>
      <c r="F62" s="46"/>
      <c r="G62" s="46"/>
      <c r="H62" s="46"/>
      <c r="L62" s="14"/>
      <c r="M62" s="14"/>
      <c r="N62" s="14"/>
      <c r="O62" s="581" t="s">
        <v>1064</v>
      </c>
      <c r="P62" s="582"/>
      <c r="Q62" s="236">
        <v>126.44</v>
      </c>
      <c r="R62" s="175"/>
      <c r="S62" s="178"/>
    </row>
    <row r="63" spans="1:61" s="11" customFormat="1" ht="15" customHeight="1" x14ac:dyDescent="0.3">
      <c r="A63" s="206"/>
      <c r="B63" s="223"/>
      <c r="C63" s="223"/>
      <c r="D63" s="224"/>
      <c r="E63" s="223"/>
      <c r="F63" s="46"/>
      <c r="G63" s="46"/>
      <c r="H63" s="46"/>
      <c r="L63" s="63"/>
      <c r="M63" s="63"/>
      <c r="N63" s="63"/>
      <c r="O63" s="514" t="s">
        <v>126</v>
      </c>
      <c r="P63" s="514"/>
      <c r="Q63" s="236">
        <v>103.52</v>
      </c>
      <c r="R63" s="190"/>
      <c r="S63" s="178"/>
    </row>
    <row r="64" spans="1:61" s="11" customFormat="1" ht="14.4" x14ac:dyDescent="0.3">
      <c r="A64" s="206"/>
      <c r="B64" s="223"/>
      <c r="C64" s="223"/>
      <c r="D64" s="224"/>
      <c r="E64" s="223"/>
      <c r="F64" s="46"/>
      <c r="G64" s="46"/>
      <c r="H64" s="46"/>
      <c r="L64" s="14"/>
      <c r="M64" s="14"/>
      <c r="N64" s="14"/>
      <c r="O64" s="583" t="s">
        <v>127</v>
      </c>
      <c r="P64" s="583"/>
      <c r="Q64" s="236">
        <v>1665.9</v>
      </c>
      <c r="R64" s="222"/>
      <c r="S64" s="178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</row>
    <row r="65" spans="1:49" s="11" customFormat="1" ht="14.4" x14ac:dyDescent="0.3">
      <c r="A65" s="206"/>
      <c r="B65" s="223"/>
      <c r="C65" s="223"/>
      <c r="D65" s="224"/>
      <c r="E65" s="223"/>
      <c r="F65" s="46"/>
      <c r="G65" s="46"/>
      <c r="H65" s="46"/>
      <c r="L65" s="63"/>
      <c r="M65" s="63"/>
      <c r="N65" s="63"/>
      <c r="O65" s="563"/>
      <c r="P65" s="563"/>
      <c r="Q65" s="238"/>
      <c r="R65" s="175"/>
      <c r="S65" s="178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</row>
    <row r="66" spans="1:49" s="11" customFormat="1" ht="14.4" x14ac:dyDescent="0.3">
      <c r="A66" s="206"/>
      <c r="B66" s="223"/>
      <c r="C66" s="223"/>
      <c r="D66" s="224"/>
      <c r="E66" s="223"/>
      <c r="F66" s="46"/>
      <c r="G66" s="46"/>
      <c r="H66" s="46"/>
      <c r="L66" s="14"/>
      <c r="M66" s="14"/>
      <c r="N66" s="14"/>
      <c r="O66" s="518" t="s">
        <v>26</v>
      </c>
      <c r="P66" s="518"/>
      <c r="Q66" s="109">
        <f>SUM(Q56:Q65)</f>
        <v>3261.8572366592907</v>
      </c>
      <c r="R66" s="175"/>
      <c r="S66" s="185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</row>
    <row r="67" spans="1:49" s="11" customFormat="1" ht="14.4" x14ac:dyDescent="0.3">
      <c r="A67" s="206"/>
      <c r="B67" s="223"/>
      <c r="C67" s="223"/>
      <c r="D67" s="224"/>
      <c r="E67" s="223"/>
      <c r="F67" s="46"/>
      <c r="G67" s="46"/>
      <c r="H67" s="46"/>
      <c r="L67" s="14"/>
      <c r="M67" s="14"/>
      <c r="N67" s="14"/>
      <c r="O67" s="543"/>
      <c r="P67" s="543"/>
      <c r="Q67" s="135"/>
      <c r="R67" s="175"/>
      <c r="S67" s="185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</row>
    <row r="68" spans="1:49" s="11" customFormat="1" ht="14.4" x14ac:dyDescent="0.3">
      <c r="A68" s="206"/>
      <c r="B68" s="223"/>
      <c r="C68" s="223"/>
      <c r="D68" s="224"/>
      <c r="E68" s="223"/>
      <c r="F68" s="46"/>
      <c r="G68" s="46"/>
      <c r="H68" s="46"/>
      <c r="L68" s="63"/>
      <c r="M68" s="63"/>
      <c r="N68" s="63"/>
      <c r="O68" s="564" t="s">
        <v>11</v>
      </c>
      <c r="P68" s="565"/>
      <c r="Q68" s="153">
        <f>L6+L36+L43</f>
        <v>17702.674809418444</v>
      </c>
      <c r="R68" s="175"/>
      <c r="S68" s="178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</row>
    <row r="69" spans="1:49" s="11" customFormat="1" ht="14.4" x14ac:dyDescent="0.3">
      <c r="A69" s="206"/>
      <c r="B69" s="223"/>
      <c r="C69" s="223"/>
      <c r="D69" s="224"/>
      <c r="E69" s="223"/>
      <c r="F69" s="46"/>
      <c r="G69" s="46"/>
      <c r="H69" s="46"/>
      <c r="L69" s="14"/>
      <c r="M69" s="14"/>
      <c r="N69" s="14"/>
      <c r="O69" s="518"/>
      <c r="P69" s="518"/>
      <c r="Q69" s="519"/>
      <c r="R69" s="175"/>
      <c r="S69" s="178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</row>
    <row r="70" spans="1:49" s="11" customFormat="1" ht="15" customHeight="1" x14ac:dyDescent="0.3">
      <c r="A70" s="206"/>
      <c r="B70" s="223"/>
      <c r="C70" s="223"/>
      <c r="D70" s="224"/>
      <c r="E70" s="223"/>
      <c r="F70" s="46"/>
      <c r="G70" s="46"/>
      <c r="H70" s="46"/>
      <c r="L70" s="63"/>
      <c r="M70" s="63"/>
      <c r="N70" s="63"/>
      <c r="O70" s="513" t="s">
        <v>13</v>
      </c>
      <c r="P70" s="513"/>
      <c r="Q70" s="151">
        <f>Q68-Q66</f>
        <v>14440.817572759153</v>
      </c>
      <c r="S70" s="14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</row>
    <row r="71" spans="1:49" s="11" customFormat="1" ht="14.4" x14ac:dyDescent="0.3">
      <c r="A71" s="206"/>
      <c r="B71" s="223"/>
      <c r="C71" s="223"/>
      <c r="D71" s="224"/>
      <c r="E71" s="223"/>
      <c r="F71" s="46"/>
      <c r="G71" s="46"/>
      <c r="H71" s="46"/>
      <c r="L71" s="14"/>
      <c r="M71" s="14"/>
      <c r="N71" s="14"/>
      <c r="O71" s="124"/>
      <c r="P71" s="124"/>
      <c r="Q71" s="57"/>
      <c r="R71" s="190"/>
      <c r="S71" s="178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</row>
    <row r="72" spans="1:49" s="11" customFormat="1" ht="14.4" x14ac:dyDescent="0.3">
      <c r="A72" s="206"/>
      <c r="B72" s="223"/>
      <c r="C72" s="223"/>
      <c r="D72" s="224"/>
      <c r="E72" s="223"/>
      <c r="F72" s="46"/>
      <c r="G72" s="46"/>
      <c r="H72" s="46"/>
      <c r="L72" s="63"/>
      <c r="M72" s="63"/>
      <c r="N72" s="63"/>
      <c r="O72" s="124"/>
      <c r="P72" s="124"/>
      <c r="Q72" s="57"/>
      <c r="R72" s="175"/>
      <c r="S72" s="178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</row>
    <row r="73" spans="1:49" s="11" customFormat="1" ht="14.4" x14ac:dyDescent="0.3">
      <c r="A73" s="206"/>
      <c r="B73" s="223"/>
      <c r="C73" s="223"/>
      <c r="D73" s="224"/>
      <c r="E73" s="223"/>
      <c r="F73" s="46"/>
      <c r="G73" s="46"/>
      <c r="H73" s="46"/>
      <c r="O73" s="124"/>
      <c r="P73" s="124"/>
      <c r="Q73" s="57"/>
      <c r="R73" s="175"/>
      <c r="S73" s="178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</row>
    <row r="74" spans="1:49" s="11" customFormat="1" ht="14.4" x14ac:dyDescent="0.3">
      <c r="A74" s="206"/>
      <c r="B74" s="223"/>
      <c r="C74" s="223"/>
      <c r="D74" s="224"/>
      <c r="E74" s="223"/>
      <c r="F74" s="46"/>
      <c r="G74" s="46"/>
      <c r="H74" s="46"/>
      <c r="L74" s="63"/>
      <c r="M74" s="63"/>
      <c r="N74" s="63"/>
      <c r="O74" s="124"/>
      <c r="P74" s="124"/>
      <c r="Q74" s="57"/>
      <c r="R74" s="175"/>
      <c r="S74" s="178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</row>
    <row r="75" spans="1:49" s="11" customFormat="1" ht="14.4" x14ac:dyDescent="0.3">
      <c r="A75" s="206"/>
      <c r="B75" s="223"/>
      <c r="C75" s="223"/>
      <c r="D75" s="224"/>
      <c r="E75" s="223"/>
      <c r="F75" s="46"/>
      <c r="G75" s="46"/>
      <c r="H75" s="46"/>
      <c r="L75" s="14"/>
      <c r="M75" s="14"/>
      <c r="N75" s="14"/>
      <c r="O75" s="15"/>
      <c r="P75" s="14"/>
      <c r="Q75" s="57"/>
      <c r="R75" s="175"/>
      <c r="S75" s="185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</row>
    <row r="76" spans="1:49" s="11" customFormat="1" ht="14.4" x14ac:dyDescent="0.3">
      <c r="A76" s="206"/>
      <c r="B76" s="223"/>
      <c r="C76" s="223"/>
      <c r="D76" s="224"/>
      <c r="E76" s="223"/>
      <c r="F76" s="46"/>
      <c r="G76" s="46"/>
      <c r="H76" s="46"/>
      <c r="P76" s="15"/>
      <c r="Q76" s="57"/>
      <c r="R76" s="175"/>
      <c r="S76" s="176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</row>
    <row r="77" spans="1:49" s="11" customFormat="1" ht="14.4" x14ac:dyDescent="0.3">
      <c r="A77" s="206"/>
      <c r="B77" s="223"/>
      <c r="C77" s="223"/>
      <c r="D77" s="224"/>
      <c r="E77" s="223"/>
      <c r="F77" s="46"/>
      <c r="G77" s="46"/>
      <c r="H77" s="46"/>
      <c r="Q77" s="57"/>
      <c r="R77" s="175"/>
      <c r="S77" s="176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</row>
    <row r="78" spans="1:49" s="11" customFormat="1" ht="14.4" x14ac:dyDescent="0.3">
      <c r="A78" s="206"/>
      <c r="B78" s="223"/>
      <c r="C78" s="223"/>
      <c r="D78" s="224"/>
      <c r="E78" s="223"/>
      <c r="F78" s="46"/>
      <c r="G78" s="46"/>
      <c r="H78" s="46"/>
      <c r="O78" s="14"/>
      <c r="P78" s="14"/>
      <c r="Q78" s="57"/>
      <c r="R78" s="175"/>
      <c r="S78" s="178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</row>
    <row r="79" spans="1:49" s="11" customFormat="1" ht="14.4" x14ac:dyDescent="0.3">
      <c r="A79" s="206"/>
      <c r="B79" s="223"/>
      <c r="C79" s="223"/>
      <c r="D79" s="224"/>
      <c r="E79" s="223"/>
      <c r="F79" s="46"/>
      <c r="G79" s="46"/>
      <c r="H79" s="46"/>
      <c r="L79" s="14"/>
      <c r="M79" s="14"/>
      <c r="N79" s="14"/>
      <c r="O79" s="14"/>
      <c r="P79" s="15"/>
      <c r="Q79" s="57"/>
      <c r="R79" s="175"/>
      <c r="S79" s="178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</row>
    <row r="80" spans="1:49" s="11" customFormat="1" ht="14.4" x14ac:dyDescent="0.3">
      <c r="A80" s="206"/>
      <c r="B80" s="223"/>
      <c r="C80" s="223"/>
      <c r="D80" s="224"/>
      <c r="E80" s="223"/>
      <c r="F80" s="46"/>
      <c r="G80" s="46"/>
      <c r="H80" s="46"/>
      <c r="L80" s="15"/>
      <c r="M80" s="15"/>
      <c r="N80" s="15"/>
      <c r="O80" s="14"/>
      <c r="Q80" s="57"/>
      <c r="R80" s="175"/>
      <c r="S80" s="178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</row>
    <row r="81" spans="1:48" s="11" customFormat="1" ht="14.4" x14ac:dyDescent="0.3">
      <c r="A81" s="206"/>
      <c r="B81" s="223"/>
      <c r="C81" s="223"/>
      <c r="D81" s="224"/>
      <c r="E81" s="223"/>
      <c r="F81" s="46"/>
      <c r="G81" s="46"/>
      <c r="H81" s="46"/>
      <c r="L81" s="14"/>
      <c r="M81" s="14"/>
      <c r="N81" s="14"/>
      <c r="O81" s="14"/>
      <c r="Q81" s="57"/>
      <c r="R81" s="175"/>
      <c r="S81" s="178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</row>
    <row r="82" spans="1:48" s="11" customFormat="1" ht="14.4" x14ac:dyDescent="0.3">
      <c r="A82" s="206"/>
      <c r="B82" s="223"/>
      <c r="C82" s="223"/>
      <c r="D82" s="224"/>
      <c r="E82" s="223"/>
      <c r="F82" s="46"/>
      <c r="G82" s="46"/>
      <c r="H82" s="46"/>
      <c r="L82" s="14"/>
      <c r="M82" s="14"/>
      <c r="N82" s="14"/>
      <c r="Q82" s="57"/>
      <c r="R82" s="175"/>
      <c r="S82" s="178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</row>
    <row r="83" spans="1:48" s="11" customFormat="1" ht="14.4" x14ac:dyDescent="0.3">
      <c r="A83" s="206"/>
      <c r="B83" s="223"/>
      <c r="C83" s="223"/>
      <c r="D83" s="224"/>
      <c r="E83" s="223"/>
      <c r="F83" s="46"/>
      <c r="G83" s="46"/>
      <c r="H83" s="46"/>
      <c r="L83" s="14"/>
      <c r="M83" s="14"/>
      <c r="N83" s="14"/>
      <c r="P83" s="14"/>
      <c r="Q83" s="57"/>
      <c r="R83" s="175"/>
      <c r="S83" s="178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</row>
    <row r="84" spans="1:48" s="11" customFormat="1" x14ac:dyDescent="0.3">
      <c r="A84" s="206"/>
      <c r="B84" s="223"/>
      <c r="C84" s="223"/>
      <c r="D84" s="224"/>
      <c r="E84" s="223"/>
      <c r="F84" s="46"/>
      <c r="G84" s="46"/>
      <c r="H84" s="46"/>
      <c r="L84" s="14"/>
      <c r="M84" s="14"/>
      <c r="N84" s="14"/>
      <c r="P84" s="14"/>
      <c r="Q84" s="57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</row>
    <row r="85" spans="1:48" s="69" customFormat="1" x14ac:dyDescent="0.3">
      <c r="A85" s="206"/>
      <c r="B85" s="223"/>
      <c r="C85" s="223"/>
      <c r="D85" s="224"/>
      <c r="E85" s="223"/>
      <c r="F85" s="46"/>
      <c r="G85" s="46"/>
      <c r="H85" s="46"/>
      <c r="I85" s="11"/>
      <c r="J85" s="11"/>
      <c r="K85" s="11"/>
      <c r="L85" s="14"/>
      <c r="M85" s="14"/>
      <c r="N85" s="14"/>
      <c r="O85" s="11"/>
      <c r="P85" s="14"/>
      <c r="Q85" s="57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8" s="69" customFormat="1" x14ac:dyDescent="0.3">
      <c r="A86" s="206"/>
      <c r="B86" s="223"/>
      <c r="C86" s="223"/>
      <c r="D86" s="224"/>
      <c r="E86" s="223"/>
      <c r="F86" s="46"/>
      <c r="G86" s="46"/>
      <c r="H86" s="46"/>
      <c r="I86" s="11"/>
      <c r="J86" s="11"/>
      <c r="K86" s="11"/>
      <c r="L86" s="14"/>
      <c r="M86" s="14"/>
      <c r="N86" s="14"/>
      <c r="O86" s="11"/>
      <c r="P86" s="14"/>
      <c r="Q86" s="57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8" s="69" customFormat="1" x14ac:dyDescent="0.3">
      <c r="A87" s="206"/>
      <c r="B87" s="223"/>
      <c r="C87" s="223"/>
      <c r="D87" s="224"/>
      <c r="E87" s="223"/>
      <c r="F87" s="46"/>
      <c r="G87" s="46"/>
      <c r="H87" s="46"/>
      <c r="I87" s="11"/>
      <c r="J87" s="11"/>
      <c r="K87" s="11"/>
      <c r="L87" s="14"/>
      <c r="M87" s="14"/>
      <c r="N87" s="14"/>
      <c r="O87" s="11"/>
      <c r="P87" s="11"/>
      <c r="Q87" s="57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8" s="69" customFormat="1" x14ac:dyDescent="0.3">
      <c r="A88" s="206"/>
      <c r="B88" s="223"/>
      <c r="C88" s="223"/>
      <c r="D88" s="224"/>
      <c r="E88" s="223"/>
      <c r="F88" s="46"/>
      <c r="G88" s="46"/>
      <c r="H88" s="46"/>
      <c r="I88" s="11"/>
      <c r="J88" s="11"/>
      <c r="K88" s="11"/>
      <c r="L88" s="14"/>
      <c r="M88" s="14"/>
      <c r="N88" s="14"/>
      <c r="O88" s="11"/>
      <c r="P88" s="11"/>
      <c r="Q88" s="57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8" s="69" customFormat="1" x14ac:dyDescent="0.3">
      <c r="A89" s="206"/>
      <c r="B89" s="223"/>
      <c r="C89" s="223"/>
      <c r="D89" s="224"/>
      <c r="E89" s="223"/>
      <c r="F89" s="46"/>
      <c r="G89" s="46"/>
      <c r="H89" s="46"/>
      <c r="I89" s="11"/>
      <c r="J89" s="11"/>
      <c r="K89" s="11"/>
      <c r="L89" s="14"/>
      <c r="M89" s="14"/>
      <c r="N89" s="14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8" s="69" customFormat="1" x14ac:dyDescent="0.3">
      <c r="A90" s="206"/>
      <c r="B90" s="223"/>
      <c r="C90" s="223"/>
      <c r="D90" s="224"/>
      <c r="E90" s="223"/>
      <c r="F90" s="46"/>
      <c r="G90" s="46"/>
      <c r="H90" s="46"/>
      <c r="I90" s="11"/>
      <c r="J90" s="11"/>
      <c r="K90" s="11"/>
      <c r="L90" s="14"/>
      <c r="M90" s="14"/>
      <c r="N90" s="14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8" s="69" customFormat="1" x14ac:dyDescent="0.3">
      <c r="A91" s="206"/>
      <c r="B91" s="223"/>
      <c r="C91" s="223"/>
      <c r="D91" s="224"/>
      <c r="E91" s="223"/>
      <c r="F91" s="46"/>
      <c r="G91" s="46"/>
      <c r="H91" s="46"/>
      <c r="I91" s="11"/>
      <c r="J91" s="11"/>
      <c r="K91" s="11"/>
      <c r="L91" s="14"/>
      <c r="M91" s="14"/>
      <c r="N91" s="14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</row>
    <row r="92" spans="1:48" s="69" customFormat="1" x14ac:dyDescent="0.3">
      <c r="A92" s="206"/>
      <c r="B92" s="223"/>
      <c r="C92" s="223"/>
      <c r="D92" s="224"/>
      <c r="E92" s="223"/>
      <c r="F92" s="46"/>
      <c r="G92" s="46"/>
      <c r="H92" s="46"/>
      <c r="I92" s="11"/>
      <c r="J92" s="11"/>
      <c r="K92" s="11"/>
      <c r="L92" s="14"/>
      <c r="M92" s="14"/>
      <c r="N92" s="14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</row>
    <row r="93" spans="1:48" s="69" customFormat="1" x14ac:dyDescent="0.3">
      <c r="A93" s="206"/>
      <c r="B93" s="223"/>
      <c r="C93" s="223"/>
      <c r="D93" s="224"/>
      <c r="E93" s="223"/>
      <c r="F93" s="46"/>
      <c r="G93" s="46"/>
      <c r="H93" s="46"/>
      <c r="I93" s="11"/>
      <c r="J93" s="11"/>
      <c r="K93" s="11"/>
      <c r="L93" s="14"/>
      <c r="M93" s="14"/>
      <c r="N93" s="14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8" s="69" customFormat="1" x14ac:dyDescent="0.3">
      <c r="A94" s="206"/>
      <c r="B94" s="223"/>
      <c r="C94" s="223"/>
      <c r="D94" s="224"/>
      <c r="E94" s="223"/>
      <c r="F94" s="46"/>
      <c r="G94" s="46"/>
      <c r="H94" s="46"/>
      <c r="I94" s="11"/>
      <c r="J94" s="11"/>
      <c r="K94" s="11"/>
      <c r="L94" s="14"/>
      <c r="M94" s="14"/>
      <c r="N94" s="14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8" s="69" customFormat="1" x14ac:dyDescent="0.3">
      <c r="A95" s="206"/>
      <c r="B95" s="223"/>
      <c r="C95" s="223"/>
      <c r="D95" s="224"/>
      <c r="E95" s="223"/>
      <c r="F95" s="46"/>
      <c r="G95" s="46"/>
      <c r="H95" s="46"/>
      <c r="I95" s="11"/>
      <c r="J95" s="11"/>
      <c r="K95" s="11"/>
      <c r="L95" s="14"/>
      <c r="M95" s="14"/>
      <c r="N95" s="14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</row>
    <row r="96" spans="1:48" s="69" customFormat="1" x14ac:dyDescent="0.3">
      <c r="A96" s="206"/>
      <c r="B96" s="223"/>
      <c r="C96" s="223"/>
      <c r="D96" s="224"/>
      <c r="E96" s="223"/>
      <c r="F96" s="46"/>
      <c r="G96" s="46"/>
      <c r="H96" s="46"/>
      <c r="L96" s="142"/>
      <c r="M96" s="142"/>
      <c r="N96" s="142"/>
      <c r="O96" s="144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0" customFormat="1" x14ac:dyDescent="0.3">
      <c r="A97" s="206"/>
      <c r="B97" s="223"/>
      <c r="C97" s="223"/>
      <c r="D97" s="224"/>
      <c r="E97" s="223"/>
      <c r="F97" s="46"/>
      <c r="G97" s="46"/>
      <c r="H97" s="46"/>
      <c r="I97" s="63"/>
      <c r="J97" s="63"/>
      <c r="K97" s="63"/>
      <c r="L97" s="69"/>
      <c r="M97" s="69"/>
      <c r="N97" s="69"/>
      <c r="O97" s="144"/>
      <c r="P97" s="69"/>
      <c r="Q97" s="69"/>
    </row>
    <row r="98" spans="1:49" s="70" customFormat="1" ht="15" customHeight="1" x14ac:dyDescent="0.3">
      <c r="A98" s="206"/>
      <c r="B98" s="223"/>
      <c r="C98" s="223"/>
      <c r="D98" s="224"/>
      <c r="E98" s="223"/>
      <c r="F98" s="46"/>
      <c r="G98" s="46"/>
      <c r="H98" s="46"/>
      <c r="I98" s="11"/>
      <c r="J98" s="11"/>
      <c r="K98" s="63"/>
      <c r="L98" s="142"/>
      <c r="M98" s="142"/>
      <c r="N98" s="142"/>
      <c r="O98" s="144"/>
      <c r="P98" s="69"/>
      <c r="AW98" s="69"/>
    </row>
    <row r="99" spans="1:49" s="70" customFormat="1" x14ac:dyDescent="0.3">
      <c r="A99" s="206"/>
      <c r="B99" s="223"/>
      <c r="C99" s="223"/>
      <c r="D99" s="224"/>
      <c r="E99" s="223"/>
      <c r="F99" s="46"/>
      <c r="G99" s="46"/>
      <c r="H99" s="46"/>
      <c r="I99" s="142"/>
      <c r="J99" s="142"/>
      <c r="K99" s="142"/>
      <c r="L99" s="142"/>
      <c r="M99" s="142"/>
      <c r="N99" s="142"/>
      <c r="O99" s="144"/>
      <c r="P99" s="69"/>
      <c r="AW99" s="69"/>
    </row>
    <row r="100" spans="1:49" s="70" customFormat="1" x14ac:dyDescent="0.3">
      <c r="A100" s="206"/>
      <c r="B100" s="223"/>
      <c r="C100" s="223"/>
      <c r="D100" s="224"/>
      <c r="E100" s="223"/>
      <c r="F100" s="46"/>
      <c r="G100" s="46"/>
      <c r="H100" s="46"/>
      <c r="I100" s="11"/>
      <c r="J100" s="11"/>
      <c r="K100" s="63"/>
      <c r="L100" s="142"/>
      <c r="M100" s="142"/>
      <c r="N100" s="142"/>
      <c r="O100" s="144"/>
      <c r="P100" s="69"/>
      <c r="AW100" s="69"/>
    </row>
    <row r="101" spans="1:49" s="70" customFormat="1" x14ac:dyDescent="0.3">
      <c r="A101" s="206"/>
      <c r="B101" s="223"/>
      <c r="C101" s="223"/>
      <c r="D101" s="224"/>
      <c r="E101" s="223"/>
      <c r="F101" s="46"/>
      <c r="G101" s="46"/>
      <c r="H101" s="46"/>
      <c r="I101" s="142"/>
      <c r="J101" s="142"/>
      <c r="K101" s="142"/>
      <c r="L101" s="142"/>
      <c r="M101" s="142"/>
      <c r="N101" s="142"/>
      <c r="O101" s="144"/>
      <c r="P101" s="144"/>
      <c r="AW101" s="69"/>
    </row>
    <row r="102" spans="1:49" s="70" customFormat="1" x14ac:dyDescent="0.3">
      <c r="A102" s="206"/>
      <c r="B102" s="223"/>
      <c r="C102" s="223"/>
      <c r="D102" s="224"/>
      <c r="E102" s="223"/>
      <c r="F102" s="46"/>
      <c r="G102" s="46"/>
      <c r="H102" s="46"/>
      <c r="I102" s="11"/>
      <c r="J102" s="11"/>
      <c r="K102" s="63"/>
      <c r="L102" s="142"/>
      <c r="M102" s="142"/>
      <c r="N102" s="142"/>
      <c r="O102" s="144"/>
      <c r="P102" s="144"/>
      <c r="AW102" s="69"/>
    </row>
    <row r="103" spans="1:49" s="70" customFormat="1" x14ac:dyDescent="0.3">
      <c r="A103" s="206"/>
      <c r="B103" s="223"/>
      <c r="C103" s="223"/>
      <c r="D103" s="224"/>
      <c r="E103" s="223"/>
      <c r="F103" s="46"/>
      <c r="G103" s="46"/>
      <c r="H103" s="46"/>
      <c r="I103" s="142"/>
      <c r="J103" s="142"/>
      <c r="K103" s="142"/>
      <c r="L103" s="142"/>
      <c r="M103" s="142"/>
      <c r="N103" s="142"/>
      <c r="O103" s="144"/>
      <c r="P103" s="144"/>
      <c r="AW103" s="69"/>
    </row>
    <row r="104" spans="1:49" s="70" customFormat="1" x14ac:dyDescent="0.3">
      <c r="A104" s="206"/>
      <c r="B104" s="223"/>
      <c r="C104" s="223"/>
      <c r="D104" s="224"/>
      <c r="E104" s="223"/>
      <c r="F104" s="46"/>
      <c r="G104" s="46"/>
      <c r="H104" s="46"/>
      <c r="I104" s="11"/>
      <c r="J104" s="11"/>
      <c r="K104" s="63"/>
      <c r="L104" s="142"/>
      <c r="M104" s="142"/>
      <c r="N104" s="142"/>
      <c r="O104" s="144"/>
      <c r="P104" s="144"/>
      <c r="AW104" s="69"/>
    </row>
    <row r="105" spans="1:49" s="70" customFormat="1" x14ac:dyDescent="0.3">
      <c r="A105" s="206"/>
      <c r="B105" s="223"/>
      <c r="C105" s="223"/>
      <c r="D105" s="224"/>
      <c r="E105" s="223"/>
      <c r="F105" s="46"/>
      <c r="G105" s="46"/>
      <c r="H105" s="46"/>
      <c r="I105" s="142"/>
      <c r="J105" s="142"/>
      <c r="K105" s="142"/>
      <c r="L105" s="142"/>
      <c r="M105" s="142"/>
      <c r="N105" s="142"/>
      <c r="O105" s="144"/>
      <c r="P105" s="144"/>
      <c r="AW105" s="69"/>
    </row>
    <row r="106" spans="1:49" s="70" customFormat="1" x14ac:dyDescent="0.3">
      <c r="A106" s="206"/>
      <c r="B106" s="223"/>
      <c r="C106" s="223"/>
      <c r="D106" s="224"/>
      <c r="E106" s="223"/>
      <c r="F106" s="46"/>
      <c r="G106" s="46"/>
      <c r="H106" s="46"/>
      <c r="I106" s="11"/>
      <c r="J106" s="11"/>
      <c r="K106" s="63"/>
      <c r="L106" s="142"/>
      <c r="M106" s="142"/>
      <c r="N106" s="142"/>
      <c r="O106" s="144"/>
      <c r="P106" s="144"/>
      <c r="AW106" s="69"/>
    </row>
    <row r="107" spans="1:49" s="70" customFormat="1" x14ac:dyDescent="0.3">
      <c r="A107" s="148"/>
      <c r="B107" s="225"/>
      <c r="C107" s="225"/>
      <c r="D107" s="225"/>
      <c r="E107" s="225"/>
      <c r="F107" s="46"/>
      <c r="G107" s="46"/>
      <c r="H107" s="46"/>
      <c r="I107" s="142"/>
      <c r="J107" s="142"/>
      <c r="K107" s="142"/>
      <c r="L107" s="142"/>
      <c r="M107" s="142"/>
      <c r="N107" s="142"/>
      <c r="O107" s="144"/>
      <c r="P107" s="144"/>
      <c r="AW107" s="69"/>
    </row>
    <row r="108" spans="1:49" s="70" customFormat="1" x14ac:dyDescent="0.3">
      <c r="A108" s="69"/>
      <c r="B108" s="69"/>
      <c r="C108" s="69"/>
      <c r="D108" s="69"/>
      <c r="E108" s="69"/>
      <c r="F108" s="69"/>
      <c r="G108" s="69"/>
      <c r="H108" s="69"/>
      <c r="I108" s="142"/>
      <c r="J108" s="142"/>
      <c r="K108" s="142"/>
      <c r="L108" s="142"/>
      <c r="M108" s="142"/>
      <c r="N108" s="142"/>
      <c r="O108" s="144"/>
      <c r="P108" s="144"/>
      <c r="AW108" s="69"/>
    </row>
    <row r="109" spans="1:49" s="70" customFormat="1" x14ac:dyDescent="0.3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142"/>
      <c r="M109" s="142"/>
      <c r="N109" s="142"/>
      <c r="O109" s="144"/>
      <c r="P109" s="144"/>
      <c r="AW109" s="69"/>
    </row>
    <row r="110" spans="1:49" s="70" customFormat="1" x14ac:dyDescent="0.3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142"/>
      <c r="M110" s="142"/>
      <c r="N110" s="142"/>
      <c r="O110" s="144"/>
      <c r="P110" s="144"/>
      <c r="AW110" s="69"/>
    </row>
    <row r="111" spans="1:49" s="70" customFormat="1" x14ac:dyDescent="0.3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142"/>
      <c r="M111" s="142"/>
      <c r="N111" s="142"/>
      <c r="O111" s="144"/>
      <c r="P111" s="144"/>
      <c r="AW111" s="69"/>
    </row>
    <row r="112" spans="1:49" s="70" customFormat="1" x14ac:dyDescent="0.3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142"/>
      <c r="M112" s="142"/>
      <c r="N112" s="142"/>
      <c r="O112" s="144"/>
      <c r="P112" s="144"/>
      <c r="AW112" s="69"/>
    </row>
    <row r="113" spans="1:49" s="70" customFormat="1" x14ac:dyDescent="0.3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142"/>
      <c r="M113" s="142"/>
      <c r="N113" s="142"/>
      <c r="O113" s="144"/>
      <c r="P113" s="144"/>
      <c r="AW113" s="69"/>
    </row>
    <row r="114" spans="1:49" s="70" customFormat="1" x14ac:dyDescent="0.3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142"/>
      <c r="M114" s="142"/>
      <c r="N114" s="142"/>
      <c r="O114" s="144"/>
      <c r="P114" s="144"/>
      <c r="AW114" s="69"/>
    </row>
    <row r="115" spans="1:49" s="70" customFormat="1" x14ac:dyDescent="0.3">
      <c r="F115" s="69"/>
      <c r="G115" s="69"/>
      <c r="H115" s="69"/>
      <c r="I115" s="69"/>
      <c r="J115" s="69"/>
      <c r="K115" s="69"/>
      <c r="L115" s="142"/>
      <c r="M115" s="142"/>
      <c r="N115" s="142"/>
      <c r="O115" s="144"/>
      <c r="P115" s="144"/>
      <c r="AW115" s="69"/>
    </row>
    <row r="116" spans="1:49" s="70" customFormat="1" x14ac:dyDescent="0.3">
      <c r="I116" s="69"/>
      <c r="J116" s="69"/>
      <c r="K116" s="69"/>
      <c r="L116" s="142"/>
      <c r="M116" s="142"/>
      <c r="N116" s="142"/>
      <c r="O116" s="144"/>
      <c r="P116" s="144"/>
      <c r="AW116" s="69"/>
    </row>
    <row r="117" spans="1:49" s="70" customFormat="1" x14ac:dyDescent="0.3">
      <c r="L117" s="142"/>
      <c r="M117" s="142"/>
      <c r="N117" s="142"/>
      <c r="O117" s="144"/>
      <c r="P117" s="144"/>
      <c r="AW117" s="69"/>
    </row>
    <row r="118" spans="1:49" s="70" customFormat="1" x14ac:dyDescent="0.3">
      <c r="L118" s="142"/>
      <c r="M118" s="142"/>
      <c r="N118" s="142"/>
      <c r="O118" s="144"/>
      <c r="P118" s="144"/>
      <c r="AW118" s="69"/>
    </row>
    <row r="119" spans="1:49" s="70" customFormat="1" x14ac:dyDescent="0.3">
      <c r="L119" s="142"/>
      <c r="M119" s="142"/>
      <c r="N119" s="142"/>
      <c r="O119" s="144"/>
      <c r="P119" s="144"/>
      <c r="AW119" s="69"/>
    </row>
    <row r="120" spans="1:49" s="70" customFormat="1" x14ac:dyDescent="0.3">
      <c r="L120" s="142"/>
      <c r="M120" s="142"/>
      <c r="N120" s="142"/>
      <c r="O120" s="144"/>
      <c r="P120" s="144"/>
      <c r="AW120" s="69"/>
    </row>
    <row r="121" spans="1:49" s="70" customFormat="1" x14ac:dyDescent="0.3">
      <c r="L121" s="142"/>
      <c r="M121" s="142"/>
      <c r="N121" s="142"/>
      <c r="O121" s="144"/>
      <c r="P121" s="144"/>
      <c r="AW121" s="69"/>
    </row>
    <row r="122" spans="1:49" s="70" customFormat="1" x14ac:dyDescent="0.3">
      <c r="L122" s="142"/>
      <c r="M122" s="142"/>
      <c r="N122" s="142"/>
      <c r="O122" s="144"/>
      <c r="P122" s="144"/>
      <c r="AW122" s="69"/>
    </row>
    <row r="123" spans="1:49" s="70" customFormat="1" x14ac:dyDescent="0.3">
      <c r="L123" s="142"/>
      <c r="M123" s="142"/>
      <c r="N123" s="142"/>
      <c r="O123" s="144"/>
      <c r="P123" s="144"/>
      <c r="AW123" s="69"/>
    </row>
    <row r="124" spans="1:49" s="70" customFormat="1" x14ac:dyDescent="0.3">
      <c r="L124" s="142"/>
      <c r="M124" s="142"/>
      <c r="N124" s="142"/>
      <c r="O124" s="144"/>
      <c r="P124" s="144"/>
      <c r="AW124" s="69"/>
    </row>
    <row r="125" spans="1:49" s="70" customFormat="1" x14ac:dyDescent="0.3">
      <c r="L125" s="142"/>
      <c r="M125" s="142"/>
      <c r="N125" s="142"/>
      <c r="O125" s="144"/>
      <c r="P125" s="144"/>
      <c r="AW125" s="69"/>
    </row>
    <row r="126" spans="1:49" s="70" customFormat="1" x14ac:dyDescent="0.3">
      <c r="L126" s="142"/>
      <c r="M126" s="142"/>
      <c r="N126" s="142"/>
      <c r="O126" s="144"/>
      <c r="P126" s="144"/>
      <c r="AW126" s="69"/>
    </row>
    <row r="127" spans="1:49" s="70" customFormat="1" x14ac:dyDescent="0.3">
      <c r="L127" s="142"/>
      <c r="M127" s="142"/>
      <c r="N127" s="142"/>
      <c r="O127" s="144"/>
      <c r="P127" s="144"/>
      <c r="AW127" s="69"/>
    </row>
    <row r="128" spans="1:49" s="70" customFormat="1" x14ac:dyDescent="0.3">
      <c r="L128" s="142"/>
      <c r="M128" s="142"/>
      <c r="N128" s="142"/>
      <c r="O128" s="144"/>
      <c r="P128" s="144"/>
      <c r="AW128" s="69"/>
    </row>
    <row r="129" spans="12:49" s="70" customFormat="1" x14ac:dyDescent="0.3">
      <c r="L129" s="142"/>
      <c r="M129" s="142"/>
      <c r="N129" s="142"/>
      <c r="O129" s="144"/>
      <c r="P129" s="144"/>
      <c r="AW129" s="69"/>
    </row>
    <row r="130" spans="12:49" s="70" customFormat="1" x14ac:dyDescent="0.3">
      <c r="L130" s="142"/>
      <c r="M130" s="142"/>
      <c r="N130" s="142"/>
      <c r="O130" s="144"/>
      <c r="P130" s="144"/>
      <c r="AW130" s="69"/>
    </row>
    <row r="131" spans="12:49" s="70" customFormat="1" x14ac:dyDescent="0.3">
      <c r="L131" s="142"/>
      <c r="M131" s="142"/>
      <c r="N131" s="142"/>
      <c r="O131" s="144"/>
      <c r="P131" s="144"/>
      <c r="AW131" s="69"/>
    </row>
    <row r="132" spans="12:49" s="70" customFormat="1" x14ac:dyDescent="0.3">
      <c r="L132" s="142"/>
      <c r="M132" s="142"/>
      <c r="N132" s="142"/>
      <c r="O132" s="144"/>
      <c r="P132" s="144"/>
      <c r="AW132" s="69"/>
    </row>
    <row r="133" spans="12:49" s="70" customFormat="1" x14ac:dyDescent="0.3">
      <c r="L133" s="142"/>
      <c r="M133" s="142"/>
      <c r="N133" s="142"/>
      <c r="O133" s="144"/>
      <c r="P133" s="144"/>
      <c r="AW133" s="69"/>
    </row>
    <row r="134" spans="12:49" s="70" customFormat="1" x14ac:dyDescent="0.3">
      <c r="L134" s="142"/>
      <c r="M134" s="142"/>
      <c r="N134" s="142"/>
      <c r="O134" s="144"/>
      <c r="P134" s="144"/>
      <c r="AW134" s="69"/>
    </row>
    <row r="135" spans="12:49" s="70" customFormat="1" x14ac:dyDescent="0.3">
      <c r="L135" s="142"/>
      <c r="M135" s="142"/>
      <c r="N135" s="142"/>
      <c r="O135" s="144"/>
      <c r="P135" s="144"/>
      <c r="AW135" s="69"/>
    </row>
    <row r="136" spans="12:49" s="70" customFormat="1" x14ac:dyDescent="0.3">
      <c r="L136" s="142"/>
      <c r="M136" s="142"/>
      <c r="N136" s="142"/>
      <c r="O136" s="144"/>
      <c r="P136" s="144"/>
      <c r="AW136" s="69"/>
    </row>
    <row r="137" spans="12:49" s="70" customFormat="1" x14ac:dyDescent="0.3">
      <c r="L137" s="142"/>
      <c r="M137" s="142"/>
      <c r="N137" s="142"/>
      <c r="O137" s="144"/>
      <c r="P137" s="144"/>
      <c r="AW137" s="69"/>
    </row>
    <row r="138" spans="12:49" s="70" customFormat="1" x14ac:dyDescent="0.3">
      <c r="L138" s="142"/>
      <c r="M138" s="142"/>
      <c r="N138" s="142"/>
      <c r="O138" s="144"/>
      <c r="P138" s="144"/>
      <c r="AW138" s="69"/>
    </row>
    <row r="139" spans="12:49" s="70" customFormat="1" x14ac:dyDescent="0.3">
      <c r="L139" s="142"/>
      <c r="M139" s="142"/>
      <c r="N139" s="142"/>
      <c r="O139" s="144"/>
      <c r="P139" s="144"/>
      <c r="AW139" s="69"/>
    </row>
    <row r="140" spans="12:49" s="70" customFormat="1" x14ac:dyDescent="0.3">
      <c r="L140" s="142"/>
      <c r="M140" s="142"/>
      <c r="N140" s="142"/>
      <c r="O140" s="144"/>
      <c r="P140" s="144"/>
      <c r="AW140" s="69"/>
    </row>
    <row r="141" spans="12:49" s="70" customFormat="1" x14ac:dyDescent="0.3">
      <c r="L141" s="142"/>
      <c r="M141" s="142"/>
      <c r="N141" s="142"/>
      <c r="O141" s="144"/>
      <c r="P141" s="144"/>
      <c r="AW141" s="69"/>
    </row>
    <row r="142" spans="12:49" s="70" customFormat="1" x14ac:dyDescent="0.3">
      <c r="L142" s="142"/>
      <c r="M142" s="142"/>
      <c r="N142" s="142"/>
      <c r="O142" s="144"/>
      <c r="P142" s="144"/>
      <c r="AW142" s="69"/>
    </row>
    <row r="143" spans="12:49" s="70" customFormat="1" x14ac:dyDescent="0.3">
      <c r="L143" s="142"/>
      <c r="M143" s="142"/>
      <c r="N143" s="142"/>
      <c r="O143" s="144"/>
      <c r="P143" s="144"/>
      <c r="AW143" s="69"/>
    </row>
    <row r="144" spans="12:49" s="70" customFormat="1" x14ac:dyDescent="0.3">
      <c r="L144" s="142"/>
      <c r="M144" s="142"/>
      <c r="N144" s="142"/>
      <c r="O144" s="144"/>
      <c r="P144" s="144"/>
      <c r="AW144" s="69"/>
    </row>
    <row r="145" spans="12:49" s="70" customFormat="1" x14ac:dyDescent="0.3">
      <c r="L145" s="142"/>
      <c r="M145" s="142"/>
      <c r="N145" s="142"/>
      <c r="O145" s="144"/>
      <c r="P145" s="144"/>
      <c r="AW145" s="69"/>
    </row>
    <row r="146" spans="12:49" s="70" customFormat="1" x14ac:dyDescent="0.3">
      <c r="L146" s="142"/>
      <c r="M146" s="142"/>
      <c r="N146" s="142"/>
      <c r="O146" s="144"/>
      <c r="P146" s="144"/>
      <c r="AW146" s="69"/>
    </row>
    <row r="147" spans="12:49" s="70" customFormat="1" x14ac:dyDescent="0.3">
      <c r="L147" s="142"/>
      <c r="M147" s="142"/>
      <c r="N147" s="142"/>
      <c r="O147" s="144"/>
      <c r="P147" s="144"/>
      <c r="AW147" s="69"/>
    </row>
    <row r="148" spans="12:49" s="70" customFormat="1" x14ac:dyDescent="0.3">
      <c r="L148" s="142"/>
      <c r="M148" s="142"/>
      <c r="N148" s="142"/>
      <c r="O148" s="144"/>
      <c r="P148" s="144"/>
      <c r="AW148" s="69"/>
    </row>
    <row r="149" spans="12:49" s="70" customFormat="1" x14ac:dyDescent="0.3">
      <c r="L149" s="142"/>
      <c r="M149" s="142"/>
      <c r="N149" s="142"/>
      <c r="O149" s="144"/>
      <c r="P149" s="144"/>
      <c r="AW149" s="69"/>
    </row>
    <row r="150" spans="12:49" s="70" customFormat="1" x14ac:dyDescent="0.3">
      <c r="L150" s="142"/>
      <c r="M150" s="142"/>
      <c r="N150" s="142"/>
      <c r="O150" s="144"/>
      <c r="P150" s="144"/>
      <c r="AW150" s="69"/>
    </row>
    <row r="151" spans="12:49" s="70" customFormat="1" x14ac:dyDescent="0.3">
      <c r="L151" s="142"/>
      <c r="M151" s="142"/>
      <c r="N151" s="142"/>
      <c r="O151" s="144"/>
      <c r="P151" s="144"/>
      <c r="AW151" s="69"/>
    </row>
    <row r="152" spans="12:49" s="70" customFormat="1" x14ac:dyDescent="0.3">
      <c r="L152" s="142"/>
      <c r="M152" s="142"/>
      <c r="N152" s="142"/>
      <c r="O152" s="144"/>
      <c r="P152" s="144"/>
      <c r="AW152" s="69"/>
    </row>
    <row r="153" spans="12:49" s="70" customFormat="1" x14ac:dyDescent="0.3">
      <c r="L153" s="142"/>
      <c r="M153" s="142"/>
      <c r="N153" s="142"/>
      <c r="O153" s="144"/>
      <c r="P153" s="144"/>
      <c r="AW153" s="69"/>
    </row>
    <row r="154" spans="12:49" s="70" customFormat="1" x14ac:dyDescent="0.3">
      <c r="L154" s="142"/>
      <c r="M154" s="142"/>
      <c r="N154" s="142"/>
      <c r="O154" s="144"/>
      <c r="P154" s="144"/>
      <c r="AW154" s="69"/>
    </row>
    <row r="155" spans="12:49" s="70" customFormat="1" x14ac:dyDescent="0.3">
      <c r="L155" s="142"/>
      <c r="M155" s="142"/>
      <c r="N155" s="142"/>
      <c r="O155" s="144"/>
      <c r="P155" s="144"/>
      <c r="AW155" s="69"/>
    </row>
    <row r="156" spans="12:49" s="70" customFormat="1" x14ac:dyDescent="0.3">
      <c r="L156" s="142"/>
      <c r="M156" s="142"/>
      <c r="N156" s="142"/>
      <c r="O156" s="144"/>
      <c r="P156" s="144"/>
      <c r="AW156" s="69"/>
    </row>
    <row r="157" spans="12:49" s="70" customFormat="1" x14ac:dyDescent="0.3">
      <c r="L157" s="142"/>
      <c r="M157" s="142"/>
      <c r="N157" s="142"/>
      <c r="O157" s="144"/>
      <c r="P157" s="144"/>
      <c r="AW157" s="69"/>
    </row>
    <row r="158" spans="12:49" s="70" customFormat="1" x14ac:dyDescent="0.3">
      <c r="L158" s="142"/>
      <c r="M158" s="142"/>
      <c r="N158" s="142"/>
      <c r="O158" s="144"/>
      <c r="P158" s="144"/>
      <c r="AW158" s="69"/>
    </row>
    <row r="159" spans="12:49" s="70" customFormat="1" x14ac:dyDescent="0.3">
      <c r="L159" s="142"/>
      <c r="M159" s="142"/>
      <c r="N159" s="142"/>
      <c r="O159" s="144"/>
      <c r="P159" s="144"/>
      <c r="AW159" s="69"/>
    </row>
    <row r="160" spans="12:49" s="70" customFormat="1" x14ac:dyDescent="0.3">
      <c r="L160" s="142"/>
      <c r="M160" s="142"/>
      <c r="N160" s="142"/>
      <c r="O160" s="144"/>
      <c r="P160" s="144"/>
      <c r="AW160" s="69"/>
    </row>
    <row r="161" spans="1:50" s="70" customFormat="1" x14ac:dyDescent="0.3">
      <c r="L161" s="142"/>
      <c r="M161" s="142"/>
      <c r="N161" s="142"/>
      <c r="O161" s="144"/>
      <c r="P161" s="144"/>
      <c r="AW161" s="69"/>
    </row>
    <row r="162" spans="1:50" s="70" customFormat="1" x14ac:dyDescent="0.3">
      <c r="L162" s="142"/>
      <c r="M162" s="142"/>
      <c r="N162" s="142"/>
      <c r="O162" s="144"/>
      <c r="P162" s="144"/>
      <c r="AW162" s="69"/>
    </row>
    <row r="163" spans="1:50" s="70" customFormat="1" x14ac:dyDescent="0.3">
      <c r="L163" s="142"/>
      <c r="M163" s="142"/>
      <c r="N163" s="142"/>
      <c r="O163" s="144"/>
      <c r="P163" s="144"/>
      <c r="AW163" s="69"/>
    </row>
    <row r="164" spans="1:50" s="70" customFormat="1" x14ac:dyDescent="0.3">
      <c r="L164" s="142"/>
      <c r="M164" s="142"/>
      <c r="N164" s="142"/>
      <c r="O164" s="144"/>
      <c r="P164" s="144"/>
      <c r="AW164" s="69"/>
    </row>
    <row r="165" spans="1:50" s="70" customFormat="1" x14ac:dyDescent="0.3">
      <c r="L165" s="142"/>
      <c r="M165" s="142"/>
      <c r="N165" s="142"/>
      <c r="O165" s="144"/>
      <c r="P165" s="144"/>
      <c r="AW165" s="69"/>
    </row>
    <row r="166" spans="1:50" s="70" customFormat="1" x14ac:dyDescent="0.3">
      <c r="L166" s="142"/>
      <c r="M166" s="142"/>
      <c r="N166" s="142"/>
      <c r="O166" s="144"/>
      <c r="P166" s="144"/>
      <c r="AW166" s="69"/>
    </row>
    <row r="167" spans="1:50" s="70" customFormat="1" x14ac:dyDescent="0.3">
      <c r="L167" s="142"/>
      <c r="M167" s="142"/>
      <c r="N167" s="142"/>
      <c r="O167" s="144"/>
      <c r="P167" s="144"/>
      <c r="AW167" s="69"/>
    </row>
    <row r="168" spans="1:50" s="70" customFormat="1" x14ac:dyDescent="0.3">
      <c r="L168" s="142"/>
      <c r="M168" s="142"/>
      <c r="N168" s="142"/>
      <c r="O168" s="144"/>
      <c r="P168" s="144"/>
      <c r="AW168" s="69"/>
    </row>
    <row r="169" spans="1:50" s="70" customFormat="1" x14ac:dyDescent="0.3">
      <c r="L169" s="142"/>
      <c r="M169" s="142"/>
      <c r="N169" s="142"/>
      <c r="O169" s="144"/>
      <c r="P169" s="144"/>
      <c r="AW169" s="69"/>
    </row>
    <row r="170" spans="1:50" s="70" customFormat="1" x14ac:dyDescent="0.3">
      <c r="L170" s="142"/>
      <c r="M170" s="142"/>
      <c r="N170" s="142"/>
      <c r="O170" s="144"/>
      <c r="P170" s="144"/>
      <c r="AW170" s="69"/>
    </row>
    <row r="171" spans="1:50" s="70" customFormat="1" x14ac:dyDescent="0.3">
      <c r="L171" s="142"/>
      <c r="M171" s="142"/>
      <c r="N171" s="142"/>
      <c r="O171" s="144"/>
      <c r="P171" s="144"/>
      <c r="AW171" s="69"/>
    </row>
    <row r="172" spans="1:50" s="145" customFormat="1" x14ac:dyDescent="0.3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142"/>
      <c r="M172" s="142"/>
      <c r="N172" s="142"/>
      <c r="O172" s="144"/>
      <c r="P172" s="144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69"/>
      <c r="AX172" s="70"/>
    </row>
    <row r="173" spans="1:50" s="145" customFormat="1" x14ac:dyDescent="0.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142"/>
      <c r="M173" s="142"/>
      <c r="N173" s="142"/>
      <c r="O173" s="147"/>
      <c r="P173" s="144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69"/>
      <c r="AX173" s="70"/>
    </row>
    <row r="174" spans="1:50" s="145" customFormat="1" x14ac:dyDescent="0.3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142"/>
      <c r="M174" s="142"/>
      <c r="N174" s="142"/>
      <c r="O174" s="147"/>
      <c r="P174" s="144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69"/>
      <c r="AX174" s="70"/>
    </row>
    <row r="175" spans="1:50" s="145" customFormat="1" x14ac:dyDescent="0.3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142"/>
      <c r="M175" s="142"/>
      <c r="N175" s="142"/>
      <c r="O175" s="147"/>
      <c r="P175" s="144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69"/>
      <c r="AX175" s="70"/>
    </row>
    <row r="176" spans="1:50" s="145" customFormat="1" x14ac:dyDescent="0.3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142"/>
      <c r="M176" s="142"/>
      <c r="N176" s="142"/>
      <c r="O176" s="147"/>
      <c r="P176" s="144"/>
      <c r="Q176" s="149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69"/>
      <c r="AX176" s="70"/>
    </row>
    <row r="177" spans="1:50" s="145" customFormat="1" x14ac:dyDescent="0.3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142"/>
      <c r="M177" s="142"/>
      <c r="N177" s="142"/>
      <c r="O177" s="147"/>
      <c r="P177" s="144"/>
      <c r="Q177" s="149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69"/>
      <c r="AX177" s="70"/>
    </row>
    <row r="178" spans="1:50" s="145" customFormat="1" x14ac:dyDescent="0.3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142"/>
      <c r="M178" s="142"/>
      <c r="N178" s="142"/>
      <c r="O178" s="147"/>
      <c r="P178" s="147"/>
      <c r="Q178" s="149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69"/>
      <c r="AX178" s="70"/>
    </row>
    <row r="179" spans="1:50" s="145" customFormat="1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142"/>
      <c r="M179" s="142"/>
      <c r="N179" s="142"/>
      <c r="O179" s="147"/>
      <c r="P179" s="147"/>
      <c r="Q179" s="149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69"/>
      <c r="AX179" s="70"/>
    </row>
    <row r="180" spans="1:50" s="145" customFormat="1" x14ac:dyDescent="0.3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142"/>
      <c r="M180" s="142"/>
      <c r="N180" s="142"/>
      <c r="O180" s="147"/>
      <c r="P180" s="147"/>
      <c r="Q180" s="149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69"/>
      <c r="AX180" s="70"/>
    </row>
    <row r="181" spans="1:50" s="145" customFormat="1" x14ac:dyDescent="0.3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142"/>
      <c r="M181" s="142"/>
      <c r="N181" s="142"/>
      <c r="O181" s="147"/>
      <c r="P181" s="147"/>
      <c r="Q181" s="149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69"/>
      <c r="AX181" s="70"/>
    </row>
    <row r="182" spans="1:50" s="145" customFormat="1" x14ac:dyDescent="0.3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142"/>
      <c r="M182" s="142"/>
      <c r="N182" s="142"/>
      <c r="O182" s="147"/>
      <c r="P182" s="147"/>
      <c r="Q182" s="149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69"/>
      <c r="AX182" s="70"/>
    </row>
    <row r="183" spans="1:50" s="145" customFormat="1" x14ac:dyDescent="0.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142"/>
      <c r="M183" s="142"/>
      <c r="N183" s="142"/>
      <c r="O183" s="147"/>
      <c r="P183" s="147"/>
      <c r="Q183" s="149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69"/>
      <c r="AX183" s="70"/>
    </row>
    <row r="184" spans="1:50" s="145" customFormat="1" x14ac:dyDescent="0.3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146"/>
      <c r="M184" s="146"/>
      <c r="N184" s="146"/>
      <c r="O184" s="147"/>
      <c r="P184" s="147"/>
      <c r="Q184" s="149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69"/>
      <c r="AX184" s="70"/>
    </row>
    <row r="185" spans="1:50" s="145" customFormat="1" x14ac:dyDescent="0.3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146"/>
      <c r="M185" s="146"/>
      <c r="N185" s="146"/>
      <c r="O185" s="147"/>
      <c r="P185" s="147"/>
      <c r="Q185" s="149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69"/>
      <c r="AX185" s="70"/>
    </row>
    <row r="186" spans="1:50" s="145" customFormat="1" x14ac:dyDescent="0.3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146"/>
      <c r="M186" s="146"/>
      <c r="N186" s="146"/>
      <c r="O186" s="147"/>
      <c r="P186" s="147"/>
      <c r="Q186" s="149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69"/>
      <c r="AX186" s="70"/>
    </row>
    <row r="187" spans="1:50" s="145" customFormat="1" x14ac:dyDescent="0.3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146"/>
      <c r="M187" s="146"/>
      <c r="N187" s="146"/>
      <c r="O187" s="147"/>
      <c r="P187" s="147"/>
      <c r="Q187" s="149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69"/>
      <c r="AX187" s="70"/>
    </row>
    <row r="188" spans="1:50" s="145" customFormat="1" x14ac:dyDescent="0.3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146"/>
      <c r="M188" s="146"/>
      <c r="N188" s="146"/>
      <c r="O188" s="147"/>
      <c r="P188" s="147"/>
      <c r="Q188" s="148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69"/>
      <c r="AX188" s="70"/>
    </row>
    <row r="189" spans="1:50" x14ac:dyDescent="0.3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146"/>
      <c r="M189" s="146"/>
      <c r="N189" s="146"/>
      <c r="O189" s="147"/>
      <c r="P189" s="147"/>
      <c r="AW189" s="148"/>
      <c r="AX189" s="148"/>
    </row>
    <row r="190" spans="1:50" x14ac:dyDescent="0.3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146"/>
      <c r="M190" s="146"/>
      <c r="N190" s="146"/>
      <c r="P190" s="147"/>
      <c r="AW190" s="148"/>
      <c r="AX190" s="148"/>
    </row>
    <row r="191" spans="1:50" x14ac:dyDescent="0.3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146"/>
      <c r="M191" s="146"/>
      <c r="N191" s="146"/>
      <c r="P191" s="147"/>
      <c r="AW191" s="148"/>
      <c r="AX191" s="148"/>
    </row>
    <row r="192" spans="1:50" x14ac:dyDescent="0.3">
      <c r="A192" s="149"/>
      <c r="B192" s="149"/>
      <c r="C192" s="149"/>
      <c r="D192" s="149"/>
      <c r="E192" s="149"/>
      <c r="F192" s="70"/>
      <c r="G192" s="70"/>
      <c r="H192" s="70"/>
      <c r="I192" s="70"/>
      <c r="J192" s="70"/>
      <c r="K192" s="70"/>
      <c r="L192" s="146"/>
      <c r="M192" s="146"/>
      <c r="N192" s="146"/>
      <c r="P192" s="147"/>
      <c r="AW192" s="148"/>
      <c r="AX192" s="148"/>
    </row>
    <row r="193" spans="1:50" x14ac:dyDescent="0.3">
      <c r="A193" s="149"/>
      <c r="B193" s="149"/>
      <c r="C193" s="149"/>
      <c r="D193" s="149"/>
      <c r="E193" s="149"/>
      <c r="F193" s="149"/>
      <c r="G193" s="149"/>
      <c r="H193" s="149"/>
      <c r="I193" s="70"/>
      <c r="J193" s="70"/>
      <c r="K193" s="70"/>
      <c r="L193" s="146"/>
      <c r="M193" s="146"/>
      <c r="N193" s="146"/>
      <c r="P193" s="147"/>
      <c r="AW193" s="148"/>
      <c r="AX193" s="148"/>
    </row>
    <row r="194" spans="1:50" x14ac:dyDescent="0.3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6"/>
      <c r="M194" s="146"/>
      <c r="N194" s="146"/>
      <c r="O194" s="148"/>
      <c r="P194" s="147"/>
      <c r="AW194" s="148"/>
      <c r="AX194" s="148"/>
    </row>
    <row r="195" spans="1:50" x14ac:dyDescent="0.3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6"/>
      <c r="M195" s="146"/>
      <c r="N195" s="146"/>
      <c r="AW195" s="148"/>
      <c r="AX195" s="148"/>
    </row>
    <row r="196" spans="1:50" x14ac:dyDescent="0.3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L196" s="146"/>
      <c r="M196" s="146"/>
      <c r="N196" s="146"/>
      <c r="AW196" s="148"/>
      <c r="AX196" s="148"/>
    </row>
    <row r="197" spans="1:50" x14ac:dyDescent="0.3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L197" s="146"/>
      <c r="M197" s="146"/>
      <c r="N197" s="146"/>
      <c r="AW197" s="148"/>
      <c r="AX197" s="148"/>
    </row>
    <row r="198" spans="1:50" x14ac:dyDescent="0.3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L198" s="146"/>
      <c r="M198" s="146"/>
      <c r="N198" s="146"/>
      <c r="AW198" s="148"/>
      <c r="AX198" s="148"/>
    </row>
    <row r="199" spans="1:50" x14ac:dyDescent="0.3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L199" s="146"/>
      <c r="M199" s="146"/>
      <c r="N199" s="146"/>
      <c r="AW199" s="148"/>
      <c r="AX199" s="148"/>
    </row>
    <row r="200" spans="1:50" x14ac:dyDescent="0.3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  <c r="L200" s="146"/>
      <c r="M200" s="146"/>
      <c r="N200" s="146"/>
      <c r="AW200" s="148"/>
      <c r="AX200" s="148"/>
    </row>
    <row r="201" spans="1:50" x14ac:dyDescent="0.3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</row>
    <row r="202" spans="1:50" x14ac:dyDescent="0.3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  <c r="AP202" s="69"/>
      <c r="AQ202" s="69"/>
      <c r="AR202" s="69"/>
      <c r="AS202" s="69"/>
      <c r="AT202" s="69"/>
      <c r="AU202" s="69"/>
      <c r="AV202" s="69"/>
      <c r="AW202" s="148"/>
      <c r="AX202" s="148"/>
    </row>
    <row r="203" spans="1:50" x14ac:dyDescent="0.3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</row>
    <row r="204" spans="1:50" x14ac:dyDescent="0.3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  <c r="K204" s="149"/>
    </row>
    <row r="205" spans="1:50" x14ac:dyDescent="0.3">
      <c r="A205" s="149"/>
      <c r="B205" s="149"/>
      <c r="C205" s="149"/>
      <c r="D205" s="149"/>
      <c r="E205" s="149"/>
      <c r="F205" s="149"/>
      <c r="G205" s="149"/>
      <c r="H205" s="149"/>
      <c r="I205" s="149"/>
      <c r="J205" s="149"/>
      <c r="K205" s="149"/>
    </row>
    <row r="206" spans="1:50" x14ac:dyDescent="0.3">
      <c r="A206" s="149"/>
      <c r="B206" s="149"/>
      <c r="C206" s="149"/>
      <c r="D206" s="149"/>
      <c r="E206" s="149"/>
      <c r="F206" s="149"/>
      <c r="G206" s="149"/>
      <c r="H206" s="149"/>
      <c r="I206" s="149"/>
      <c r="J206" s="149"/>
      <c r="K206" s="149"/>
    </row>
    <row r="207" spans="1:50" x14ac:dyDescent="0.3">
      <c r="A207" s="149"/>
      <c r="B207" s="149"/>
      <c r="C207" s="149"/>
      <c r="D207" s="149"/>
      <c r="E207" s="149"/>
      <c r="F207" s="149"/>
      <c r="G207" s="149"/>
      <c r="H207" s="149"/>
      <c r="I207" s="149"/>
      <c r="J207" s="149"/>
      <c r="K207" s="149"/>
    </row>
    <row r="208" spans="1:50" x14ac:dyDescent="0.3">
      <c r="A208" s="149"/>
      <c r="B208" s="149"/>
      <c r="C208" s="149"/>
      <c r="D208" s="149"/>
      <c r="E208" s="149"/>
      <c r="F208" s="149"/>
      <c r="G208" s="149"/>
      <c r="H208" s="149"/>
      <c r="I208" s="149"/>
      <c r="J208" s="149"/>
      <c r="K208" s="149"/>
    </row>
    <row r="209" spans="6:14" x14ac:dyDescent="0.3">
      <c r="F209" s="149"/>
      <c r="G209" s="149"/>
      <c r="H209" s="149"/>
      <c r="I209" s="149"/>
      <c r="J209" s="149"/>
      <c r="K209" s="149"/>
    </row>
    <row r="210" spans="6:14" x14ac:dyDescent="0.3">
      <c r="I210" s="149"/>
      <c r="J210" s="149"/>
      <c r="K210" s="149"/>
    </row>
    <row r="214" spans="6:14" x14ac:dyDescent="0.3">
      <c r="L214" s="148"/>
      <c r="M214" s="148"/>
      <c r="N214" s="148"/>
    </row>
    <row r="1048532" spans="17:17" x14ac:dyDescent="0.3">
      <c r="Q1048532" s="57"/>
    </row>
    <row r="1048546" spans="1:61" s="70" customFormat="1" x14ac:dyDescent="0.3">
      <c r="A1048546" s="148"/>
      <c r="B1048546" s="148"/>
      <c r="C1048546" s="148"/>
      <c r="D1048546" s="148"/>
      <c r="E1048546" s="148"/>
      <c r="F1048546" s="148"/>
      <c r="G1048546" s="148"/>
      <c r="H1048546" s="148"/>
      <c r="I1048546" s="148"/>
      <c r="J1048546" s="148"/>
      <c r="K1048546" s="148"/>
      <c r="L1048546" s="150"/>
      <c r="M1048546" s="150"/>
      <c r="N1048546" s="150"/>
      <c r="O1048546" s="150"/>
      <c r="P1048546" s="150"/>
      <c r="Q1048546" s="148"/>
      <c r="AW1048546" s="69"/>
      <c r="AX1048546" s="69"/>
      <c r="AY1048546" s="148"/>
      <c r="AZ1048546" s="148"/>
      <c r="BA1048546" s="148"/>
      <c r="BB1048546" s="148"/>
      <c r="BC1048546" s="148"/>
      <c r="BD1048546" s="148"/>
      <c r="BE1048546" s="148"/>
      <c r="BF1048546" s="148"/>
      <c r="BG1048546" s="148"/>
      <c r="BH1048546" s="148"/>
      <c r="BI1048546" s="148"/>
    </row>
  </sheetData>
  <mergeCells count="39">
    <mergeCell ref="A37:Q37"/>
    <mergeCell ref="A1:Q1"/>
    <mergeCell ref="A2:Q2"/>
    <mergeCell ref="A6:B6"/>
    <mergeCell ref="A7:Q7"/>
    <mergeCell ref="A36:B36"/>
    <mergeCell ref="E48:K48"/>
    <mergeCell ref="E38:K38"/>
    <mergeCell ref="E39:K39"/>
    <mergeCell ref="E40:K40"/>
    <mergeCell ref="E41:K41"/>
    <mergeCell ref="E42:K42"/>
    <mergeCell ref="A43:K43"/>
    <mergeCell ref="O43:Q43"/>
    <mergeCell ref="A44:O44"/>
    <mergeCell ref="A45:Q45"/>
    <mergeCell ref="E46:K46"/>
    <mergeCell ref="E47:K47"/>
    <mergeCell ref="O61:P61"/>
    <mergeCell ref="E49:K49"/>
    <mergeCell ref="E50:K50"/>
    <mergeCell ref="E51:K51"/>
    <mergeCell ref="E52:K52"/>
    <mergeCell ref="A53:K53"/>
    <mergeCell ref="A55:E55"/>
    <mergeCell ref="O55:Q55"/>
    <mergeCell ref="O56:P56"/>
    <mergeCell ref="O57:P57"/>
    <mergeCell ref="O58:Q59"/>
    <mergeCell ref="O60:Q60"/>
    <mergeCell ref="O68:P68"/>
    <mergeCell ref="O69:Q69"/>
    <mergeCell ref="O70:P70"/>
    <mergeCell ref="O62:P62"/>
    <mergeCell ref="O63:P63"/>
    <mergeCell ref="O64:P64"/>
    <mergeCell ref="O65:P65"/>
    <mergeCell ref="O66:P66"/>
    <mergeCell ref="O67:P67"/>
  </mergeCells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2BCB8-E7A6-40AC-A04E-AD329310743A}">
  <dimension ref="A1:BI1048544"/>
  <sheetViews>
    <sheetView zoomScale="60" zoomScaleNormal="60" workbookViewId="0">
      <selection activeCell="G21" sqref="G21"/>
    </sheetView>
  </sheetViews>
  <sheetFormatPr defaultColWidth="9.109375" defaultRowHeight="13.8" x14ac:dyDescent="0.3"/>
  <cols>
    <col min="1" max="1" width="50.6640625" style="148" bestFit="1" customWidth="1"/>
    <col min="2" max="2" width="8.33203125" style="148" bestFit="1" customWidth="1"/>
    <col min="3" max="4" width="19" style="148" customWidth="1"/>
    <col min="5" max="5" width="17.109375" style="148" customWidth="1"/>
    <col min="6" max="6" width="19" style="148" bestFit="1" customWidth="1"/>
    <col min="7" max="7" width="16" style="148" customWidth="1"/>
    <col min="8" max="8" width="16.6640625" style="148" bestFit="1" customWidth="1"/>
    <col min="9" max="10" width="14.109375" style="148" bestFit="1" customWidth="1"/>
    <col min="11" max="11" width="15.109375" style="148" bestFit="1" customWidth="1"/>
    <col min="12" max="12" width="18.44140625" style="150" bestFit="1" customWidth="1"/>
    <col min="13" max="13" width="17.5546875" style="150" bestFit="1" customWidth="1"/>
    <col min="14" max="14" width="19" style="150" bestFit="1" customWidth="1"/>
    <col min="15" max="15" width="141.6640625" style="150" customWidth="1"/>
    <col min="16" max="16" width="12" style="150" customWidth="1"/>
    <col min="17" max="17" width="18.109375" style="148" bestFit="1" customWidth="1"/>
    <col min="18" max="19" width="13.109375" style="70" bestFit="1" customWidth="1"/>
    <col min="20" max="48" width="9.109375" style="70"/>
    <col min="49" max="50" width="9.109375" style="69"/>
    <col min="51" max="16384" width="9.109375" style="148"/>
  </cols>
  <sheetData>
    <row r="1" spans="1:43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</row>
    <row r="2" spans="1:43" s="10" customFormat="1" ht="28.5" customHeight="1" x14ac:dyDescent="0.3">
      <c r="A2" s="571" t="s">
        <v>1065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3"/>
    </row>
    <row r="3" spans="1:43" s="10" customFormat="1" ht="28.8" customHeight="1" x14ac:dyDescent="0.3">
      <c r="A3" s="83" t="s">
        <v>3</v>
      </c>
      <c r="B3" s="83" t="s">
        <v>0</v>
      </c>
      <c r="C3" s="83" t="s">
        <v>821</v>
      </c>
      <c r="D3" s="84" t="s">
        <v>1</v>
      </c>
      <c r="E3" s="84" t="s">
        <v>68</v>
      </c>
      <c r="F3" s="84" t="s">
        <v>69</v>
      </c>
      <c r="G3" s="85" t="s">
        <v>2</v>
      </c>
      <c r="H3" s="85" t="s">
        <v>592</v>
      </c>
      <c r="I3" s="84" t="s">
        <v>6</v>
      </c>
      <c r="J3" s="84" t="s">
        <v>764</v>
      </c>
      <c r="K3" s="84" t="s">
        <v>7</v>
      </c>
      <c r="L3" s="84" t="s">
        <v>4</v>
      </c>
      <c r="M3" s="84" t="s">
        <v>5</v>
      </c>
      <c r="N3" s="84" t="s">
        <v>70</v>
      </c>
      <c r="O3" s="83" t="s">
        <v>59</v>
      </c>
      <c r="P3" s="86" t="s">
        <v>8</v>
      </c>
      <c r="Q3" s="86" t="s">
        <v>10</v>
      </c>
    </row>
    <row r="4" spans="1:43" s="203" customFormat="1" ht="15.6" customHeight="1" x14ac:dyDescent="0.3">
      <c r="A4" s="195"/>
      <c r="B4" s="195"/>
      <c r="C4" s="195"/>
      <c r="D4" s="196">
        <v>0</v>
      </c>
      <c r="E4" s="192">
        <v>0</v>
      </c>
      <c r="F4" s="196">
        <f t="shared" ref="F4" si="0">D4-E4</f>
        <v>0</v>
      </c>
      <c r="G4" s="192">
        <v>0</v>
      </c>
      <c r="H4" s="192">
        <v>0</v>
      </c>
      <c r="I4" s="192">
        <v>0</v>
      </c>
      <c r="J4" s="192">
        <v>0</v>
      </c>
      <c r="K4" s="192">
        <v>0</v>
      </c>
      <c r="L4" s="191">
        <f>SUM(F4:K4)</f>
        <v>0</v>
      </c>
      <c r="M4" s="192">
        <f>60%*(F4+G4)</f>
        <v>0</v>
      </c>
      <c r="N4" s="192">
        <f>L4-M4</f>
        <v>0</v>
      </c>
      <c r="O4" s="193"/>
      <c r="P4" s="197"/>
      <c r="Q4" s="197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0"/>
      <c r="AM4" s="201"/>
      <c r="AN4" s="202"/>
      <c r="AO4" s="202"/>
      <c r="AP4" s="202"/>
      <c r="AQ4" s="202"/>
    </row>
    <row r="5" spans="1:43" s="206" customFormat="1" x14ac:dyDescent="0.3">
      <c r="A5" s="195"/>
      <c r="B5" s="193"/>
      <c r="C5" s="195"/>
      <c r="D5" s="196">
        <v>0</v>
      </c>
      <c r="E5" s="192">
        <v>0</v>
      </c>
      <c r="F5" s="196">
        <f>D5-E5</f>
        <v>0</v>
      </c>
      <c r="G5" s="192">
        <v>0</v>
      </c>
      <c r="H5" s="192">
        <v>0</v>
      </c>
      <c r="I5" s="192">
        <v>0</v>
      </c>
      <c r="J5" s="192">
        <v>0</v>
      </c>
      <c r="K5" s="192">
        <v>0</v>
      </c>
      <c r="L5" s="191">
        <f>SUM(F5:K5)</f>
        <v>0</v>
      </c>
      <c r="M5" s="192">
        <f>60%*(F5+G5)</f>
        <v>0</v>
      </c>
      <c r="N5" s="192">
        <f>L5-M5</f>
        <v>0</v>
      </c>
      <c r="O5" s="193"/>
      <c r="P5" s="197"/>
      <c r="Q5" s="197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</row>
    <row r="6" spans="1:43" s="10" customFormat="1" x14ac:dyDescent="0.3">
      <c r="A6" s="518" t="s">
        <v>4</v>
      </c>
      <c r="B6" s="518"/>
      <c r="C6" s="95"/>
      <c r="D6" s="109">
        <f t="shared" ref="D6:I6" si="1">SUM(D4:D5)</f>
        <v>0</v>
      </c>
      <c r="E6" s="109">
        <f t="shared" si="1"/>
        <v>0</v>
      </c>
      <c r="F6" s="109">
        <f t="shared" si="1"/>
        <v>0</v>
      </c>
      <c r="G6" s="109">
        <f t="shared" si="1"/>
        <v>0</v>
      </c>
      <c r="H6" s="109">
        <f t="shared" si="1"/>
        <v>0</v>
      </c>
      <c r="I6" s="109">
        <f t="shared" si="1"/>
        <v>0</v>
      </c>
      <c r="J6" s="109">
        <f>SUM(J4:J5)</f>
        <v>0</v>
      </c>
      <c r="K6" s="109">
        <f>SUM(K4:K5)</f>
        <v>0</v>
      </c>
      <c r="L6" s="109">
        <f>SUM(L4:L5)</f>
        <v>0</v>
      </c>
      <c r="M6" s="109">
        <f>SUM(M4:M5)</f>
        <v>0</v>
      </c>
      <c r="N6" s="109">
        <f>SUM(N4:N5)</f>
        <v>0</v>
      </c>
      <c r="O6" s="90"/>
      <c r="P6" s="3"/>
      <c r="Q6" s="3"/>
    </row>
    <row r="7" spans="1:43" s="10" customFormat="1" ht="28.5" customHeight="1" x14ac:dyDescent="0.3">
      <c r="A7" s="571" t="s">
        <v>1066</v>
      </c>
      <c r="B7" s="572"/>
      <c r="C7" s="572"/>
      <c r="D7" s="572"/>
      <c r="E7" s="572"/>
      <c r="F7" s="572"/>
      <c r="G7" s="572"/>
      <c r="H7" s="572"/>
      <c r="I7" s="572"/>
      <c r="J7" s="572"/>
      <c r="K7" s="572"/>
      <c r="L7" s="572"/>
      <c r="M7" s="572"/>
      <c r="N7" s="572"/>
      <c r="O7" s="572"/>
      <c r="P7" s="572"/>
      <c r="Q7" s="573"/>
    </row>
    <row r="8" spans="1:43" s="11" customFormat="1" ht="34.5" customHeight="1" x14ac:dyDescent="0.3">
      <c r="A8" s="83" t="s">
        <v>3</v>
      </c>
      <c r="B8" s="83" t="s">
        <v>0</v>
      </c>
      <c r="C8" s="83" t="s">
        <v>821</v>
      </c>
      <c r="D8" s="84" t="s">
        <v>1</v>
      </c>
      <c r="E8" s="84" t="s">
        <v>68</v>
      </c>
      <c r="F8" s="84" t="s">
        <v>69</v>
      </c>
      <c r="G8" s="85" t="s">
        <v>2</v>
      </c>
      <c r="H8" s="85" t="s">
        <v>592</v>
      </c>
      <c r="I8" s="84" t="s">
        <v>6</v>
      </c>
      <c r="J8" s="84" t="s">
        <v>764</v>
      </c>
      <c r="K8" s="84" t="s">
        <v>7</v>
      </c>
      <c r="L8" s="84" t="s">
        <v>4</v>
      </c>
      <c r="M8" s="84" t="s">
        <v>5</v>
      </c>
      <c r="N8" s="84" t="s">
        <v>70</v>
      </c>
      <c r="O8" s="83" t="s">
        <v>59</v>
      </c>
      <c r="P8" s="86" t="s">
        <v>8</v>
      </c>
      <c r="Q8" s="86" t="s">
        <v>10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</row>
    <row r="9" spans="1:43" s="199" customFormat="1" ht="16.8" customHeight="1" x14ac:dyDescent="0.3">
      <c r="A9" s="195"/>
      <c r="B9" s="193">
        <v>1</v>
      </c>
      <c r="C9" s="209"/>
      <c r="D9" s="196">
        <v>0</v>
      </c>
      <c r="E9" s="192">
        <v>0</v>
      </c>
      <c r="F9" s="192">
        <f t="shared" ref="F9:F25" si="2">D9-E9</f>
        <v>0</v>
      </c>
      <c r="G9" s="196">
        <v>0</v>
      </c>
      <c r="H9" s="192">
        <v>0</v>
      </c>
      <c r="I9" s="192">
        <v>0</v>
      </c>
      <c r="J9" s="192">
        <v>0</v>
      </c>
      <c r="K9" s="192">
        <v>0</v>
      </c>
      <c r="L9" s="191">
        <f t="shared" ref="L9:L35" si="3">SUM(F9:K9)</f>
        <v>0</v>
      </c>
      <c r="M9" s="192">
        <f>7%*L9</f>
        <v>0</v>
      </c>
      <c r="N9" s="192">
        <f>L9-M9</f>
        <v>0</v>
      </c>
      <c r="O9" s="196" t="s">
        <v>525</v>
      </c>
      <c r="P9" s="197"/>
      <c r="Q9" s="197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  <c r="AQ9" s="198"/>
    </row>
    <row r="10" spans="1:43" s="203" customFormat="1" x14ac:dyDescent="0.3">
      <c r="A10" s="193" t="s">
        <v>1004</v>
      </c>
      <c r="B10" s="194">
        <v>2</v>
      </c>
      <c r="C10" s="193" t="s">
        <v>822</v>
      </c>
      <c r="D10" s="196">
        <f>'[1]GERAL 2024'!G41</f>
        <v>610</v>
      </c>
      <c r="E10" s="196">
        <v>0</v>
      </c>
      <c r="F10" s="196">
        <f t="shared" si="2"/>
        <v>610</v>
      </c>
      <c r="G10" s="196">
        <v>0</v>
      </c>
      <c r="H10" s="192">
        <f t="shared" ref="H10:H15" si="4">(1665.9/27)</f>
        <v>61.7</v>
      </c>
      <c r="I10" s="192">
        <f>'[1]GERAL 2024'!I41</f>
        <v>1.3105200945626476</v>
      </c>
      <c r="J10" s="192">
        <f>'[1]GERAL 2024'!K41</f>
        <v>0.79837470449172576</v>
      </c>
      <c r="K10" s="196">
        <v>0</v>
      </c>
      <c r="L10" s="191">
        <f t="shared" si="3"/>
        <v>673.80889479905443</v>
      </c>
      <c r="M10" s="192">
        <f>7%*L10</f>
        <v>47.166622635933813</v>
      </c>
      <c r="N10" s="192">
        <f t="shared" ref="N10:N34" si="5">L10-M10</f>
        <v>626.64227216312065</v>
      </c>
      <c r="O10" s="193" t="s">
        <v>1067</v>
      </c>
      <c r="P10" s="197">
        <v>10</v>
      </c>
      <c r="Q10" s="197">
        <v>11</v>
      </c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0"/>
      <c r="AM10" s="201"/>
      <c r="AN10" s="202"/>
      <c r="AO10" s="202"/>
      <c r="AP10" s="202"/>
      <c r="AQ10" s="202"/>
    </row>
    <row r="11" spans="1:43" s="204" customFormat="1" x14ac:dyDescent="0.3">
      <c r="A11" s="193" t="s">
        <v>1005</v>
      </c>
      <c r="B11" s="194">
        <v>3</v>
      </c>
      <c r="C11" s="193" t="s">
        <v>822</v>
      </c>
      <c r="D11" s="196">
        <f>'[1]GERAL 2024'!G42</f>
        <v>610</v>
      </c>
      <c r="E11" s="196">
        <v>0</v>
      </c>
      <c r="F11" s="196">
        <f t="shared" si="2"/>
        <v>610</v>
      </c>
      <c r="G11" s="196">
        <v>0</v>
      </c>
      <c r="H11" s="192">
        <f t="shared" si="4"/>
        <v>61.7</v>
      </c>
      <c r="I11" s="192">
        <f>'[1]GERAL 2024'!I42</f>
        <v>1.3105200945626476</v>
      </c>
      <c r="J11" s="192">
        <f>'[1]GERAL 2024'!K42</f>
        <v>0.79837470449172576</v>
      </c>
      <c r="K11" s="196">
        <v>0</v>
      </c>
      <c r="L11" s="191">
        <f t="shared" si="3"/>
        <v>673.80889479905443</v>
      </c>
      <c r="M11" s="192">
        <f>7%*L11</f>
        <v>47.166622635933813</v>
      </c>
      <c r="N11" s="192">
        <f t="shared" si="5"/>
        <v>626.64227216312065</v>
      </c>
      <c r="O11" s="193" t="s">
        <v>1067</v>
      </c>
      <c r="P11" s="197">
        <v>10</v>
      </c>
      <c r="Q11" s="197">
        <v>11</v>
      </c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  <c r="AQ11" s="200"/>
    </row>
    <row r="12" spans="1:43" s="199" customFormat="1" x14ac:dyDescent="0.3">
      <c r="A12" s="193" t="s">
        <v>842</v>
      </c>
      <c r="B12" s="193">
        <v>4</v>
      </c>
      <c r="C12" s="193" t="s">
        <v>832</v>
      </c>
      <c r="D12" s="196">
        <f>610+(4.52806%*610)</f>
        <v>637.62116600000002</v>
      </c>
      <c r="E12" s="196">
        <v>0</v>
      </c>
      <c r="F12" s="196">
        <f t="shared" si="2"/>
        <v>637.62116600000002</v>
      </c>
      <c r="G12" s="192">
        <v>50</v>
      </c>
      <c r="H12" s="192">
        <f t="shared" si="4"/>
        <v>61.7</v>
      </c>
      <c r="I12" s="192">
        <f>'[1]GERAL 2024'!I6</f>
        <v>1.3105200945626476</v>
      </c>
      <c r="J12" s="192">
        <f>'[1]GERAL 2024'!K6</f>
        <v>0.79837470449172576</v>
      </c>
      <c r="K12" s="192">
        <v>0</v>
      </c>
      <c r="L12" s="191">
        <f t="shared" si="3"/>
        <v>751.43006079905444</v>
      </c>
      <c r="M12" s="192">
        <f>7%*L12</f>
        <v>52.600104255933815</v>
      </c>
      <c r="N12" s="192">
        <f t="shared" si="5"/>
        <v>698.8299565431206</v>
      </c>
      <c r="O12" s="193" t="s">
        <v>1068</v>
      </c>
      <c r="P12" s="197">
        <v>10</v>
      </c>
      <c r="Q12" s="194">
        <v>11</v>
      </c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</row>
    <row r="13" spans="1:43" s="199" customFormat="1" x14ac:dyDescent="0.3">
      <c r="A13" s="193" t="s">
        <v>744</v>
      </c>
      <c r="B13" s="193">
        <v>5</v>
      </c>
      <c r="C13" s="193" t="s">
        <v>823</v>
      </c>
      <c r="D13" s="196">
        <f>'[1]GERAL 2023'!G7</f>
        <v>580</v>
      </c>
      <c r="E13" s="192">
        <v>0</v>
      </c>
      <c r="F13" s="192">
        <f t="shared" si="2"/>
        <v>580</v>
      </c>
      <c r="G13" s="192">
        <f>50</f>
        <v>50</v>
      </c>
      <c r="H13" s="192">
        <f t="shared" si="4"/>
        <v>61.7</v>
      </c>
      <c r="I13" s="192">
        <f>'[1]GERAL 2024'!I7</f>
        <v>1.3105200945626476</v>
      </c>
      <c r="J13" s="192">
        <f>'[1]GERAL 2024'!K7</f>
        <v>0.79837470449172576</v>
      </c>
      <c r="K13" s="192">
        <v>0</v>
      </c>
      <c r="L13" s="191">
        <f t="shared" si="3"/>
        <v>693.80889479905443</v>
      </c>
      <c r="M13" s="192">
        <f>7%*L13</f>
        <v>48.566622635933811</v>
      </c>
      <c r="N13" s="192">
        <f t="shared" si="5"/>
        <v>645.24227216312056</v>
      </c>
      <c r="O13" s="193" t="s">
        <v>1068</v>
      </c>
      <c r="P13" s="197">
        <v>10</v>
      </c>
      <c r="Q13" s="197">
        <v>11</v>
      </c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</row>
    <row r="14" spans="1:43" s="206" customFormat="1" x14ac:dyDescent="0.3">
      <c r="A14" s="193" t="s">
        <v>745</v>
      </c>
      <c r="B14" s="193">
        <v>6</v>
      </c>
      <c r="C14" s="193" t="s">
        <v>823</v>
      </c>
      <c r="D14" s="196">
        <f>'[1]GERAL 2023'!G8</f>
        <v>680</v>
      </c>
      <c r="E14" s="196">
        <v>0</v>
      </c>
      <c r="F14" s="192">
        <f t="shared" si="2"/>
        <v>680</v>
      </c>
      <c r="G14" s="192">
        <v>50</v>
      </c>
      <c r="H14" s="192">
        <f t="shared" si="4"/>
        <v>61.7</v>
      </c>
      <c r="I14" s="192">
        <f>'[1]GERAL 2024'!I8</f>
        <v>1.8347281323877069</v>
      </c>
      <c r="J14" s="192">
        <f>'[1]GERAL 2024'!K8</f>
        <v>1.1177245862884162</v>
      </c>
      <c r="K14" s="192">
        <v>0</v>
      </c>
      <c r="L14" s="191">
        <f t="shared" si="3"/>
        <v>794.65245271867616</v>
      </c>
      <c r="M14" s="192">
        <f t="shared" ref="M14:M35" si="6">7%*L14</f>
        <v>55.625671690307335</v>
      </c>
      <c r="N14" s="192">
        <f>L14-M14</f>
        <v>739.02678102836887</v>
      </c>
      <c r="O14" s="193" t="s">
        <v>1068</v>
      </c>
      <c r="P14" s="197">
        <v>10</v>
      </c>
      <c r="Q14" s="197">
        <v>11</v>
      </c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  <c r="AQ14" s="205"/>
    </row>
    <row r="15" spans="1:43" s="199" customFormat="1" x14ac:dyDescent="0.3">
      <c r="A15" s="193" t="s">
        <v>791</v>
      </c>
      <c r="B15" s="193">
        <v>7</v>
      </c>
      <c r="C15" s="193" t="s">
        <v>822</v>
      </c>
      <c r="D15" s="196">
        <f>'[1]GERAL 2023'!G35+(2.45026%*610)</f>
        <v>624.94658600000002</v>
      </c>
      <c r="E15" s="192">
        <v>0</v>
      </c>
      <c r="F15" s="196">
        <f t="shared" si="2"/>
        <v>624.94658600000002</v>
      </c>
      <c r="G15" s="192">
        <v>50</v>
      </c>
      <c r="H15" s="192">
        <f t="shared" si="4"/>
        <v>61.7</v>
      </c>
      <c r="I15" s="192">
        <f>'[1]GERAL 2024'!I9</f>
        <v>1.3105200945626476</v>
      </c>
      <c r="J15" s="192">
        <f>'[1]GERAL 2024'!K9</f>
        <v>0.79837470449172576</v>
      </c>
      <c r="K15" s="192">
        <v>0</v>
      </c>
      <c r="L15" s="191">
        <f t="shared" si="3"/>
        <v>738.75548079905445</v>
      </c>
      <c r="M15" s="192">
        <f t="shared" si="6"/>
        <v>51.712883655933815</v>
      </c>
      <c r="N15" s="192">
        <f t="shared" si="5"/>
        <v>687.04259714312059</v>
      </c>
      <c r="O15" s="193" t="s">
        <v>1068</v>
      </c>
      <c r="P15" s="197">
        <v>10</v>
      </c>
      <c r="Q15" s="197">
        <v>11</v>
      </c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</row>
    <row r="16" spans="1:43" s="199" customFormat="1" x14ac:dyDescent="0.3">
      <c r="A16" s="193"/>
      <c r="B16" s="193">
        <v>8</v>
      </c>
      <c r="C16" s="193"/>
      <c r="D16" s="196">
        <v>0</v>
      </c>
      <c r="E16" s="192">
        <v>0</v>
      </c>
      <c r="F16" s="196">
        <f t="shared" si="2"/>
        <v>0</v>
      </c>
      <c r="G16" s="192">
        <v>0</v>
      </c>
      <c r="H16" s="192">
        <v>0</v>
      </c>
      <c r="I16" s="192">
        <v>0</v>
      </c>
      <c r="J16" s="192">
        <v>0</v>
      </c>
      <c r="K16" s="192">
        <v>0</v>
      </c>
      <c r="L16" s="191">
        <f t="shared" si="3"/>
        <v>0</v>
      </c>
      <c r="M16" s="192">
        <f>7%*L16</f>
        <v>0</v>
      </c>
      <c r="N16" s="192">
        <f>L16-M16</f>
        <v>0</v>
      </c>
      <c r="O16" s="193" t="s">
        <v>525</v>
      </c>
      <c r="P16" s="207"/>
      <c r="Q16" s="197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  <c r="AQ16" s="198"/>
    </row>
    <row r="17" spans="1:48" s="199" customFormat="1" x14ac:dyDescent="0.3">
      <c r="A17" s="193" t="s">
        <v>852</v>
      </c>
      <c r="B17" s="193">
        <v>9</v>
      </c>
      <c r="C17" s="209" t="s">
        <v>828</v>
      </c>
      <c r="D17" s="196">
        <f>640+(5.59268%*640)</f>
        <v>675.79315199999996</v>
      </c>
      <c r="E17" s="192">
        <v>0</v>
      </c>
      <c r="F17" s="196">
        <f t="shared" si="2"/>
        <v>675.79315199999996</v>
      </c>
      <c r="G17" s="192">
        <v>0</v>
      </c>
      <c r="H17" s="192">
        <f>(1665.9/27)</f>
        <v>61.7</v>
      </c>
      <c r="I17" s="192">
        <f>'[1]GERAL 2024'!I11</f>
        <v>1.3105200945626476</v>
      </c>
      <c r="J17" s="192">
        <f>'[1]GERAL 2024'!K11</f>
        <v>0.79837470449172576</v>
      </c>
      <c r="K17" s="192">
        <v>127.18</v>
      </c>
      <c r="L17" s="191">
        <f t="shared" si="3"/>
        <v>866.78204679905434</v>
      </c>
      <c r="M17" s="192">
        <f>7%*L17</f>
        <v>60.674743275933807</v>
      </c>
      <c r="N17" s="192">
        <f>L17-M17</f>
        <v>806.10730352312055</v>
      </c>
      <c r="O17" s="193" t="s">
        <v>1069</v>
      </c>
      <c r="P17" s="207">
        <v>10</v>
      </c>
      <c r="Q17" s="197">
        <v>11</v>
      </c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  <c r="AQ17" s="198"/>
    </row>
    <row r="18" spans="1:48" s="148" customFormat="1" x14ac:dyDescent="0.3">
      <c r="A18" s="194" t="s">
        <v>739</v>
      </c>
      <c r="B18" s="194">
        <v>10</v>
      </c>
      <c r="C18" s="194" t="s">
        <v>825</v>
      </c>
      <c r="D18" s="196">
        <v>0</v>
      </c>
      <c r="E18" s="192">
        <v>0</v>
      </c>
      <c r="F18" s="196">
        <f t="shared" si="2"/>
        <v>0</v>
      </c>
      <c r="G18" s="192">
        <v>0</v>
      </c>
      <c r="H18" s="192">
        <v>0</v>
      </c>
      <c r="I18" s="192">
        <v>0</v>
      </c>
      <c r="J18" s="192">
        <v>0</v>
      </c>
      <c r="K18" s="192">
        <v>0</v>
      </c>
      <c r="L18" s="191">
        <f t="shared" si="3"/>
        <v>0</v>
      </c>
      <c r="M18" s="192">
        <f t="shared" si="6"/>
        <v>0</v>
      </c>
      <c r="N18" s="192">
        <f t="shared" si="5"/>
        <v>0</v>
      </c>
      <c r="O18" s="193" t="s">
        <v>179</v>
      </c>
      <c r="P18" s="197">
        <v>10</v>
      </c>
      <c r="Q18" s="194">
        <v>11</v>
      </c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  <c r="AI18" s="208"/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  <c r="AT18" s="208"/>
      <c r="AU18" s="208"/>
      <c r="AV18" s="208"/>
    </row>
    <row r="19" spans="1:48" s="148" customFormat="1" ht="15.6" customHeight="1" x14ac:dyDescent="0.3">
      <c r="A19" s="194" t="s">
        <v>965</v>
      </c>
      <c r="B19" s="194">
        <v>11</v>
      </c>
      <c r="C19" s="194" t="s">
        <v>827</v>
      </c>
      <c r="D19" s="192">
        <f>'[1]GERAL 2024'!G39</f>
        <v>610</v>
      </c>
      <c r="E19" s="192">
        <v>0</v>
      </c>
      <c r="F19" s="196">
        <f t="shared" si="2"/>
        <v>610</v>
      </c>
      <c r="G19" s="192">
        <v>0</v>
      </c>
      <c r="H19" s="192">
        <f t="shared" ref="H19:H35" si="7">(1665.9/27)</f>
        <v>61.7</v>
      </c>
      <c r="I19" s="192">
        <f>'[1]GERAL 2024'!I39</f>
        <v>1.3105200945626476</v>
      </c>
      <c r="J19" s="192">
        <f>'[1]GERAL 2024'!K39</f>
        <v>0.79837470449172576</v>
      </c>
      <c r="K19" s="192">
        <v>0</v>
      </c>
      <c r="L19" s="191">
        <f t="shared" si="3"/>
        <v>673.80889479905443</v>
      </c>
      <c r="M19" s="192">
        <f>7%*L19</f>
        <v>47.166622635933813</v>
      </c>
      <c r="N19" s="192">
        <f t="shared" si="5"/>
        <v>626.64227216312065</v>
      </c>
      <c r="O19" s="193" t="s">
        <v>1067</v>
      </c>
      <c r="P19" s="197">
        <v>10</v>
      </c>
      <c r="Q19" s="194">
        <v>11</v>
      </c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8"/>
      <c r="AR19" s="208"/>
      <c r="AS19" s="208"/>
      <c r="AT19" s="208"/>
      <c r="AU19" s="208"/>
      <c r="AV19" s="208"/>
    </row>
    <row r="20" spans="1:48" s="199" customFormat="1" x14ac:dyDescent="0.3">
      <c r="A20" s="193"/>
      <c r="B20" s="193">
        <v>12</v>
      </c>
      <c r="C20" s="193"/>
      <c r="D20" s="196">
        <v>0</v>
      </c>
      <c r="E20" s="192">
        <v>0</v>
      </c>
      <c r="F20" s="196">
        <f t="shared" si="2"/>
        <v>0</v>
      </c>
      <c r="G20" s="196">
        <v>0</v>
      </c>
      <c r="H20" s="192">
        <v>0</v>
      </c>
      <c r="I20" s="192">
        <v>0</v>
      </c>
      <c r="J20" s="192">
        <v>0</v>
      </c>
      <c r="K20" s="196">
        <v>0</v>
      </c>
      <c r="L20" s="191">
        <f t="shared" si="3"/>
        <v>0</v>
      </c>
      <c r="M20" s="192">
        <f t="shared" si="6"/>
        <v>0</v>
      </c>
      <c r="N20" s="192">
        <f t="shared" si="5"/>
        <v>0</v>
      </c>
      <c r="O20" s="193" t="s">
        <v>525</v>
      </c>
      <c r="P20" s="197"/>
      <c r="Q20" s="197"/>
      <c r="R20" s="198"/>
      <c r="S20" s="198"/>
      <c r="T20" s="198"/>
      <c r="U20" s="198"/>
      <c r="V20" s="198"/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  <c r="AQ20" s="198"/>
    </row>
    <row r="21" spans="1:48" s="206" customFormat="1" ht="16.2" customHeight="1" x14ac:dyDescent="0.3">
      <c r="A21" s="193" t="s">
        <v>756</v>
      </c>
      <c r="B21" s="193">
        <v>13</v>
      </c>
      <c r="C21" s="193" t="s">
        <v>827</v>
      </c>
      <c r="D21" s="196">
        <f>'[1]GERAL 2022'!G15</f>
        <v>550</v>
      </c>
      <c r="E21" s="196">
        <v>0</v>
      </c>
      <c r="F21" s="196">
        <f t="shared" si="2"/>
        <v>550</v>
      </c>
      <c r="G21" s="192">
        <v>0</v>
      </c>
      <c r="H21" s="192">
        <f t="shared" si="7"/>
        <v>61.7</v>
      </c>
      <c r="I21" s="192">
        <f>'[1]GERAL 2024'!I15</f>
        <v>1.3105200945626476</v>
      </c>
      <c r="J21" s="192">
        <f>'[1]GERAL 2024'!K15</f>
        <v>0.79837470449172576</v>
      </c>
      <c r="K21" s="192">
        <v>0</v>
      </c>
      <c r="L21" s="191">
        <f t="shared" si="3"/>
        <v>613.80889479905443</v>
      </c>
      <c r="M21" s="192">
        <f t="shared" si="6"/>
        <v>42.966622635933817</v>
      </c>
      <c r="N21" s="192">
        <f t="shared" si="5"/>
        <v>570.84227216312058</v>
      </c>
      <c r="O21" s="193" t="s">
        <v>1067</v>
      </c>
      <c r="P21" s="197">
        <v>10</v>
      </c>
      <c r="Q21" s="197">
        <v>11</v>
      </c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  <c r="AQ21" s="205"/>
    </row>
    <row r="22" spans="1:48" s="148" customFormat="1" x14ac:dyDescent="0.3">
      <c r="A22" s="194" t="s">
        <v>747</v>
      </c>
      <c r="B22" s="194">
        <v>14</v>
      </c>
      <c r="C22" s="193" t="s">
        <v>832</v>
      </c>
      <c r="D22" s="196">
        <f>580+(4.52806%*580)</f>
        <v>606.26274799999999</v>
      </c>
      <c r="E22" s="192">
        <v>0</v>
      </c>
      <c r="F22" s="196">
        <f t="shared" si="2"/>
        <v>606.26274799999999</v>
      </c>
      <c r="G22" s="192">
        <f>50</f>
        <v>50</v>
      </c>
      <c r="H22" s="192">
        <f t="shared" si="7"/>
        <v>61.7</v>
      </c>
      <c r="I22" s="192">
        <f>'[1]GERAL 2024'!I16</f>
        <v>1.3105200945626476</v>
      </c>
      <c r="J22" s="192">
        <f>'[1]GERAL 2024'!K16</f>
        <v>0.79837470449172576</v>
      </c>
      <c r="K22" s="192">
        <v>0</v>
      </c>
      <c r="L22" s="191">
        <f t="shared" si="3"/>
        <v>720.07164279905442</v>
      </c>
      <c r="M22" s="192">
        <f t="shared" si="6"/>
        <v>50.405014995933811</v>
      </c>
      <c r="N22" s="192">
        <f t="shared" si="5"/>
        <v>669.6666278031206</v>
      </c>
      <c r="O22" s="193" t="s">
        <v>1068</v>
      </c>
      <c r="P22" s="197">
        <v>10</v>
      </c>
      <c r="Q22" s="194">
        <v>11</v>
      </c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  <c r="AD22" s="208"/>
      <c r="AE22" s="208"/>
      <c r="AF22" s="208"/>
      <c r="AG22" s="208"/>
      <c r="AH22" s="208"/>
      <c r="AI22" s="208"/>
      <c r="AJ22" s="208"/>
      <c r="AK22" s="208"/>
      <c r="AL22" s="208"/>
      <c r="AM22" s="208"/>
      <c r="AN22" s="208"/>
      <c r="AO22" s="208"/>
      <c r="AP22" s="208"/>
      <c r="AQ22" s="208"/>
      <c r="AR22" s="208"/>
      <c r="AS22" s="208"/>
      <c r="AT22" s="208"/>
      <c r="AU22" s="208"/>
      <c r="AV22" s="208"/>
    </row>
    <row r="23" spans="1:48" s="204" customFormat="1" x14ac:dyDescent="0.3">
      <c r="A23" s="193" t="s">
        <v>748</v>
      </c>
      <c r="B23" s="193">
        <v>15</v>
      </c>
      <c r="C23" s="193" t="s">
        <v>827</v>
      </c>
      <c r="D23" s="196">
        <f>'[1]GERAL 2023'!G36</f>
        <v>680</v>
      </c>
      <c r="E23" s="192">
        <v>0</v>
      </c>
      <c r="F23" s="196">
        <f t="shared" si="2"/>
        <v>680</v>
      </c>
      <c r="G23" s="192">
        <v>25</v>
      </c>
      <c r="H23" s="192">
        <f t="shared" si="7"/>
        <v>61.7</v>
      </c>
      <c r="I23" s="192">
        <f>'[1]GERAL 2024'!I17</f>
        <v>1.8347281323877069</v>
      </c>
      <c r="J23" s="192">
        <f>'[1]GERAL 2024'!K17</f>
        <v>1.1177245862884162</v>
      </c>
      <c r="K23" s="192">
        <v>0</v>
      </c>
      <c r="L23" s="191">
        <f t="shared" si="3"/>
        <v>769.65245271867616</v>
      </c>
      <c r="M23" s="192">
        <f t="shared" si="6"/>
        <v>53.875671690307335</v>
      </c>
      <c r="N23" s="192">
        <f t="shared" si="5"/>
        <v>715.77678102836887</v>
      </c>
      <c r="O23" s="193" t="s">
        <v>1070</v>
      </c>
      <c r="P23" s="197">
        <v>10</v>
      </c>
      <c r="Q23" s="194">
        <v>11</v>
      </c>
      <c r="R23" s="200"/>
      <c r="S23" s="200"/>
      <c r="T23" s="200"/>
      <c r="U23" s="200"/>
      <c r="V23" s="200"/>
      <c r="W23" s="200"/>
      <c r="X23" s="200"/>
      <c r="Y23" s="200"/>
      <c r="Z23" s="200"/>
    </row>
    <row r="24" spans="1:48" s="206" customFormat="1" x14ac:dyDescent="0.3">
      <c r="A24" s="197" t="s">
        <v>977</v>
      </c>
      <c r="B24" s="197">
        <v>16</v>
      </c>
      <c r="C24" s="193" t="s">
        <v>827</v>
      </c>
      <c r="D24" s="196">
        <f>'[1]GERAL 2024'!G40</f>
        <v>640</v>
      </c>
      <c r="E24" s="192">
        <v>0</v>
      </c>
      <c r="F24" s="196">
        <f>D24-E24</f>
        <v>640</v>
      </c>
      <c r="G24" s="192">
        <v>50</v>
      </c>
      <c r="H24" s="192">
        <f t="shared" si="7"/>
        <v>61.7</v>
      </c>
      <c r="I24" s="192">
        <f>'[1]GERAL 2024'!I40</f>
        <v>1.3105200945626476</v>
      </c>
      <c r="J24" s="192">
        <f>'[1]GERAL 2024'!K40</f>
        <v>0.79837470449172576</v>
      </c>
      <c r="K24" s="192">
        <v>0</v>
      </c>
      <c r="L24" s="191">
        <f t="shared" si="3"/>
        <v>753.80889479905443</v>
      </c>
      <c r="M24" s="192">
        <f t="shared" si="6"/>
        <v>52.766622635933814</v>
      </c>
      <c r="N24" s="192">
        <f>L24-M24</f>
        <v>701.04227216312063</v>
      </c>
      <c r="O24" s="193" t="s">
        <v>1068</v>
      </c>
      <c r="P24" s="197">
        <v>10</v>
      </c>
      <c r="Q24" s="197">
        <v>11</v>
      </c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  <c r="AP24" s="205"/>
      <c r="AQ24" s="205"/>
    </row>
    <row r="25" spans="1:48" s="206" customFormat="1" x14ac:dyDescent="0.3">
      <c r="A25" s="195" t="s">
        <v>1029</v>
      </c>
      <c r="B25" s="195">
        <v>17</v>
      </c>
      <c r="C25" s="195" t="s">
        <v>824</v>
      </c>
      <c r="D25" s="196">
        <f>'[1]GERAL 2024'!G45</f>
        <v>610</v>
      </c>
      <c r="E25" s="192">
        <v>0</v>
      </c>
      <c r="F25" s="196">
        <f t="shared" si="2"/>
        <v>610</v>
      </c>
      <c r="G25" s="192">
        <v>50</v>
      </c>
      <c r="H25" s="192">
        <f t="shared" si="7"/>
        <v>61.7</v>
      </c>
      <c r="I25" s="192">
        <f>'[1]GERAL 2024'!I45</f>
        <v>1.3105200945626476</v>
      </c>
      <c r="J25" s="192">
        <f>'[1]GERAL 2024'!K45</f>
        <v>0.79837470449172576</v>
      </c>
      <c r="K25" s="192">
        <v>0</v>
      </c>
      <c r="L25" s="191">
        <f t="shared" si="3"/>
        <v>723.80889479905443</v>
      </c>
      <c r="M25" s="192">
        <f>7%*L25</f>
        <v>50.666622635933813</v>
      </c>
      <c r="N25" s="192">
        <f>L25-M25</f>
        <v>673.14227216312065</v>
      </c>
      <c r="O25" s="193" t="s">
        <v>1068</v>
      </c>
      <c r="P25" s="197">
        <v>10</v>
      </c>
      <c r="Q25" s="197">
        <v>11</v>
      </c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  <c r="AQ25" s="205"/>
    </row>
    <row r="26" spans="1:48" s="206" customFormat="1" x14ac:dyDescent="0.3">
      <c r="A26" s="195" t="s">
        <v>1030</v>
      </c>
      <c r="B26" s="193">
        <v>18</v>
      </c>
      <c r="C26" s="195" t="s">
        <v>824</v>
      </c>
      <c r="D26" s="196">
        <f>'[1]GERAL 2024'!G46</f>
        <v>640</v>
      </c>
      <c r="E26" s="192">
        <v>0</v>
      </c>
      <c r="F26" s="196">
        <f>D26-E26</f>
        <v>640</v>
      </c>
      <c r="G26" s="192">
        <v>0</v>
      </c>
      <c r="H26" s="192">
        <f t="shared" si="7"/>
        <v>61.7</v>
      </c>
      <c r="I26" s="192">
        <f>'[1]GERAL 2024'!I46</f>
        <v>1.3105200945626476</v>
      </c>
      <c r="J26" s="192">
        <f>'[1]GERAL 2024'!K46</f>
        <v>0.79837470449172576</v>
      </c>
      <c r="K26" s="192">
        <v>0</v>
      </c>
      <c r="L26" s="191">
        <f t="shared" si="3"/>
        <v>703.80889479905443</v>
      </c>
      <c r="M26" s="192">
        <f t="shared" si="6"/>
        <v>49.266622635933814</v>
      </c>
      <c r="N26" s="192">
        <f t="shared" si="5"/>
        <v>654.54227216312063</v>
      </c>
      <c r="O26" s="193" t="s">
        <v>1067</v>
      </c>
      <c r="P26" s="197">
        <v>10</v>
      </c>
      <c r="Q26" s="197">
        <v>11</v>
      </c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  <c r="AQ26" s="205"/>
    </row>
    <row r="27" spans="1:48" s="206" customFormat="1" x14ac:dyDescent="0.3">
      <c r="A27" s="193" t="s">
        <v>1012</v>
      </c>
      <c r="B27" s="193">
        <v>19</v>
      </c>
      <c r="C27" s="193" t="s">
        <v>822</v>
      </c>
      <c r="D27" s="196">
        <f>'[1]GERAL 2024'!G44</f>
        <v>580</v>
      </c>
      <c r="E27" s="192">
        <v>0</v>
      </c>
      <c r="F27" s="196">
        <f>(D27-E27)</f>
        <v>580</v>
      </c>
      <c r="G27" s="192">
        <v>50</v>
      </c>
      <c r="H27" s="192">
        <f t="shared" si="7"/>
        <v>61.7</v>
      </c>
      <c r="I27" s="192">
        <f>'[1]GERAL 2024'!I44</f>
        <v>1.3105200945626476</v>
      </c>
      <c r="J27" s="192">
        <f>'[1]GERAL 2024'!K44</f>
        <v>0.79837470449172576</v>
      </c>
      <c r="K27" s="192">
        <v>0</v>
      </c>
      <c r="L27" s="191">
        <f t="shared" si="3"/>
        <v>693.80889479905443</v>
      </c>
      <c r="M27" s="192">
        <f t="shared" si="6"/>
        <v>48.566622635933811</v>
      </c>
      <c r="N27" s="192">
        <f t="shared" si="5"/>
        <v>645.24227216312056</v>
      </c>
      <c r="O27" s="193" t="s">
        <v>1068</v>
      </c>
      <c r="P27" s="207">
        <v>10</v>
      </c>
      <c r="Q27" s="197">
        <v>11</v>
      </c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  <c r="AQ27" s="205"/>
    </row>
    <row r="28" spans="1:48" s="206" customFormat="1" x14ac:dyDescent="0.3">
      <c r="A28" s="195" t="s">
        <v>919</v>
      </c>
      <c r="B28" s="193">
        <v>20</v>
      </c>
      <c r="C28" s="193" t="s">
        <v>917</v>
      </c>
      <c r="D28" s="196">
        <f>'[1]GERAL 2024'!G36</f>
        <v>780</v>
      </c>
      <c r="E28" s="192">
        <v>0</v>
      </c>
      <c r="F28" s="196">
        <f t="shared" ref="F28:F35" si="8">D28-E28</f>
        <v>780</v>
      </c>
      <c r="G28" s="192">
        <v>25</v>
      </c>
      <c r="H28" s="192">
        <f t="shared" si="7"/>
        <v>61.7</v>
      </c>
      <c r="I28" s="192">
        <f>'[1]GERAL 2024'!I36</f>
        <v>1.3105200945626476</v>
      </c>
      <c r="J28" s="192">
        <f>'[1]GERAL 2024'!K36</f>
        <v>0.79837470449172576</v>
      </c>
      <c r="K28" s="192">
        <v>0</v>
      </c>
      <c r="L28" s="191">
        <f t="shared" si="3"/>
        <v>868.80889479905443</v>
      </c>
      <c r="M28" s="192">
        <f t="shared" si="6"/>
        <v>60.816622635933818</v>
      </c>
      <c r="N28" s="192">
        <f t="shared" si="5"/>
        <v>807.99227216312056</v>
      </c>
      <c r="O28" s="193" t="s">
        <v>1070</v>
      </c>
      <c r="P28" s="207">
        <v>10</v>
      </c>
      <c r="Q28" s="197">
        <v>11</v>
      </c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  <c r="AQ28" s="205"/>
    </row>
    <row r="29" spans="1:48" s="206" customFormat="1" x14ac:dyDescent="0.3">
      <c r="A29" s="195" t="s">
        <v>788</v>
      </c>
      <c r="B29" s="193">
        <v>21</v>
      </c>
      <c r="C29" s="193" t="s">
        <v>822</v>
      </c>
      <c r="D29" s="196">
        <f>'[1]GERAL 2023'!G39+(2.45026%*580)</f>
        <v>594.21150799999998</v>
      </c>
      <c r="E29" s="192">
        <v>0</v>
      </c>
      <c r="F29" s="196">
        <f t="shared" si="8"/>
        <v>594.21150799999998</v>
      </c>
      <c r="G29" s="192">
        <v>25</v>
      </c>
      <c r="H29" s="192">
        <f t="shared" si="7"/>
        <v>61.7</v>
      </c>
      <c r="I29" s="192">
        <f>'[1]GERAL 2024'!I23</f>
        <v>1.3105200945626476</v>
      </c>
      <c r="J29" s="192">
        <f>'[1]GERAL 2024'!K23</f>
        <v>0.79837470449172576</v>
      </c>
      <c r="K29" s="192">
        <v>0</v>
      </c>
      <c r="L29" s="191">
        <f t="shared" si="3"/>
        <v>683.02040279905441</v>
      </c>
      <c r="M29" s="192">
        <f t="shared" si="6"/>
        <v>47.811428195933814</v>
      </c>
      <c r="N29" s="192">
        <f t="shared" si="5"/>
        <v>635.20897460312062</v>
      </c>
      <c r="O29" s="193" t="s">
        <v>1070</v>
      </c>
      <c r="P29" s="207">
        <v>10</v>
      </c>
      <c r="Q29" s="197">
        <v>11</v>
      </c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  <c r="AQ29" s="205"/>
    </row>
    <row r="30" spans="1:48" s="206" customFormat="1" x14ac:dyDescent="0.3">
      <c r="A30" s="195" t="s">
        <v>950</v>
      </c>
      <c r="B30" s="193">
        <v>22</v>
      </c>
      <c r="C30" s="193" t="s">
        <v>951</v>
      </c>
      <c r="D30" s="196">
        <f>'[1]GERAL 2024'!G38</f>
        <v>610</v>
      </c>
      <c r="E30" s="192">
        <v>0</v>
      </c>
      <c r="F30" s="196">
        <f t="shared" si="8"/>
        <v>610</v>
      </c>
      <c r="G30" s="192">
        <v>25</v>
      </c>
      <c r="H30" s="192">
        <f t="shared" si="7"/>
        <v>61.7</v>
      </c>
      <c r="I30" s="192">
        <f>'[1]GERAL 2024'!I38</f>
        <v>1.3105200945626476</v>
      </c>
      <c r="J30" s="192">
        <f>'[1]GERAL 2024'!K38</f>
        <v>0.79837470449172576</v>
      </c>
      <c r="K30" s="192">
        <v>0</v>
      </c>
      <c r="L30" s="191">
        <f t="shared" si="3"/>
        <v>698.80889479905443</v>
      </c>
      <c r="M30" s="192">
        <f>7%*L30</f>
        <v>48.916622635933813</v>
      </c>
      <c r="N30" s="192">
        <f>L30-M30</f>
        <v>649.89227216312065</v>
      </c>
      <c r="O30" s="193" t="s">
        <v>1070</v>
      </c>
      <c r="P30" s="207">
        <v>10</v>
      </c>
      <c r="Q30" s="197">
        <v>11</v>
      </c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  <c r="AQ30" s="205"/>
    </row>
    <row r="31" spans="1:48" s="206" customFormat="1" x14ac:dyDescent="0.3">
      <c r="A31" s="195" t="s">
        <v>750</v>
      </c>
      <c r="B31" s="193">
        <v>23</v>
      </c>
      <c r="C31" s="193" t="s">
        <v>827</v>
      </c>
      <c r="D31" s="196">
        <f>'[1]GERAL 2022'!G25</f>
        <v>550</v>
      </c>
      <c r="E31" s="192">
        <v>0</v>
      </c>
      <c r="F31" s="196">
        <f t="shared" si="8"/>
        <v>550</v>
      </c>
      <c r="G31" s="192">
        <v>0</v>
      </c>
      <c r="H31" s="192">
        <f t="shared" si="7"/>
        <v>61.7</v>
      </c>
      <c r="I31" s="192">
        <f>'[1]GERAL 2024'!I25</f>
        <v>1.3105200945626476</v>
      </c>
      <c r="J31" s="192">
        <f>'[1]GERAL 2024'!K25</f>
        <v>0.79837470449172576</v>
      </c>
      <c r="K31" s="192">
        <v>0</v>
      </c>
      <c r="L31" s="191">
        <f t="shared" si="3"/>
        <v>613.80889479905443</v>
      </c>
      <c r="M31" s="192">
        <f t="shared" si="6"/>
        <v>42.966622635933817</v>
      </c>
      <c r="N31" s="192">
        <f t="shared" si="5"/>
        <v>570.84227216312058</v>
      </c>
      <c r="O31" s="193" t="s">
        <v>1067</v>
      </c>
      <c r="P31" s="197">
        <v>10</v>
      </c>
      <c r="Q31" s="197">
        <v>11</v>
      </c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  <c r="AC31" s="205"/>
      <c r="AD31" s="205"/>
      <c r="AE31" s="205"/>
      <c r="AF31" s="205"/>
      <c r="AG31" s="205"/>
      <c r="AH31" s="205"/>
      <c r="AI31" s="205"/>
      <c r="AJ31" s="205"/>
      <c r="AK31" s="205"/>
      <c r="AL31" s="205"/>
      <c r="AM31" s="205"/>
      <c r="AN31" s="205"/>
      <c r="AO31" s="205"/>
      <c r="AP31" s="205"/>
      <c r="AQ31" s="205"/>
    </row>
    <row r="32" spans="1:48" s="204" customFormat="1" ht="15.6" customHeight="1" x14ac:dyDescent="0.3">
      <c r="A32" s="193"/>
      <c r="B32" s="193">
        <v>24</v>
      </c>
      <c r="C32" s="193"/>
      <c r="D32" s="196">
        <v>0</v>
      </c>
      <c r="E32" s="192">
        <v>0</v>
      </c>
      <c r="F32" s="196">
        <f>D32-E32</f>
        <v>0</v>
      </c>
      <c r="G32" s="192">
        <v>0</v>
      </c>
      <c r="H32" s="192">
        <v>0</v>
      </c>
      <c r="I32" s="192">
        <v>0</v>
      </c>
      <c r="J32" s="192">
        <v>0</v>
      </c>
      <c r="K32" s="192">
        <v>0</v>
      </c>
      <c r="L32" s="191">
        <f t="shared" si="3"/>
        <v>0</v>
      </c>
      <c r="M32" s="192">
        <f t="shared" si="6"/>
        <v>0</v>
      </c>
      <c r="N32" s="192">
        <f t="shared" si="5"/>
        <v>0</v>
      </c>
      <c r="O32" s="193" t="s">
        <v>525</v>
      </c>
      <c r="P32" s="207"/>
      <c r="Q32" s="197"/>
      <c r="R32" s="200"/>
      <c r="S32" s="200"/>
      <c r="T32" s="200"/>
      <c r="U32" s="200"/>
      <c r="V32" s="200"/>
      <c r="W32" s="200"/>
      <c r="X32" s="200"/>
      <c r="Y32" s="200"/>
      <c r="Z32" s="200"/>
    </row>
    <row r="33" spans="1:43" s="204" customFormat="1" ht="15" customHeight="1" x14ac:dyDescent="0.3">
      <c r="A33" s="206" t="s">
        <v>1007</v>
      </c>
      <c r="B33" s="193">
        <v>25</v>
      </c>
      <c r="C33" s="193" t="s">
        <v>822</v>
      </c>
      <c r="D33" s="196">
        <f>'[1]GERAL 2024'!G43</f>
        <v>640</v>
      </c>
      <c r="E33" s="192">
        <v>0</v>
      </c>
      <c r="F33" s="196">
        <f t="shared" si="8"/>
        <v>640</v>
      </c>
      <c r="G33" s="192">
        <v>25</v>
      </c>
      <c r="H33" s="192">
        <f t="shared" si="7"/>
        <v>61.7</v>
      </c>
      <c r="I33" s="192">
        <f>'[1]GERAL 2024'!I43</f>
        <v>1.3105200945626476</v>
      </c>
      <c r="J33" s="192">
        <f>'[1]GERAL 2024'!K43</f>
        <v>0.79837470449172576</v>
      </c>
      <c r="K33" s="192">
        <v>0</v>
      </c>
      <c r="L33" s="191">
        <f t="shared" si="3"/>
        <v>728.80889479905443</v>
      </c>
      <c r="M33" s="192">
        <f t="shared" si="6"/>
        <v>51.016622635933814</v>
      </c>
      <c r="N33" s="192">
        <f t="shared" si="5"/>
        <v>677.79227216312063</v>
      </c>
      <c r="O33" s="193" t="s">
        <v>1070</v>
      </c>
      <c r="P33" s="207">
        <v>10</v>
      </c>
      <c r="Q33" s="197">
        <v>11</v>
      </c>
      <c r="R33" s="200"/>
      <c r="S33" s="200"/>
      <c r="T33" s="200"/>
      <c r="U33" s="200"/>
      <c r="V33" s="200"/>
      <c r="W33" s="200"/>
      <c r="X33" s="200"/>
      <c r="Y33" s="200"/>
      <c r="Z33" s="200"/>
    </row>
    <row r="34" spans="1:43" s="206" customFormat="1" x14ac:dyDescent="0.3">
      <c r="A34" s="195" t="s">
        <v>751</v>
      </c>
      <c r="B34" s="193">
        <v>26</v>
      </c>
      <c r="C34" s="193" t="s">
        <v>827</v>
      </c>
      <c r="D34" s="196">
        <f>'[1]GERAL 2022'!G28</f>
        <v>560</v>
      </c>
      <c r="E34" s="192">
        <v>0</v>
      </c>
      <c r="F34" s="196">
        <f t="shared" si="8"/>
        <v>560</v>
      </c>
      <c r="G34" s="192">
        <v>25</v>
      </c>
      <c r="H34" s="192">
        <f t="shared" si="7"/>
        <v>61.7</v>
      </c>
      <c r="I34" s="192">
        <f>'[1]GERAL 2024'!I28</f>
        <v>1.3105200945626476</v>
      </c>
      <c r="J34" s="192">
        <f>'[1]GERAL 2024'!K29</f>
        <v>0.79837470449172576</v>
      </c>
      <c r="K34" s="192">
        <v>0</v>
      </c>
      <c r="L34" s="191">
        <f t="shared" si="3"/>
        <v>648.80889479905443</v>
      </c>
      <c r="M34" s="192">
        <f t="shared" si="6"/>
        <v>45.416622635933813</v>
      </c>
      <c r="N34" s="192">
        <f t="shared" si="5"/>
        <v>603.39227216312065</v>
      </c>
      <c r="O34" s="193" t="s">
        <v>1070</v>
      </c>
      <c r="P34" s="197">
        <v>10</v>
      </c>
      <c r="Q34" s="197">
        <v>11</v>
      </c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205"/>
    </row>
    <row r="35" spans="1:43" s="206" customFormat="1" x14ac:dyDescent="0.3">
      <c r="A35" s="195" t="s">
        <v>752</v>
      </c>
      <c r="B35" s="193">
        <v>27</v>
      </c>
      <c r="C35" s="216" t="s">
        <v>827</v>
      </c>
      <c r="D35" s="217">
        <f>'[1]GERAL 2022'!G45</f>
        <v>580</v>
      </c>
      <c r="E35" s="210">
        <v>0</v>
      </c>
      <c r="F35" s="196">
        <f t="shared" si="8"/>
        <v>580</v>
      </c>
      <c r="G35" s="210">
        <v>0</v>
      </c>
      <c r="H35" s="192">
        <f t="shared" si="7"/>
        <v>61.7</v>
      </c>
      <c r="I35" s="210">
        <f>'[1]GERAL 2024'!I29</f>
        <v>1.3105200945626476</v>
      </c>
      <c r="J35" s="192">
        <f>'[1]GERAL 2024'!K29</f>
        <v>0.79837470449172576</v>
      </c>
      <c r="K35" s="210">
        <v>0</v>
      </c>
      <c r="L35" s="191">
        <f t="shared" si="3"/>
        <v>643.80889479905443</v>
      </c>
      <c r="M35" s="192">
        <f t="shared" si="6"/>
        <v>45.066622635933811</v>
      </c>
      <c r="N35" s="192">
        <f>L35-M35</f>
        <v>598.74227216312056</v>
      </c>
      <c r="O35" s="193" t="s">
        <v>1067</v>
      </c>
      <c r="P35" s="197">
        <v>10</v>
      </c>
      <c r="Q35" s="197">
        <v>11</v>
      </c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  <c r="AQ35" s="205"/>
    </row>
    <row r="36" spans="1:43" s="206" customFormat="1" x14ac:dyDescent="0.3">
      <c r="A36" s="584" t="s">
        <v>4</v>
      </c>
      <c r="B36" s="584"/>
      <c r="C36" s="209"/>
      <c r="D36" s="191">
        <f t="shared" ref="D36:N36" si="9">SUM(D9:D35)</f>
        <v>13648.835160000001</v>
      </c>
      <c r="E36" s="191">
        <f t="shared" si="9"/>
        <v>0</v>
      </c>
      <c r="F36" s="191">
        <f t="shared" si="9"/>
        <v>13648.835160000001</v>
      </c>
      <c r="G36" s="191">
        <f t="shared" si="9"/>
        <v>550</v>
      </c>
      <c r="H36" s="191">
        <f t="shared" si="9"/>
        <v>1357.4000000000005</v>
      </c>
      <c r="I36" s="191">
        <f>SUM(I9:I35)</f>
        <v>29.879858156028369</v>
      </c>
      <c r="J36" s="191">
        <f t="shared" si="9"/>
        <v>18.202943262411349</v>
      </c>
      <c r="K36" s="191">
        <f t="shared" si="9"/>
        <v>127.18</v>
      </c>
      <c r="L36" s="191">
        <f>SUM(L9:L35)</f>
        <v>15731.497961418443</v>
      </c>
      <c r="M36" s="191">
        <f t="shared" si="9"/>
        <v>1101.2048572992908</v>
      </c>
      <c r="N36" s="191">
        <f t="shared" si="9"/>
        <v>14630.293104119151</v>
      </c>
      <c r="O36" s="193"/>
      <c r="P36" s="197"/>
      <c r="Q36" s="197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  <c r="AQ36" s="205"/>
    </row>
    <row r="37" spans="1:43" s="11" customFormat="1" ht="28.5" customHeight="1" x14ac:dyDescent="0.3">
      <c r="A37" s="521" t="s">
        <v>1071</v>
      </c>
      <c r="B37" s="521"/>
      <c r="C37" s="521"/>
      <c r="D37" s="521"/>
      <c r="E37" s="521"/>
      <c r="F37" s="521"/>
      <c r="G37" s="521"/>
      <c r="H37" s="521"/>
      <c r="I37" s="521"/>
      <c r="J37" s="521"/>
      <c r="K37" s="521"/>
      <c r="L37" s="521"/>
      <c r="M37" s="521"/>
      <c r="N37" s="521"/>
      <c r="O37" s="521"/>
      <c r="P37" s="521"/>
      <c r="Q37" s="521"/>
      <c r="R37" s="10"/>
      <c r="S37" s="10"/>
      <c r="T37" s="10"/>
      <c r="U37" s="10"/>
      <c r="V37" s="10"/>
      <c r="W37" s="10"/>
      <c r="X37" s="10"/>
      <c r="Y37" s="10"/>
      <c r="Z37" s="10"/>
    </row>
    <row r="38" spans="1:43" s="11" customFormat="1" ht="27.75" customHeight="1" x14ac:dyDescent="0.3">
      <c r="A38" s="127" t="s">
        <v>3</v>
      </c>
      <c r="B38" s="127" t="s">
        <v>0</v>
      </c>
      <c r="C38" s="127" t="s">
        <v>821</v>
      </c>
      <c r="D38" s="128" t="s">
        <v>174</v>
      </c>
      <c r="E38" s="555" t="s">
        <v>175</v>
      </c>
      <c r="F38" s="556"/>
      <c r="G38" s="556"/>
      <c r="H38" s="556"/>
      <c r="I38" s="556"/>
      <c r="J38" s="556"/>
      <c r="K38" s="557"/>
      <c r="L38" s="128" t="s">
        <v>4</v>
      </c>
      <c r="M38" s="128" t="s">
        <v>5</v>
      </c>
      <c r="N38" s="128" t="s">
        <v>70</v>
      </c>
      <c r="O38" s="127" t="s">
        <v>59</v>
      </c>
      <c r="P38" s="130" t="s">
        <v>8</v>
      </c>
      <c r="Q38" s="130" t="s">
        <v>10</v>
      </c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spans="1:43" s="204" customFormat="1" ht="15.6" customHeight="1" x14ac:dyDescent="0.3">
      <c r="A39" s="194" t="s">
        <v>929</v>
      </c>
      <c r="B39" s="194">
        <v>12</v>
      </c>
      <c r="C39" s="194" t="s">
        <v>829</v>
      </c>
      <c r="D39" s="196">
        <v>1464</v>
      </c>
      <c r="E39" s="551" t="s">
        <v>715</v>
      </c>
      <c r="F39" s="580"/>
      <c r="G39" s="580"/>
      <c r="H39" s="580"/>
      <c r="I39" s="580"/>
      <c r="J39" s="580"/>
      <c r="K39" s="552"/>
      <c r="L39" s="196">
        <v>183</v>
      </c>
      <c r="M39" s="192">
        <f>7%*L39</f>
        <v>12.81</v>
      </c>
      <c r="N39" s="192">
        <f t="shared" ref="N39" si="10">L39-M39</f>
        <v>170.19</v>
      </c>
      <c r="O39" s="193" t="s">
        <v>1072</v>
      </c>
      <c r="P39" s="207">
        <v>10</v>
      </c>
      <c r="Q39" s="197">
        <v>11</v>
      </c>
      <c r="R39" s="200"/>
      <c r="S39" s="200"/>
      <c r="T39" s="200"/>
      <c r="U39" s="200"/>
      <c r="V39" s="200"/>
      <c r="W39" s="200"/>
      <c r="X39" s="200"/>
      <c r="Y39" s="200"/>
      <c r="Z39" s="200"/>
    </row>
    <row r="40" spans="1:43" s="11" customFormat="1" x14ac:dyDescent="0.3">
      <c r="A40" s="518" t="s">
        <v>4</v>
      </c>
      <c r="B40" s="518"/>
      <c r="C40" s="518"/>
      <c r="D40" s="518"/>
      <c r="E40" s="518"/>
      <c r="F40" s="518"/>
      <c r="G40" s="518"/>
      <c r="H40" s="518"/>
      <c r="I40" s="518"/>
      <c r="J40" s="518"/>
      <c r="K40" s="518"/>
      <c r="L40" s="109">
        <f>SUM(L39:L39)</f>
        <v>183</v>
      </c>
      <c r="M40" s="109">
        <f>SUM(M39:M39)</f>
        <v>12.81</v>
      </c>
      <c r="N40" s="109">
        <f>SUM(N39:N39)</f>
        <v>170.19</v>
      </c>
      <c r="O40" s="527"/>
      <c r="P40" s="527"/>
      <c r="Q40" s="527"/>
      <c r="R40" s="10"/>
      <c r="S40" s="10"/>
      <c r="T40" s="10"/>
      <c r="U40" s="10"/>
      <c r="V40" s="10"/>
      <c r="W40" s="10"/>
      <c r="X40" s="10"/>
      <c r="Y40" s="10"/>
      <c r="Z40" s="10"/>
    </row>
    <row r="41" spans="1:43" s="11" customFormat="1" x14ac:dyDescent="0.3">
      <c r="A41" s="518"/>
      <c r="B41" s="518"/>
      <c r="C41" s="518"/>
      <c r="D41" s="518"/>
      <c r="E41" s="518"/>
      <c r="F41" s="518"/>
      <c r="G41" s="518"/>
      <c r="H41" s="518"/>
      <c r="I41" s="518"/>
      <c r="J41" s="518"/>
      <c r="K41" s="518"/>
      <c r="L41" s="518"/>
      <c r="M41" s="518"/>
      <c r="N41" s="518"/>
      <c r="O41" s="518"/>
      <c r="P41" s="109"/>
      <c r="Q41" s="109"/>
      <c r="R41" s="10"/>
      <c r="S41" s="10"/>
      <c r="T41" s="10"/>
      <c r="U41" s="10"/>
      <c r="V41" s="10"/>
      <c r="W41" s="10"/>
      <c r="X41" s="10"/>
      <c r="Y41" s="10"/>
      <c r="Z41" s="10"/>
    </row>
    <row r="42" spans="1:43" s="11" customFormat="1" ht="28.5" customHeight="1" x14ac:dyDescent="0.3">
      <c r="A42" s="521" t="s">
        <v>177</v>
      </c>
      <c r="B42" s="521"/>
      <c r="C42" s="521"/>
      <c r="D42" s="521"/>
      <c r="E42" s="521"/>
      <c r="F42" s="521"/>
      <c r="G42" s="521"/>
      <c r="H42" s="521"/>
      <c r="I42" s="521"/>
      <c r="J42" s="521"/>
      <c r="K42" s="521"/>
      <c r="L42" s="521"/>
      <c r="M42" s="521"/>
      <c r="N42" s="521"/>
      <c r="O42" s="521"/>
      <c r="P42" s="521"/>
      <c r="Q42" s="52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43" s="11" customFormat="1" ht="25.5" customHeight="1" x14ac:dyDescent="0.3">
      <c r="A43" s="126" t="s">
        <v>173</v>
      </c>
      <c r="B43" s="126" t="s">
        <v>0</v>
      </c>
      <c r="C43" s="126"/>
      <c r="D43" s="126" t="s">
        <v>174</v>
      </c>
      <c r="E43" s="521" t="s">
        <v>175</v>
      </c>
      <c r="F43" s="521"/>
      <c r="G43" s="521"/>
      <c r="H43" s="521"/>
      <c r="I43" s="521"/>
      <c r="J43" s="521"/>
      <c r="K43" s="521"/>
      <c r="L43" s="129" t="s">
        <v>4</v>
      </c>
      <c r="M43" s="128"/>
      <c r="N43" s="128"/>
      <c r="O43" s="127" t="s">
        <v>59</v>
      </c>
      <c r="P43" s="130" t="s">
        <v>8</v>
      </c>
      <c r="Q43" s="130" t="s">
        <v>10</v>
      </c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43" s="206" customFormat="1" ht="15" customHeight="1" x14ac:dyDescent="0.3">
      <c r="A44" s="194" t="s">
        <v>739</v>
      </c>
      <c r="B44" s="194">
        <v>10</v>
      </c>
      <c r="C44" s="194" t="s">
        <v>825</v>
      </c>
      <c r="D44" s="196">
        <f>550+50+61.7+1.31+0.8</f>
        <v>663.81</v>
      </c>
      <c r="E44" s="551" t="s">
        <v>1073</v>
      </c>
      <c r="F44" s="580"/>
      <c r="G44" s="580"/>
      <c r="H44" s="580"/>
      <c r="I44" s="580"/>
      <c r="J44" s="580"/>
      <c r="K44" s="580"/>
      <c r="L44" s="234">
        <f>550+50+61.7+1.31+0.8</f>
        <v>663.81</v>
      </c>
      <c r="M44" s="192"/>
      <c r="O44" s="193" t="s">
        <v>1074</v>
      </c>
      <c r="P44" s="140">
        <v>10</v>
      </c>
      <c r="Q44" s="4">
        <v>11</v>
      </c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205"/>
      <c r="AG44" s="205"/>
      <c r="AH44" s="205"/>
      <c r="AI44" s="205"/>
      <c r="AJ44" s="205"/>
      <c r="AK44" s="205"/>
      <c r="AL44" s="205"/>
      <c r="AM44" s="205"/>
      <c r="AN44" s="205"/>
      <c r="AO44" s="205"/>
      <c r="AP44" s="205"/>
    </row>
    <row r="45" spans="1:43" s="206" customFormat="1" ht="15" customHeight="1" x14ac:dyDescent="0.3">
      <c r="A45" s="194" t="s">
        <v>739</v>
      </c>
      <c r="B45" s="194">
        <v>10</v>
      </c>
      <c r="C45" s="194" t="s">
        <v>825</v>
      </c>
      <c r="D45" s="196">
        <f>550+50+61.7+1.31+0.8</f>
        <v>663.81</v>
      </c>
      <c r="E45" s="551" t="s">
        <v>1075</v>
      </c>
      <c r="F45" s="580"/>
      <c r="G45" s="580"/>
      <c r="H45" s="580"/>
      <c r="I45" s="580"/>
      <c r="J45" s="580"/>
      <c r="K45" s="580"/>
      <c r="L45" s="234">
        <f>550+50+61.7+1.31+0.8</f>
        <v>663.81</v>
      </c>
      <c r="M45" s="192"/>
      <c r="O45" s="193" t="s">
        <v>1062</v>
      </c>
      <c r="P45" s="140">
        <v>10</v>
      </c>
      <c r="Q45" s="4">
        <v>11</v>
      </c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  <c r="AF45" s="205"/>
      <c r="AG45" s="205"/>
      <c r="AH45" s="205"/>
      <c r="AI45" s="205"/>
      <c r="AJ45" s="205"/>
      <c r="AK45" s="205"/>
      <c r="AL45" s="205"/>
      <c r="AM45" s="205"/>
      <c r="AN45" s="205"/>
      <c r="AO45" s="205"/>
      <c r="AP45" s="205"/>
    </row>
    <row r="46" spans="1:43" s="69" customFormat="1" ht="15" customHeight="1" x14ac:dyDescent="0.3">
      <c r="A46" s="4" t="s">
        <v>132</v>
      </c>
      <c r="B46" s="4">
        <v>1</v>
      </c>
      <c r="C46" s="4"/>
      <c r="D46" s="5">
        <f>4977.59-1520</f>
        <v>3457.59</v>
      </c>
      <c r="E46" s="546" t="s">
        <v>284</v>
      </c>
      <c r="F46" s="547"/>
      <c r="G46" s="547"/>
      <c r="H46" s="547"/>
      <c r="I46" s="547"/>
      <c r="J46" s="547"/>
      <c r="K46" s="548"/>
      <c r="L46" s="5">
        <f>4977.59-1520</f>
        <v>3457.59</v>
      </c>
      <c r="M46" s="5"/>
      <c r="N46" s="5"/>
      <c r="O46" s="5" t="s">
        <v>510</v>
      </c>
      <c r="P46" s="140">
        <v>10</v>
      </c>
      <c r="Q46" s="4">
        <v>11</v>
      </c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</row>
    <row r="47" spans="1:43" s="11" customFormat="1" x14ac:dyDescent="0.3">
      <c r="A47" s="90" t="s">
        <v>87</v>
      </c>
      <c r="B47" s="90">
        <v>25</v>
      </c>
      <c r="C47" s="90"/>
      <c r="D47" s="5">
        <v>3013.33</v>
      </c>
      <c r="E47" s="546" t="s">
        <v>543</v>
      </c>
      <c r="F47" s="547"/>
      <c r="G47" s="547"/>
      <c r="H47" s="547"/>
      <c r="I47" s="547"/>
      <c r="J47" s="547"/>
      <c r="K47" s="548"/>
      <c r="L47" s="5">
        <v>3040.58</v>
      </c>
      <c r="M47" s="2"/>
      <c r="N47" s="2"/>
      <c r="O47" s="5" t="s">
        <v>545</v>
      </c>
      <c r="P47" s="98">
        <v>10</v>
      </c>
      <c r="Q47" s="3">
        <v>11</v>
      </c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</row>
    <row r="48" spans="1:43" s="11" customFormat="1" ht="15" customHeight="1" x14ac:dyDescent="0.3">
      <c r="A48" s="3" t="s">
        <v>894</v>
      </c>
      <c r="B48" s="90">
        <v>16</v>
      </c>
      <c r="C48" s="90" t="s">
        <v>823</v>
      </c>
      <c r="D48" s="5">
        <f>144.52+11.29+12.89+0.3+0.18+1664</f>
        <v>1833.18</v>
      </c>
      <c r="E48" s="546" t="s">
        <v>969</v>
      </c>
      <c r="F48" s="547"/>
      <c r="G48" s="547"/>
      <c r="H48" s="547"/>
      <c r="I48" s="547"/>
      <c r="J48" s="547"/>
      <c r="K48" s="548"/>
      <c r="L48" s="5">
        <f>144.52+11.29+12.89+0.3+0.18+1664</f>
        <v>1833.18</v>
      </c>
      <c r="M48" s="2"/>
      <c r="N48" s="2"/>
      <c r="O48" s="90" t="s">
        <v>969</v>
      </c>
      <c r="P48" s="98">
        <v>10</v>
      </c>
      <c r="Q48" s="3">
        <v>11</v>
      </c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</row>
    <row r="49" spans="1:61" s="206" customFormat="1" ht="15" customHeight="1" x14ac:dyDescent="0.3">
      <c r="A49" s="237" t="s">
        <v>902</v>
      </c>
      <c r="B49" s="195">
        <v>17</v>
      </c>
      <c r="C49" s="195" t="s">
        <v>823</v>
      </c>
      <c r="D49" s="196">
        <v>2080.41</v>
      </c>
      <c r="E49" s="551" t="s">
        <v>1011</v>
      </c>
      <c r="F49" s="580"/>
      <c r="G49" s="580"/>
      <c r="H49" s="580"/>
      <c r="I49" s="580"/>
      <c r="J49" s="580"/>
      <c r="K49" s="552"/>
      <c r="L49" s="196">
        <v>300</v>
      </c>
      <c r="M49" s="192"/>
      <c r="N49" s="192"/>
      <c r="O49" s="193" t="s">
        <v>1039</v>
      </c>
      <c r="P49" s="235">
        <v>10</v>
      </c>
      <c r="Q49" s="197">
        <v>11</v>
      </c>
      <c r="R49" s="205"/>
      <c r="S49" s="205"/>
      <c r="T49" s="205"/>
      <c r="U49" s="205"/>
      <c r="V49" s="205"/>
      <c r="W49" s="205"/>
      <c r="X49" s="205"/>
      <c r="Y49" s="205"/>
      <c r="Z49" s="205"/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</row>
    <row r="50" spans="1:61" s="206" customFormat="1" ht="15" customHeight="1" x14ac:dyDescent="0.3">
      <c r="A50" s="237" t="s">
        <v>902</v>
      </c>
      <c r="B50" s="195">
        <v>17</v>
      </c>
      <c r="C50" s="195" t="s">
        <v>823</v>
      </c>
      <c r="D50" s="196">
        <v>2080.41</v>
      </c>
      <c r="E50" s="551" t="s">
        <v>1011</v>
      </c>
      <c r="F50" s="580"/>
      <c r="G50" s="580"/>
      <c r="H50" s="580"/>
      <c r="I50" s="580"/>
      <c r="J50" s="580"/>
      <c r="K50" s="552"/>
      <c r="L50" s="196">
        <v>300</v>
      </c>
      <c r="M50" s="192"/>
      <c r="N50" s="192"/>
      <c r="O50" s="193" t="s">
        <v>1049</v>
      </c>
      <c r="P50" s="235">
        <v>10</v>
      </c>
      <c r="Q50" s="197">
        <v>11</v>
      </c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</row>
    <row r="51" spans="1:61" s="40" customFormat="1" ht="15" customHeight="1" thickBot="1" x14ac:dyDescent="0.35">
      <c r="A51" s="534" t="s">
        <v>4</v>
      </c>
      <c r="B51" s="549"/>
      <c r="C51" s="549"/>
      <c r="D51" s="549"/>
      <c r="E51" s="549"/>
      <c r="F51" s="549"/>
      <c r="G51" s="549"/>
      <c r="H51" s="549"/>
      <c r="I51" s="549"/>
      <c r="J51" s="549"/>
      <c r="K51" s="535"/>
      <c r="L51" s="114">
        <f>SUM(L45:L50)</f>
        <v>9595.16</v>
      </c>
      <c r="M51" s="90"/>
      <c r="N51" s="90"/>
      <c r="O51" s="90"/>
      <c r="P51" s="90"/>
      <c r="Q51" s="9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1"/>
      <c r="AV51" s="11"/>
      <c r="AW51" s="11"/>
      <c r="AX51" s="11"/>
    </row>
    <row r="52" spans="1:61" s="19" customFormat="1" x14ac:dyDescent="0.3">
      <c r="A52" s="179"/>
      <c r="B52" s="180"/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1"/>
      <c r="Q52" s="182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</row>
    <row r="53" spans="1:61" s="40" customFormat="1" x14ac:dyDescent="0.3">
      <c r="A53" s="585"/>
      <c r="B53" s="585"/>
      <c r="C53" s="585"/>
      <c r="D53" s="585"/>
      <c r="E53" s="585"/>
      <c r="F53" s="46"/>
      <c r="G53" s="46"/>
      <c r="H53" s="46"/>
      <c r="I53" s="46"/>
      <c r="J53" s="46"/>
      <c r="K53" s="46"/>
      <c r="L53" s="46"/>
      <c r="M53" s="46"/>
      <c r="N53" s="46"/>
      <c r="O53" s="544" t="s">
        <v>315</v>
      </c>
      <c r="P53" s="544"/>
      <c r="Q53" s="545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1"/>
      <c r="AV53" s="11"/>
      <c r="AW53" s="11"/>
      <c r="AX53" s="11"/>
    </row>
    <row r="54" spans="1:61" s="40" customFormat="1" x14ac:dyDescent="0.3">
      <c r="A54" s="206"/>
      <c r="B54" s="223"/>
      <c r="C54" s="223"/>
      <c r="D54" s="224"/>
      <c r="E54" s="223"/>
      <c r="F54" s="46"/>
      <c r="G54" s="46"/>
      <c r="H54" s="46"/>
      <c r="I54" s="11"/>
      <c r="J54" s="11"/>
      <c r="K54" s="11"/>
      <c r="L54" s="87"/>
      <c r="M54" s="87"/>
      <c r="N54" s="87"/>
      <c r="O54" s="527" t="s">
        <v>94</v>
      </c>
      <c r="P54" s="527"/>
      <c r="Q54" s="114">
        <f>M36+M40</f>
        <v>1114.0148572992907</v>
      </c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1"/>
      <c r="AV54" s="11"/>
      <c r="AW54" s="11"/>
      <c r="AX54" s="11"/>
    </row>
    <row r="55" spans="1:61" s="40" customFormat="1" x14ac:dyDescent="0.3">
      <c r="A55" s="206"/>
      <c r="B55" s="223"/>
      <c r="C55" s="223"/>
      <c r="D55" s="224"/>
      <c r="E55" s="223"/>
      <c r="F55" s="46"/>
      <c r="G55" s="46"/>
      <c r="H55" s="46"/>
      <c r="I55" s="11"/>
      <c r="J55" s="11"/>
      <c r="K55" s="11"/>
      <c r="L55" s="14"/>
      <c r="M55" s="14"/>
      <c r="N55" s="14"/>
      <c r="O55" s="518" t="s">
        <v>260</v>
      </c>
      <c r="P55" s="518"/>
      <c r="Q55" s="114">
        <f>M6</f>
        <v>0</v>
      </c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1"/>
      <c r="AV55" s="11"/>
      <c r="AW55" s="11"/>
      <c r="AX55" s="11"/>
    </row>
    <row r="56" spans="1:61" s="40" customFormat="1" x14ac:dyDescent="0.3">
      <c r="A56" s="206"/>
      <c r="B56" s="223"/>
      <c r="C56" s="223"/>
      <c r="D56" s="224"/>
      <c r="E56" s="223"/>
      <c r="F56" s="46"/>
      <c r="G56" s="46"/>
      <c r="H56" s="46"/>
      <c r="I56" s="11"/>
      <c r="J56" s="11"/>
      <c r="K56" s="11"/>
      <c r="L56" s="14"/>
      <c r="M56" s="14"/>
      <c r="N56" s="14"/>
      <c r="O56" s="520"/>
      <c r="P56" s="520"/>
      <c r="Q56" s="52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1"/>
      <c r="AV56" s="11"/>
      <c r="AW56" s="11"/>
      <c r="AX56" s="11"/>
    </row>
    <row r="57" spans="1:61" s="40" customFormat="1" x14ac:dyDescent="0.3">
      <c r="A57" s="206"/>
      <c r="B57" s="223"/>
      <c r="C57" s="223"/>
      <c r="D57" s="224"/>
      <c r="E57" s="223"/>
      <c r="F57" s="46"/>
      <c r="G57" s="46"/>
      <c r="H57" s="46"/>
      <c r="I57" s="11"/>
      <c r="J57" s="11"/>
      <c r="K57" s="11"/>
      <c r="L57" s="62"/>
      <c r="M57" s="62"/>
      <c r="N57" s="62"/>
      <c r="O57" s="520"/>
      <c r="P57" s="520"/>
      <c r="Q57" s="52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1"/>
      <c r="AV57" s="11"/>
      <c r="AW57" s="11"/>
      <c r="AX57" s="11"/>
    </row>
    <row r="58" spans="1:61" s="40" customFormat="1" ht="14.4" x14ac:dyDescent="0.3">
      <c r="A58" s="206"/>
      <c r="B58" s="223"/>
      <c r="C58" s="223"/>
      <c r="D58" s="224"/>
      <c r="E58" s="223"/>
      <c r="F58" s="46"/>
      <c r="G58" s="46"/>
      <c r="H58" s="46"/>
      <c r="I58" s="11"/>
      <c r="J58" s="11"/>
      <c r="K58" s="11"/>
      <c r="L58" s="14"/>
      <c r="M58" s="14"/>
      <c r="N58" s="14"/>
      <c r="O58" s="529" t="s">
        <v>12</v>
      </c>
      <c r="P58" s="529"/>
      <c r="Q58" s="529"/>
      <c r="R58" s="175"/>
      <c r="S58" s="178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1"/>
      <c r="AV58" s="11"/>
      <c r="AW58" s="11"/>
      <c r="AX58" s="11"/>
    </row>
    <row r="59" spans="1:61" s="11" customFormat="1" ht="15" customHeight="1" x14ac:dyDescent="0.3">
      <c r="A59" s="206"/>
      <c r="B59" s="223"/>
      <c r="C59" s="223"/>
      <c r="D59" s="224"/>
      <c r="E59" s="223"/>
      <c r="F59" s="46"/>
      <c r="G59" s="46"/>
      <c r="H59" s="46"/>
      <c r="L59" s="63"/>
      <c r="M59" s="63"/>
      <c r="N59" s="63"/>
      <c r="O59" s="581" t="s">
        <v>1076</v>
      </c>
      <c r="P59" s="582"/>
      <c r="Q59" s="2">
        <v>127.18</v>
      </c>
      <c r="R59" s="190"/>
      <c r="S59" s="178"/>
    </row>
    <row r="60" spans="1:61" s="11" customFormat="1" ht="14.4" x14ac:dyDescent="0.3">
      <c r="A60" s="206"/>
      <c r="B60" s="223"/>
      <c r="C60" s="223"/>
      <c r="D60" s="224"/>
      <c r="E60" s="223"/>
      <c r="F60" s="46"/>
      <c r="G60" s="46"/>
      <c r="H60" s="46"/>
      <c r="L60" s="14"/>
      <c r="M60" s="14"/>
      <c r="N60" s="14"/>
      <c r="O60" s="514" t="s">
        <v>126</v>
      </c>
      <c r="P60" s="514"/>
      <c r="Q60" s="236">
        <v>108.37</v>
      </c>
      <c r="R60" s="175"/>
      <c r="S60" s="178"/>
    </row>
    <row r="61" spans="1:61" s="11" customFormat="1" ht="15" customHeight="1" x14ac:dyDescent="0.3">
      <c r="A61" s="206"/>
      <c r="B61" s="223"/>
      <c r="C61" s="223"/>
      <c r="D61" s="224"/>
      <c r="E61" s="223"/>
      <c r="F61" s="46"/>
      <c r="G61" s="46"/>
      <c r="H61" s="46"/>
      <c r="L61" s="63"/>
      <c r="M61" s="63"/>
      <c r="N61" s="63"/>
      <c r="O61" s="583" t="s">
        <v>127</v>
      </c>
      <c r="P61" s="583"/>
      <c r="Q61" s="236">
        <v>1665.9</v>
      </c>
      <c r="R61" s="190"/>
      <c r="S61" s="178"/>
    </row>
    <row r="62" spans="1:61" s="11" customFormat="1" ht="14.4" x14ac:dyDescent="0.3">
      <c r="A62" s="206"/>
      <c r="B62" s="223"/>
      <c r="C62" s="223"/>
      <c r="D62" s="224"/>
      <c r="E62" s="223"/>
      <c r="F62" s="46"/>
      <c r="G62" s="46"/>
      <c r="H62" s="46"/>
      <c r="L62" s="14"/>
      <c r="M62" s="14"/>
      <c r="N62" s="14"/>
      <c r="O62" s="563"/>
      <c r="P62" s="563"/>
      <c r="Q62" s="238"/>
      <c r="R62" s="222"/>
      <c r="S62" s="178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</row>
    <row r="63" spans="1:61" s="11" customFormat="1" ht="14.4" x14ac:dyDescent="0.3">
      <c r="A63" s="206"/>
      <c r="B63" s="223"/>
      <c r="C63" s="223"/>
      <c r="D63" s="224"/>
      <c r="E63" s="223"/>
      <c r="F63" s="46"/>
      <c r="G63" s="46"/>
      <c r="H63" s="46"/>
      <c r="L63" s="63"/>
      <c r="M63" s="63"/>
      <c r="N63" s="63"/>
      <c r="O63" s="518" t="s">
        <v>26</v>
      </c>
      <c r="P63" s="518"/>
      <c r="Q63" s="109">
        <f>SUM(Q54:Q62)</f>
        <v>3015.464857299291</v>
      </c>
      <c r="R63" s="175"/>
      <c r="S63" s="178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</row>
    <row r="64" spans="1:61" s="11" customFormat="1" ht="14.4" x14ac:dyDescent="0.3">
      <c r="A64" s="206"/>
      <c r="B64" s="223"/>
      <c r="C64" s="223"/>
      <c r="D64" s="224"/>
      <c r="E64" s="223"/>
      <c r="F64" s="46"/>
      <c r="G64" s="46"/>
      <c r="H64" s="46"/>
      <c r="L64" s="14"/>
      <c r="M64" s="14"/>
      <c r="N64" s="14"/>
      <c r="O64" s="543"/>
      <c r="P64" s="543"/>
      <c r="Q64" s="135"/>
      <c r="R64" s="175"/>
      <c r="S64" s="185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</row>
    <row r="65" spans="1:49" s="11" customFormat="1" ht="14.4" x14ac:dyDescent="0.3">
      <c r="A65" s="206"/>
      <c r="B65" s="223"/>
      <c r="C65" s="223"/>
      <c r="D65" s="224"/>
      <c r="E65" s="223"/>
      <c r="F65" s="46"/>
      <c r="G65" s="46"/>
      <c r="H65" s="46"/>
      <c r="L65" s="14"/>
      <c r="M65" s="14"/>
      <c r="N65" s="14"/>
      <c r="O65" s="564" t="s">
        <v>11</v>
      </c>
      <c r="P65" s="565"/>
      <c r="Q65" s="153">
        <f>L6+L36+L40</f>
        <v>15914.497961418443</v>
      </c>
      <c r="R65" s="175"/>
      <c r="S65" s="185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</row>
    <row r="66" spans="1:49" s="11" customFormat="1" ht="14.4" x14ac:dyDescent="0.3">
      <c r="A66" s="206"/>
      <c r="B66" s="223"/>
      <c r="C66" s="223"/>
      <c r="D66" s="224"/>
      <c r="E66" s="223"/>
      <c r="F66" s="46"/>
      <c r="G66" s="46"/>
      <c r="H66" s="46"/>
      <c r="L66" s="63"/>
      <c r="M66" s="63"/>
      <c r="N66" s="63"/>
      <c r="O66" s="518"/>
      <c r="P66" s="518"/>
      <c r="Q66" s="519"/>
      <c r="R66" s="175"/>
      <c r="S66" s="178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</row>
    <row r="67" spans="1:49" s="11" customFormat="1" ht="14.4" x14ac:dyDescent="0.3">
      <c r="A67" s="206"/>
      <c r="B67" s="223"/>
      <c r="C67" s="223"/>
      <c r="D67" s="224"/>
      <c r="E67" s="223"/>
      <c r="F67" s="46"/>
      <c r="G67" s="46"/>
      <c r="H67" s="46"/>
      <c r="L67" s="14"/>
      <c r="M67" s="14"/>
      <c r="N67" s="14"/>
      <c r="O67" s="513" t="s">
        <v>13</v>
      </c>
      <c r="P67" s="513"/>
      <c r="Q67" s="151">
        <f>Q65-Q63</f>
        <v>12899.033104119153</v>
      </c>
      <c r="R67" s="175"/>
      <c r="S67" s="178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</row>
    <row r="68" spans="1:49" s="11" customFormat="1" ht="15" customHeight="1" x14ac:dyDescent="0.3">
      <c r="A68" s="206"/>
      <c r="B68" s="223"/>
      <c r="C68" s="223"/>
      <c r="D68" s="224"/>
      <c r="E68" s="223"/>
      <c r="F68" s="46"/>
      <c r="G68" s="46"/>
      <c r="H68" s="46"/>
      <c r="L68" s="63"/>
      <c r="M68" s="63"/>
      <c r="N68" s="63"/>
      <c r="O68" s="124"/>
      <c r="P68" s="124"/>
      <c r="Q68" s="57"/>
      <c r="S68" s="14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</row>
    <row r="69" spans="1:49" s="11" customFormat="1" ht="14.4" x14ac:dyDescent="0.3">
      <c r="A69" s="206"/>
      <c r="B69" s="223"/>
      <c r="C69" s="223"/>
      <c r="D69" s="224"/>
      <c r="E69" s="223"/>
      <c r="F69" s="46"/>
      <c r="G69" s="46"/>
      <c r="H69" s="46"/>
      <c r="L69" s="14"/>
      <c r="M69" s="14"/>
      <c r="N69" s="14"/>
      <c r="O69" s="124"/>
      <c r="P69" s="124"/>
      <c r="Q69" s="57"/>
      <c r="R69" s="190"/>
      <c r="S69" s="178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</row>
    <row r="70" spans="1:49" s="11" customFormat="1" ht="14.4" x14ac:dyDescent="0.3">
      <c r="A70" s="206"/>
      <c r="B70" s="223"/>
      <c r="C70" s="223"/>
      <c r="D70" s="224"/>
      <c r="E70" s="223"/>
      <c r="F70" s="46"/>
      <c r="G70" s="46"/>
      <c r="H70" s="46"/>
      <c r="L70" s="63"/>
      <c r="M70" s="63"/>
      <c r="N70" s="63"/>
      <c r="O70" s="124"/>
      <c r="P70" s="124"/>
      <c r="Q70" s="57"/>
      <c r="R70" s="175"/>
      <c r="S70" s="178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</row>
    <row r="71" spans="1:49" s="11" customFormat="1" ht="14.4" x14ac:dyDescent="0.3">
      <c r="A71" s="206"/>
      <c r="B71" s="223"/>
      <c r="C71" s="223"/>
      <c r="D71" s="224"/>
      <c r="E71" s="223"/>
      <c r="F71" s="46"/>
      <c r="G71" s="46"/>
      <c r="H71" s="46"/>
      <c r="O71" s="124"/>
      <c r="P71" s="124"/>
      <c r="Q71" s="57"/>
      <c r="R71" s="175"/>
      <c r="S71" s="178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</row>
    <row r="72" spans="1:49" s="11" customFormat="1" ht="14.4" x14ac:dyDescent="0.3">
      <c r="A72" s="206"/>
      <c r="B72" s="223"/>
      <c r="C72" s="223"/>
      <c r="D72" s="224"/>
      <c r="E72" s="223"/>
      <c r="F72" s="46"/>
      <c r="G72" s="46"/>
      <c r="H72" s="46"/>
      <c r="L72" s="63"/>
      <c r="M72" s="63"/>
      <c r="N72" s="63"/>
      <c r="O72" s="15"/>
      <c r="P72" s="14"/>
      <c r="Q72" s="57"/>
      <c r="R72" s="175"/>
      <c r="S72" s="178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</row>
    <row r="73" spans="1:49" s="11" customFormat="1" ht="14.4" x14ac:dyDescent="0.3">
      <c r="A73" s="206"/>
      <c r="B73" s="223"/>
      <c r="C73" s="223"/>
      <c r="D73" s="224"/>
      <c r="E73" s="223"/>
      <c r="F73" s="46"/>
      <c r="G73" s="46"/>
      <c r="H73" s="46"/>
      <c r="L73" s="14"/>
      <c r="M73" s="14"/>
      <c r="N73" s="14"/>
      <c r="P73" s="15"/>
      <c r="Q73" s="57"/>
      <c r="R73" s="175"/>
      <c r="S73" s="185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</row>
    <row r="74" spans="1:49" s="11" customFormat="1" ht="14.4" x14ac:dyDescent="0.3">
      <c r="A74" s="206"/>
      <c r="B74" s="223"/>
      <c r="C74" s="223"/>
      <c r="D74" s="224"/>
      <c r="E74" s="223"/>
      <c r="F74" s="46"/>
      <c r="G74" s="46"/>
      <c r="H74" s="46"/>
      <c r="Q74" s="57"/>
      <c r="R74" s="175"/>
      <c r="S74" s="176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</row>
    <row r="75" spans="1:49" s="11" customFormat="1" ht="14.4" x14ac:dyDescent="0.3">
      <c r="A75" s="206"/>
      <c r="B75" s="223"/>
      <c r="C75" s="223"/>
      <c r="D75" s="224"/>
      <c r="E75" s="223"/>
      <c r="F75" s="46"/>
      <c r="G75" s="46"/>
      <c r="H75" s="46"/>
      <c r="O75" s="14"/>
      <c r="P75" s="14"/>
      <c r="Q75" s="57"/>
      <c r="R75" s="175"/>
      <c r="S75" s="176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</row>
    <row r="76" spans="1:49" s="11" customFormat="1" ht="14.4" x14ac:dyDescent="0.3">
      <c r="A76" s="206"/>
      <c r="B76" s="223"/>
      <c r="C76" s="223"/>
      <c r="D76" s="224"/>
      <c r="E76" s="223"/>
      <c r="F76" s="46"/>
      <c r="G76" s="46"/>
      <c r="H76" s="46"/>
      <c r="O76" s="14"/>
      <c r="P76" s="15"/>
      <c r="Q76" s="57"/>
      <c r="R76" s="175"/>
      <c r="S76" s="178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</row>
    <row r="77" spans="1:49" s="11" customFormat="1" ht="14.4" x14ac:dyDescent="0.3">
      <c r="A77" s="206"/>
      <c r="B77" s="223"/>
      <c r="C77" s="223"/>
      <c r="D77" s="224"/>
      <c r="E77" s="223"/>
      <c r="F77" s="46"/>
      <c r="G77" s="46"/>
      <c r="H77" s="46"/>
      <c r="L77" s="14"/>
      <c r="M77" s="14"/>
      <c r="N77" s="14"/>
      <c r="O77" s="14"/>
      <c r="Q77" s="57"/>
      <c r="R77" s="175"/>
      <c r="S77" s="178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</row>
    <row r="78" spans="1:49" s="11" customFormat="1" ht="14.4" x14ac:dyDescent="0.3">
      <c r="A78" s="206"/>
      <c r="B78" s="223"/>
      <c r="C78" s="223"/>
      <c r="D78" s="224"/>
      <c r="E78" s="223"/>
      <c r="F78" s="46"/>
      <c r="G78" s="46"/>
      <c r="H78" s="46"/>
      <c r="L78" s="15"/>
      <c r="M78" s="15"/>
      <c r="N78" s="15"/>
      <c r="O78" s="14"/>
      <c r="Q78" s="57"/>
      <c r="R78" s="175"/>
      <c r="S78" s="178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</row>
    <row r="79" spans="1:49" s="11" customFormat="1" ht="14.4" x14ac:dyDescent="0.3">
      <c r="A79" s="206"/>
      <c r="B79" s="223"/>
      <c r="C79" s="223"/>
      <c r="D79" s="224"/>
      <c r="E79" s="223"/>
      <c r="F79" s="46"/>
      <c r="G79" s="46"/>
      <c r="H79" s="46"/>
      <c r="L79" s="14"/>
      <c r="M79" s="14"/>
      <c r="N79" s="14"/>
      <c r="Q79" s="57"/>
      <c r="R79" s="175"/>
      <c r="S79" s="178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</row>
    <row r="80" spans="1:49" s="11" customFormat="1" ht="14.4" x14ac:dyDescent="0.3">
      <c r="A80" s="206"/>
      <c r="B80" s="223"/>
      <c r="C80" s="223"/>
      <c r="D80" s="224"/>
      <c r="E80" s="223"/>
      <c r="F80" s="46"/>
      <c r="G80" s="46"/>
      <c r="H80" s="46"/>
      <c r="L80" s="14"/>
      <c r="M80" s="14"/>
      <c r="N80" s="14"/>
      <c r="P80" s="14"/>
      <c r="Q80" s="57"/>
      <c r="R80" s="175"/>
      <c r="S80" s="178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</row>
    <row r="81" spans="1:49" s="11" customFormat="1" ht="14.4" x14ac:dyDescent="0.3">
      <c r="A81" s="206"/>
      <c r="B81" s="223"/>
      <c r="C81" s="223"/>
      <c r="D81" s="224"/>
      <c r="E81" s="223"/>
      <c r="F81" s="46"/>
      <c r="G81" s="46"/>
      <c r="H81" s="46"/>
      <c r="L81" s="14"/>
      <c r="M81" s="14"/>
      <c r="N81" s="14"/>
      <c r="P81" s="14"/>
      <c r="Q81" s="57"/>
      <c r="R81" s="175"/>
      <c r="S81" s="178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</row>
    <row r="82" spans="1:49" s="11" customFormat="1" x14ac:dyDescent="0.3">
      <c r="A82" s="206"/>
      <c r="B82" s="223"/>
      <c r="C82" s="223"/>
      <c r="D82" s="224"/>
      <c r="E82" s="223"/>
      <c r="F82" s="46"/>
      <c r="G82" s="46"/>
      <c r="H82" s="46"/>
      <c r="L82" s="14"/>
      <c r="M82" s="14"/>
      <c r="N82" s="14"/>
      <c r="P82" s="14"/>
      <c r="Q82" s="57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</row>
    <row r="83" spans="1:49" s="69" customFormat="1" x14ac:dyDescent="0.3">
      <c r="A83" s="206"/>
      <c r="B83" s="223"/>
      <c r="C83" s="223"/>
      <c r="D83" s="224"/>
      <c r="E83" s="223"/>
      <c r="F83" s="46"/>
      <c r="G83" s="46"/>
      <c r="H83" s="46"/>
      <c r="I83" s="11"/>
      <c r="J83" s="11"/>
      <c r="K83" s="11"/>
      <c r="L83" s="14"/>
      <c r="M83" s="14"/>
      <c r="N83" s="14"/>
      <c r="O83" s="11"/>
      <c r="P83" s="14"/>
      <c r="Q83" s="57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s="69" customFormat="1" x14ac:dyDescent="0.3">
      <c r="A84" s="206"/>
      <c r="B84" s="223"/>
      <c r="C84" s="223"/>
      <c r="D84" s="224"/>
      <c r="E84" s="223"/>
      <c r="F84" s="46"/>
      <c r="G84" s="46"/>
      <c r="H84" s="46"/>
      <c r="I84" s="11"/>
      <c r="J84" s="11"/>
      <c r="K84" s="11"/>
      <c r="L84" s="14"/>
      <c r="M84" s="14"/>
      <c r="N84" s="14"/>
      <c r="O84" s="11"/>
      <c r="P84" s="11"/>
      <c r="Q84" s="57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s="69" customFormat="1" x14ac:dyDescent="0.3">
      <c r="A85" s="206"/>
      <c r="B85" s="223"/>
      <c r="C85" s="223"/>
      <c r="D85" s="224"/>
      <c r="E85" s="223"/>
      <c r="F85" s="46"/>
      <c r="G85" s="46"/>
      <c r="H85" s="46"/>
      <c r="I85" s="11"/>
      <c r="J85" s="11"/>
      <c r="K85" s="11"/>
      <c r="L85" s="14"/>
      <c r="M85" s="14"/>
      <c r="N85" s="14"/>
      <c r="O85" s="11"/>
      <c r="P85" s="11"/>
      <c r="Q85" s="57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s="69" customFormat="1" x14ac:dyDescent="0.3">
      <c r="A86" s="206"/>
      <c r="B86" s="223"/>
      <c r="C86" s="223"/>
      <c r="D86" s="224"/>
      <c r="E86" s="223"/>
      <c r="F86" s="46"/>
      <c r="G86" s="46"/>
      <c r="H86" s="46"/>
      <c r="I86" s="11"/>
      <c r="J86" s="11"/>
      <c r="K86" s="11"/>
      <c r="L86" s="14"/>
      <c r="M86" s="14"/>
      <c r="N86" s="14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s="69" customFormat="1" x14ac:dyDescent="0.3">
      <c r="A87" s="206"/>
      <c r="B87" s="223"/>
      <c r="C87" s="223"/>
      <c r="D87" s="224"/>
      <c r="E87" s="223"/>
      <c r="F87" s="46"/>
      <c r="G87" s="46"/>
      <c r="H87" s="46"/>
      <c r="I87" s="11"/>
      <c r="J87" s="11"/>
      <c r="K87" s="11"/>
      <c r="L87" s="14"/>
      <c r="M87" s="14"/>
      <c r="N87" s="14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s="69" customFormat="1" x14ac:dyDescent="0.3">
      <c r="A88" s="206"/>
      <c r="B88" s="223"/>
      <c r="C88" s="223"/>
      <c r="D88" s="224"/>
      <c r="E88" s="223"/>
      <c r="F88" s="46"/>
      <c r="G88" s="46"/>
      <c r="H88" s="46"/>
      <c r="I88" s="11"/>
      <c r="J88" s="11"/>
      <c r="K88" s="11"/>
      <c r="L88" s="14"/>
      <c r="M88" s="14"/>
      <c r="N88" s="14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69" customFormat="1" x14ac:dyDescent="0.3">
      <c r="A89" s="206"/>
      <c r="B89" s="223"/>
      <c r="C89" s="223"/>
      <c r="D89" s="224"/>
      <c r="E89" s="223"/>
      <c r="F89" s="46"/>
      <c r="G89" s="46"/>
      <c r="H89" s="46"/>
      <c r="I89" s="11"/>
      <c r="J89" s="11"/>
      <c r="K89" s="11"/>
      <c r="L89" s="14"/>
      <c r="M89" s="14"/>
      <c r="N89" s="14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s="69" customFormat="1" x14ac:dyDescent="0.3">
      <c r="A90" s="206"/>
      <c r="B90" s="223"/>
      <c r="C90" s="223"/>
      <c r="D90" s="224"/>
      <c r="E90" s="223"/>
      <c r="F90" s="46"/>
      <c r="G90" s="46"/>
      <c r="H90" s="46"/>
      <c r="I90" s="11"/>
      <c r="J90" s="11"/>
      <c r="K90" s="11"/>
      <c r="L90" s="14"/>
      <c r="M90" s="14"/>
      <c r="N90" s="14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s="69" customFormat="1" x14ac:dyDescent="0.3">
      <c r="A91" s="206"/>
      <c r="B91" s="223"/>
      <c r="C91" s="223"/>
      <c r="D91" s="224"/>
      <c r="E91" s="223"/>
      <c r="F91" s="46"/>
      <c r="G91" s="46"/>
      <c r="H91" s="46"/>
      <c r="I91" s="11"/>
      <c r="J91" s="11"/>
      <c r="K91" s="11"/>
      <c r="L91" s="14"/>
      <c r="M91" s="14"/>
      <c r="N91" s="14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</row>
    <row r="92" spans="1:49" s="69" customFormat="1" x14ac:dyDescent="0.3">
      <c r="A92" s="206"/>
      <c r="B92" s="223"/>
      <c r="C92" s="223"/>
      <c r="D92" s="224"/>
      <c r="E92" s="223"/>
      <c r="F92" s="46"/>
      <c r="G92" s="46"/>
      <c r="H92" s="46"/>
      <c r="I92" s="11"/>
      <c r="J92" s="11"/>
      <c r="K92" s="11"/>
      <c r="L92" s="14"/>
      <c r="M92" s="14"/>
      <c r="N92" s="14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</row>
    <row r="93" spans="1:49" s="69" customFormat="1" x14ac:dyDescent="0.3">
      <c r="A93" s="206"/>
      <c r="B93" s="223"/>
      <c r="C93" s="223"/>
      <c r="D93" s="224"/>
      <c r="E93" s="223"/>
      <c r="F93" s="46"/>
      <c r="G93" s="46"/>
      <c r="H93" s="46"/>
      <c r="I93" s="11"/>
      <c r="J93" s="11"/>
      <c r="K93" s="11"/>
      <c r="L93" s="14"/>
      <c r="M93" s="14"/>
      <c r="N93" s="14"/>
      <c r="O93" s="144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s="69" customFormat="1" x14ac:dyDescent="0.3">
      <c r="A94" s="206"/>
      <c r="B94" s="223"/>
      <c r="C94" s="223"/>
      <c r="D94" s="224"/>
      <c r="E94" s="223"/>
      <c r="F94" s="46"/>
      <c r="G94" s="46"/>
      <c r="H94" s="46"/>
      <c r="L94" s="142"/>
      <c r="M94" s="142"/>
      <c r="N94" s="142"/>
      <c r="O94" s="144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0" customFormat="1" x14ac:dyDescent="0.3">
      <c r="A95" s="206"/>
      <c r="B95" s="223"/>
      <c r="C95" s="223"/>
      <c r="D95" s="224"/>
      <c r="E95" s="223"/>
      <c r="F95" s="46"/>
      <c r="G95" s="46"/>
      <c r="H95" s="46"/>
      <c r="I95" s="63"/>
      <c r="J95" s="63"/>
      <c r="K95" s="63"/>
      <c r="L95" s="69"/>
      <c r="M95" s="69"/>
      <c r="N95" s="69"/>
      <c r="O95" s="144"/>
      <c r="P95" s="69"/>
    </row>
    <row r="96" spans="1:49" s="70" customFormat="1" ht="15" customHeight="1" x14ac:dyDescent="0.3">
      <c r="A96" s="206"/>
      <c r="B96" s="223"/>
      <c r="C96" s="223"/>
      <c r="D96" s="224"/>
      <c r="E96" s="223"/>
      <c r="F96" s="46"/>
      <c r="G96" s="46"/>
      <c r="H96" s="46"/>
      <c r="I96" s="11"/>
      <c r="J96" s="11"/>
      <c r="K96" s="63"/>
      <c r="L96" s="142"/>
      <c r="M96" s="142"/>
      <c r="N96" s="142"/>
      <c r="O96" s="144"/>
      <c r="P96" s="69"/>
      <c r="AW96" s="69"/>
    </row>
    <row r="97" spans="1:49" s="70" customFormat="1" x14ac:dyDescent="0.3">
      <c r="A97" s="206"/>
      <c r="B97" s="223"/>
      <c r="C97" s="223"/>
      <c r="D97" s="224"/>
      <c r="E97" s="223"/>
      <c r="F97" s="46"/>
      <c r="G97" s="46"/>
      <c r="H97" s="46"/>
      <c r="I97" s="142"/>
      <c r="J97" s="142"/>
      <c r="K97" s="142"/>
      <c r="L97" s="142"/>
      <c r="M97" s="142"/>
      <c r="N97" s="142"/>
      <c r="O97" s="144"/>
      <c r="P97" s="69"/>
      <c r="AW97" s="69"/>
    </row>
    <row r="98" spans="1:49" s="70" customFormat="1" x14ac:dyDescent="0.3">
      <c r="A98" s="206"/>
      <c r="B98" s="223"/>
      <c r="C98" s="223"/>
      <c r="D98" s="224"/>
      <c r="E98" s="223"/>
      <c r="F98" s="46"/>
      <c r="G98" s="46"/>
      <c r="H98" s="46"/>
      <c r="I98" s="11"/>
      <c r="J98" s="11"/>
      <c r="K98" s="63"/>
      <c r="L98" s="142"/>
      <c r="M98" s="142"/>
      <c r="N98" s="142"/>
      <c r="O98" s="144"/>
      <c r="P98" s="144"/>
      <c r="AW98" s="69"/>
    </row>
    <row r="99" spans="1:49" s="70" customFormat="1" x14ac:dyDescent="0.3">
      <c r="A99" s="206"/>
      <c r="B99" s="223"/>
      <c r="C99" s="223"/>
      <c r="D99" s="224"/>
      <c r="E99" s="223"/>
      <c r="F99" s="46"/>
      <c r="G99" s="46"/>
      <c r="H99" s="46"/>
      <c r="I99" s="142"/>
      <c r="J99" s="142"/>
      <c r="K99" s="142"/>
      <c r="L99" s="142"/>
      <c r="M99" s="142"/>
      <c r="N99" s="142"/>
      <c r="O99" s="144"/>
      <c r="P99" s="144"/>
      <c r="AW99" s="69"/>
    </row>
    <row r="100" spans="1:49" s="70" customFormat="1" x14ac:dyDescent="0.3">
      <c r="A100" s="206"/>
      <c r="B100" s="223"/>
      <c r="C100" s="223"/>
      <c r="D100" s="224"/>
      <c r="E100" s="223"/>
      <c r="F100" s="46"/>
      <c r="G100" s="46"/>
      <c r="H100" s="46"/>
      <c r="I100" s="11"/>
      <c r="J100" s="11"/>
      <c r="K100" s="63"/>
      <c r="L100" s="142"/>
      <c r="M100" s="142"/>
      <c r="N100" s="142"/>
      <c r="O100" s="144"/>
      <c r="P100" s="144"/>
      <c r="AW100" s="69"/>
    </row>
    <row r="101" spans="1:49" s="70" customFormat="1" x14ac:dyDescent="0.3">
      <c r="A101" s="206"/>
      <c r="B101" s="223"/>
      <c r="C101" s="223"/>
      <c r="D101" s="224"/>
      <c r="E101" s="223"/>
      <c r="F101" s="46"/>
      <c r="G101" s="46"/>
      <c r="H101" s="46"/>
      <c r="I101" s="142"/>
      <c r="J101" s="142"/>
      <c r="K101" s="142"/>
      <c r="L101" s="142"/>
      <c r="M101" s="142"/>
      <c r="N101" s="142"/>
      <c r="O101" s="144"/>
      <c r="P101" s="144"/>
      <c r="AW101" s="69"/>
    </row>
    <row r="102" spans="1:49" s="70" customFormat="1" x14ac:dyDescent="0.3">
      <c r="A102" s="206"/>
      <c r="B102" s="223"/>
      <c r="C102" s="223"/>
      <c r="D102" s="224"/>
      <c r="E102" s="223"/>
      <c r="F102" s="46"/>
      <c r="G102" s="46"/>
      <c r="H102" s="46"/>
      <c r="I102" s="11"/>
      <c r="J102" s="11"/>
      <c r="K102" s="63"/>
      <c r="L102" s="142"/>
      <c r="M102" s="142"/>
      <c r="N102" s="142"/>
      <c r="O102" s="144"/>
      <c r="P102" s="144"/>
      <c r="AW102" s="69"/>
    </row>
    <row r="103" spans="1:49" s="70" customFormat="1" x14ac:dyDescent="0.3">
      <c r="A103" s="206"/>
      <c r="B103" s="223"/>
      <c r="C103" s="223"/>
      <c r="D103" s="224"/>
      <c r="E103" s="223"/>
      <c r="F103" s="46"/>
      <c r="G103" s="46"/>
      <c r="H103" s="46"/>
      <c r="I103" s="142"/>
      <c r="J103" s="142"/>
      <c r="K103" s="142"/>
      <c r="L103" s="142"/>
      <c r="M103" s="142"/>
      <c r="N103" s="142"/>
      <c r="O103" s="144"/>
      <c r="P103" s="144"/>
      <c r="AW103" s="69"/>
    </row>
    <row r="104" spans="1:49" s="70" customFormat="1" x14ac:dyDescent="0.3">
      <c r="A104" s="206"/>
      <c r="B104" s="223"/>
      <c r="C104" s="223"/>
      <c r="D104" s="224"/>
      <c r="E104" s="223"/>
      <c r="F104" s="46"/>
      <c r="G104" s="46"/>
      <c r="H104" s="46"/>
      <c r="I104" s="11"/>
      <c r="J104" s="11"/>
      <c r="K104" s="63"/>
      <c r="L104" s="142"/>
      <c r="M104" s="142"/>
      <c r="N104" s="142"/>
      <c r="O104" s="144"/>
      <c r="P104" s="144"/>
      <c r="AW104" s="69"/>
    </row>
    <row r="105" spans="1:49" s="70" customFormat="1" x14ac:dyDescent="0.3">
      <c r="A105" s="148"/>
      <c r="B105" s="225"/>
      <c r="C105" s="225"/>
      <c r="D105" s="225"/>
      <c r="E105" s="225"/>
      <c r="F105" s="46"/>
      <c r="G105" s="46"/>
      <c r="H105" s="46"/>
      <c r="I105" s="142"/>
      <c r="J105" s="142"/>
      <c r="K105" s="142"/>
      <c r="L105" s="142"/>
      <c r="M105" s="142"/>
      <c r="N105" s="142"/>
      <c r="O105" s="144"/>
      <c r="P105" s="144"/>
      <c r="AW105" s="69"/>
    </row>
    <row r="106" spans="1:49" s="70" customFormat="1" x14ac:dyDescent="0.3">
      <c r="A106" s="69"/>
      <c r="B106" s="69"/>
      <c r="C106" s="69"/>
      <c r="D106" s="69"/>
      <c r="E106" s="69"/>
      <c r="F106" s="69"/>
      <c r="G106" s="69"/>
      <c r="H106" s="69"/>
      <c r="I106" s="142"/>
      <c r="J106" s="142"/>
      <c r="K106" s="142"/>
      <c r="L106" s="142"/>
      <c r="M106" s="142"/>
      <c r="N106" s="142"/>
      <c r="O106" s="144"/>
      <c r="P106" s="144"/>
      <c r="AW106" s="69"/>
    </row>
    <row r="107" spans="1:49" s="70" customFormat="1" x14ac:dyDescent="0.3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142"/>
      <c r="M107" s="142"/>
      <c r="N107" s="142"/>
      <c r="O107" s="144"/>
      <c r="P107" s="144"/>
      <c r="AW107" s="69"/>
    </row>
    <row r="108" spans="1:49" s="70" customFormat="1" x14ac:dyDescent="0.3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142"/>
      <c r="M108" s="142"/>
      <c r="N108" s="142"/>
      <c r="O108" s="144"/>
      <c r="P108" s="144"/>
      <c r="AW108" s="69"/>
    </row>
    <row r="109" spans="1:49" s="70" customFormat="1" x14ac:dyDescent="0.3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142"/>
      <c r="M109" s="142"/>
      <c r="N109" s="142"/>
      <c r="O109" s="144"/>
      <c r="P109" s="144"/>
      <c r="AW109" s="69"/>
    </row>
    <row r="110" spans="1:49" s="70" customFormat="1" x14ac:dyDescent="0.3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142"/>
      <c r="M110" s="142"/>
      <c r="N110" s="142"/>
      <c r="O110" s="144"/>
      <c r="P110" s="144"/>
      <c r="AW110" s="69"/>
    </row>
    <row r="111" spans="1:49" s="70" customFormat="1" x14ac:dyDescent="0.3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142"/>
      <c r="M111" s="142"/>
      <c r="N111" s="142"/>
      <c r="O111" s="144"/>
      <c r="P111" s="144"/>
      <c r="AW111" s="69"/>
    </row>
    <row r="112" spans="1:49" s="70" customFormat="1" x14ac:dyDescent="0.3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142"/>
      <c r="M112" s="142"/>
      <c r="N112" s="142"/>
      <c r="O112" s="144"/>
      <c r="P112" s="144"/>
      <c r="AW112" s="69"/>
    </row>
    <row r="113" spans="6:49" s="70" customFormat="1" x14ac:dyDescent="0.3">
      <c r="F113" s="69"/>
      <c r="G113" s="69"/>
      <c r="H113" s="69"/>
      <c r="I113" s="69"/>
      <c r="J113" s="69"/>
      <c r="K113" s="69"/>
      <c r="L113" s="142"/>
      <c r="M113" s="142"/>
      <c r="N113" s="142"/>
      <c r="O113" s="144"/>
      <c r="P113" s="144"/>
      <c r="AW113" s="69"/>
    </row>
    <row r="114" spans="6:49" s="70" customFormat="1" x14ac:dyDescent="0.3">
      <c r="I114" s="69"/>
      <c r="J114" s="69"/>
      <c r="K114" s="69"/>
      <c r="L114" s="142"/>
      <c r="M114" s="142"/>
      <c r="N114" s="142"/>
      <c r="O114" s="144"/>
      <c r="P114" s="144"/>
      <c r="AW114" s="69"/>
    </row>
    <row r="115" spans="6:49" s="70" customFormat="1" x14ac:dyDescent="0.3">
      <c r="L115" s="142"/>
      <c r="M115" s="142"/>
      <c r="N115" s="142"/>
      <c r="O115" s="144"/>
      <c r="P115" s="144"/>
      <c r="AW115" s="69"/>
    </row>
    <row r="116" spans="6:49" s="70" customFormat="1" x14ac:dyDescent="0.3">
      <c r="L116" s="142"/>
      <c r="M116" s="142"/>
      <c r="N116" s="142"/>
      <c r="O116" s="144"/>
      <c r="P116" s="144"/>
      <c r="AW116" s="69"/>
    </row>
    <row r="117" spans="6:49" s="70" customFormat="1" x14ac:dyDescent="0.3">
      <c r="L117" s="142"/>
      <c r="M117" s="142"/>
      <c r="N117" s="142"/>
      <c r="O117" s="144"/>
      <c r="P117" s="144"/>
      <c r="AW117" s="69"/>
    </row>
    <row r="118" spans="6:49" s="70" customFormat="1" x14ac:dyDescent="0.3">
      <c r="L118" s="142"/>
      <c r="M118" s="142"/>
      <c r="N118" s="142"/>
      <c r="O118" s="144"/>
      <c r="P118" s="144"/>
      <c r="AW118" s="69"/>
    </row>
    <row r="119" spans="6:49" s="70" customFormat="1" x14ac:dyDescent="0.3">
      <c r="L119" s="142"/>
      <c r="M119" s="142"/>
      <c r="N119" s="142"/>
      <c r="O119" s="144"/>
      <c r="P119" s="144"/>
      <c r="AW119" s="69"/>
    </row>
    <row r="120" spans="6:49" s="70" customFormat="1" x14ac:dyDescent="0.3">
      <c r="L120" s="142"/>
      <c r="M120" s="142"/>
      <c r="N120" s="142"/>
      <c r="O120" s="144"/>
      <c r="P120" s="144"/>
      <c r="AW120" s="69"/>
    </row>
    <row r="121" spans="6:49" s="70" customFormat="1" x14ac:dyDescent="0.3">
      <c r="L121" s="142"/>
      <c r="M121" s="142"/>
      <c r="N121" s="142"/>
      <c r="O121" s="144"/>
      <c r="P121" s="144"/>
      <c r="AW121" s="69"/>
    </row>
    <row r="122" spans="6:49" s="70" customFormat="1" x14ac:dyDescent="0.3">
      <c r="L122" s="142"/>
      <c r="M122" s="142"/>
      <c r="N122" s="142"/>
      <c r="O122" s="144"/>
      <c r="P122" s="144"/>
      <c r="AW122" s="69"/>
    </row>
    <row r="123" spans="6:49" s="70" customFormat="1" x14ac:dyDescent="0.3">
      <c r="L123" s="142"/>
      <c r="M123" s="142"/>
      <c r="N123" s="142"/>
      <c r="O123" s="144"/>
      <c r="P123" s="144"/>
      <c r="AW123" s="69"/>
    </row>
    <row r="124" spans="6:49" s="70" customFormat="1" x14ac:dyDescent="0.3">
      <c r="L124" s="142"/>
      <c r="M124" s="142"/>
      <c r="N124" s="142"/>
      <c r="O124" s="144"/>
      <c r="P124" s="144"/>
      <c r="AW124" s="69"/>
    </row>
    <row r="125" spans="6:49" s="70" customFormat="1" x14ac:dyDescent="0.3">
      <c r="L125" s="142"/>
      <c r="M125" s="142"/>
      <c r="N125" s="142"/>
      <c r="O125" s="144"/>
      <c r="P125" s="144"/>
      <c r="AW125" s="69"/>
    </row>
    <row r="126" spans="6:49" s="70" customFormat="1" x14ac:dyDescent="0.3">
      <c r="L126" s="142"/>
      <c r="M126" s="142"/>
      <c r="N126" s="142"/>
      <c r="O126" s="144"/>
      <c r="P126" s="144"/>
      <c r="AW126" s="69"/>
    </row>
    <row r="127" spans="6:49" s="70" customFormat="1" x14ac:dyDescent="0.3">
      <c r="L127" s="142"/>
      <c r="M127" s="142"/>
      <c r="N127" s="142"/>
      <c r="O127" s="144"/>
      <c r="P127" s="144"/>
      <c r="AW127" s="69"/>
    </row>
    <row r="128" spans="6:49" s="70" customFormat="1" x14ac:dyDescent="0.3">
      <c r="L128" s="142"/>
      <c r="M128" s="142"/>
      <c r="N128" s="142"/>
      <c r="O128" s="144"/>
      <c r="P128" s="144"/>
      <c r="AW128" s="69"/>
    </row>
    <row r="129" spans="12:49" s="70" customFormat="1" x14ac:dyDescent="0.3">
      <c r="L129" s="142"/>
      <c r="M129" s="142"/>
      <c r="N129" s="142"/>
      <c r="O129" s="144"/>
      <c r="P129" s="144"/>
      <c r="AW129" s="69"/>
    </row>
    <row r="130" spans="12:49" s="70" customFormat="1" x14ac:dyDescent="0.3">
      <c r="L130" s="142"/>
      <c r="M130" s="142"/>
      <c r="N130" s="142"/>
      <c r="O130" s="144"/>
      <c r="P130" s="144"/>
      <c r="AW130" s="69"/>
    </row>
    <row r="131" spans="12:49" s="70" customFormat="1" x14ac:dyDescent="0.3">
      <c r="L131" s="142"/>
      <c r="M131" s="142"/>
      <c r="N131" s="142"/>
      <c r="O131" s="144"/>
      <c r="P131" s="144"/>
      <c r="AW131" s="69"/>
    </row>
    <row r="132" spans="12:49" s="70" customFormat="1" x14ac:dyDescent="0.3">
      <c r="L132" s="142"/>
      <c r="M132" s="142"/>
      <c r="N132" s="142"/>
      <c r="O132" s="144"/>
      <c r="P132" s="144"/>
      <c r="AW132" s="69"/>
    </row>
    <row r="133" spans="12:49" s="70" customFormat="1" x14ac:dyDescent="0.3">
      <c r="L133" s="142"/>
      <c r="M133" s="142"/>
      <c r="N133" s="142"/>
      <c r="O133" s="144"/>
      <c r="P133" s="144"/>
      <c r="AW133" s="69"/>
    </row>
    <row r="134" spans="12:49" s="70" customFormat="1" x14ac:dyDescent="0.3">
      <c r="L134" s="142"/>
      <c r="M134" s="142"/>
      <c r="N134" s="142"/>
      <c r="O134" s="144"/>
      <c r="P134" s="144"/>
      <c r="AW134" s="69"/>
    </row>
    <row r="135" spans="12:49" s="70" customFormat="1" x14ac:dyDescent="0.3">
      <c r="L135" s="142"/>
      <c r="M135" s="142"/>
      <c r="N135" s="142"/>
      <c r="O135" s="144"/>
      <c r="P135" s="144"/>
      <c r="AW135" s="69"/>
    </row>
    <row r="136" spans="12:49" s="70" customFormat="1" x14ac:dyDescent="0.3">
      <c r="L136" s="142"/>
      <c r="M136" s="142"/>
      <c r="N136" s="142"/>
      <c r="O136" s="144"/>
      <c r="P136" s="144"/>
      <c r="AW136" s="69"/>
    </row>
    <row r="137" spans="12:49" s="70" customFormat="1" x14ac:dyDescent="0.3">
      <c r="L137" s="142"/>
      <c r="M137" s="142"/>
      <c r="N137" s="142"/>
      <c r="O137" s="144"/>
      <c r="P137" s="144"/>
      <c r="AW137" s="69"/>
    </row>
    <row r="138" spans="12:49" s="70" customFormat="1" x14ac:dyDescent="0.3">
      <c r="L138" s="142"/>
      <c r="M138" s="142"/>
      <c r="N138" s="142"/>
      <c r="O138" s="144"/>
      <c r="P138" s="144"/>
      <c r="AW138" s="69"/>
    </row>
    <row r="139" spans="12:49" s="70" customFormat="1" x14ac:dyDescent="0.3">
      <c r="L139" s="142"/>
      <c r="M139" s="142"/>
      <c r="N139" s="142"/>
      <c r="O139" s="144"/>
      <c r="P139" s="144"/>
      <c r="AW139" s="69"/>
    </row>
    <row r="140" spans="12:49" s="70" customFormat="1" x14ac:dyDescent="0.3">
      <c r="L140" s="142"/>
      <c r="M140" s="142"/>
      <c r="N140" s="142"/>
      <c r="O140" s="144"/>
      <c r="P140" s="144"/>
      <c r="AW140" s="69"/>
    </row>
    <row r="141" spans="12:49" s="70" customFormat="1" x14ac:dyDescent="0.3">
      <c r="L141" s="142"/>
      <c r="M141" s="142"/>
      <c r="N141" s="142"/>
      <c r="O141" s="144"/>
      <c r="P141" s="144"/>
      <c r="AW141" s="69"/>
    </row>
    <row r="142" spans="12:49" s="70" customFormat="1" x14ac:dyDescent="0.3">
      <c r="L142" s="142"/>
      <c r="M142" s="142"/>
      <c r="N142" s="142"/>
      <c r="O142" s="144"/>
      <c r="P142" s="144"/>
      <c r="AW142" s="69"/>
    </row>
    <row r="143" spans="12:49" s="70" customFormat="1" x14ac:dyDescent="0.3">
      <c r="L143" s="142"/>
      <c r="M143" s="142"/>
      <c r="N143" s="142"/>
      <c r="O143" s="144"/>
      <c r="P143" s="144"/>
      <c r="AW143" s="69"/>
    </row>
    <row r="144" spans="12:49" s="70" customFormat="1" x14ac:dyDescent="0.3">
      <c r="L144" s="142"/>
      <c r="M144" s="142"/>
      <c r="N144" s="142"/>
      <c r="O144" s="144"/>
      <c r="P144" s="144"/>
      <c r="AW144" s="69"/>
    </row>
    <row r="145" spans="12:49" s="70" customFormat="1" x14ac:dyDescent="0.3">
      <c r="L145" s="142"/>
      <c r="M145" s="142"/>
      <c r="N145" s="142"/>
      <c r="O145" s="144"/>
      <c r="P145" s="144"/>
      <c r="AW145" s="69"/>
    </row>
    <row r="146" spans="12:49" s="70" customFormat="1" x14ac:dyDescent="0.3">
      <c r="L146" s="142"/>
      <c r="M146" s="142"/>
      <c r="N146" s="142"/>
      <c r="O146" s="144"/>
      <c r="P146" s="144"/>
      <c r="AW146" s="69"/>
    </row>
    <row r="147" spans="12:49" s="70" customFormat="1" x14ac:dyDescent="0.3">
      <c r="L147" s="142"/>
      <c r="M147" s="142"/>
      <c r="N147" s="142"/>
      <c r="O147" s="144"/>
      <c r="P147" s="144"/>
      <c r="AW147" s="69"/>
    </row>
    <row r="148" spans="12:49" s="70" customFormat="1" x14ac:dyDescent="0.3">
      <c r="L148" s="142"/>
      <c r="M148" s="142"/>
      <c r="N148" s="142"/>
      <c r="O148" s="144"/>
      <c r="P148" s="144"/>
      <c r="AW148" s="69"/>
    </row>
    <row r="149" spans="12:49" s="70" customFormat="1" x14ac:dyDescent="0.3">
      <c r="L149" s="142"/>
      <c r="M149" s="142"/>
      <c r="N149" s="142"/>
      <c r="O149" s="144"/>
      <c r="P149" s="144"/>
      <c r="AW149" s="69"/>
    </row>
    <row r="150" spans="12:49" s="70" customFormat="1" x14ac:dyDescent="0.3">
      <c r="L150" s="142"/>
      <c r="M150" s="142"/>
      <c r="N150" s="142"/>
      <c r="O150" s="144"/>
      <c r="P150" s="144"/>
      <c r="AW150" s="69"/>
    </row>
    <row r="151" spans="12:49" s="70" customFormat="1" x14ac:dyDescent="0.3">
      <c r="L151" s="142"/>
      <c r="M151" s="142"/>
      <c r="N151" s="142"/>
      <c r="O151" s="144"/>
      <c r="P151" s="144"/>
      <c r="AW151" s="69"/>
    </row>
    <row r="152" spans="12:49" s="70" customFormat="1" x14ac:dyDescent="0.3">
      <c r="L152" s="142"/>
      <c r="M152" s="142"/>
      <c r="N152" s="142"/>
      <c r="O152" s="144"/>
      <c r="P152" s="144"/>
      <c r="AW152" s="69"/>
    </row>
    <row r="153" spans="12:49" s="70" customFormat="1" x14ac:dyDescent="0.3">
      <c r="L153" s="142"/>
      <c r="M153" s="142"/>
      <c r="N153" s="142"/>
      <c r="O153" s="144"/>
      <c r="P153" s="144"/>
      <c r="AW153" s="69"/>
    </row>
    <row r="154" spans="12:49" s="70" customFormat="1" x14ac:dyDescent="0.3">
      <c r="L154" s="142"/>
      <c r="M154" s="142"/>
      <c r="N154" s="142"/>
      <c r="O154" s="144"/>
      <c r="P154" s="144"/>
      <c r="AW154" s="69"/>
    </row>
    <row r="155" spans="12:49" s="70" customFormat="1" x14ac:dyDescent="0.3">
      <c r="L155" s="142"/>
      <c r="M155" s="142"/>
      <c r="N155" s="142"/>
      <c r="O155" s="144"/>
      <c r="P155" s="144"/>
      <c r="AW155" s="69"/>
    </row>
    <row r="156" spans="12:49" s="70" customFormat="1" x14ac:dyDescent="0.3">
      <c r="L156" s="142"/>
      <c r="M156" s="142"/>
      <c r="N156" s="142"/>
      <c r="O156" s="144"/>
      <c r="P156" s="144"/>
      <c r="AW156" s="69"/>
    </row>
    <row r="157" spans="12:49" s="70" customFormat="1" x14ac:dyDescent="0.3">
      <c r="L157" s="142"/>
      <c r="M157" s="142"/>
      <c r="N157" s="142"/>
      <c r="O157" s="144"/>
      <c r="P157" s="144"/>
      <c r="AW157" s="69"/>
    </row>
    <row r="158" spans="12:49" s="70" customFormat="1" x14ac:dyDescent="0.3">
      <c r="L158" s="142"/>
      <c r="M158" s="142"/>
      <c r="N158" s="142"/>
      <c r="O158" s="144"/>
      <c r="P158" s="144"/>
      <c r="AW158" s="69"/>
    </row>
    <row r="159" spans="12:49" s="70" customFormat="1" x14ac:dyDescent="0.3">
      <c r="L159" s="142"/>
      <c r="M159" s="142"/>
      <c r="N159" s="142"/>
      <c r="O159" s="144"/>
      <c r="P159" s="144"/>
      <c r="AW159" s="69"/>
    </row>
    <row r="160" spans="12:49" s="70" customFormat="1" x14ac:dyDescent="0.3">
      <c r="L160" s="142"/>
      <c r="M160" s="142"/>
      <c r="N160" s="142"/>
      <c r="O160" s="144"/>
      <c r="P160" s="144"/>
      <c r="AW160" s="69"/>
    </row>
    <row r="161" spans="1:50" s="70" customFormat="1" x14ac:dyDescent="0.3">
      <c r="L161" s="142"/>
      <c r="M161" s="142"/>
      <c r="N161" s="142"/>
      <c r="O161" s="144"/>
      <c r="P161" s="144"/>
      <c r="AW161" s="69"/>
    </row>
    <row r="162" spans="1:50" s="70" customFormat="1" x14ac:dyDescent="0.3">
      <c r="L162" s="142"/>
      <c r="M162" s="142"/>
      <c r="N162" s="142"/>
      <c r="O162" s="144"/>
      <c r="P162" s="144"/>
      <c r="AW162" s="69"/>
    </row>
    <row r="163" spans="1:50" s="70" customFormat="1" x14ac:dyDescent="0.3">
      <c r="L163" s="142"/>
      <c r="M163" s="142"/>
      <c r="N163" s="142"/>
      <c r="O163" s="144"/>
      <c r="P163" s="144"/>
      <c r="AW163" s="69"/>
    </row>
    <row r="164" spans="1:50" s="70" customFormat="1" x14ac:dyDescent="0.3">
      <c r="L164" s="142"/>
      <c r="M164" s="142"/>
      <c r="N164" s="142"/>
      <c r="O164" s="144"/>
      <c r="P164" s="144"/>
      <c r="AW164" s="69"/>
    </row>
    <row r="165" spans="1:50" s="70" customFormat="1" x14ac:dyDescent="0.3">
      <c r="L165" s="142"/>
      <c r="M165" s="142"/>
      <c r="N165" s="142"/>
      <c r="O165" s="144"/>
      <c r="P165" s="144"/>
      <c r="AW165" s="69"/>
    </row>
    <row r="166" spans="1:50" s="70" customFormat="1" x14ac:dyDescent="0.3">
      <c r="L166" s="142"/>
      <c r="M166" s="142"/>
      <c r="N166" s="142"/>
      <c r="O166" s="144"/>
      <c r="P166" s="144"/>
      <c r="AW166" s="69"/>
    </row>
    <row r="167" spans="1:50" s="70" customFormat="1" x14ac:dyDescent="0.3">
      <c r="L167" s="142"/>
      <c r="M167" s="142"/>
      <c r="N167" s="142"/>
      <c r="O167" s="144"/>
      <c r="P167" s="144"/>
      <c r="AW167" s="69"/>
    </row>
    <row r="168" spans="1:50" s="70" customFormat="1" x14ac:dyDescent="0.3">
      <c r="L168" s="142"/>
      <c r="M168" s="142"/>
      <c r="N168" s="142"/>
      <c r="O168" s="144"/>
      <c r="P168" s="144"/>
      <c r="AW168" s="69"/>
    </row>
    <row r="169" spans="1:50" s="70" customFormat="1" x14ac:dyDescent="0.3">
      <c r="L169" s="142"/>
      <c r="M169" s="142"/>
      <c r="N169" s="142"/>
      <c r="O169" s="144"/>
      <c r="P169" s="144"/>
      <c r="AW169" s="69"/>
    </row>
    <row r="170" spans="1:50" s="145" customFormat="1" x14ac:dyDescent="0.3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142"/>
      <c r="M170" s="142"/>
      <c r="N170" s="142"/>
      <c r="O170" s="147"/>
      <c r="P170" s="144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69"/>
      <c r="AX170" s="70"/>
    </row>
    <row r="171" spans="1:50" s="145" customFormat="1" x14ac:dyDescent="0.3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142"/>
      <c r="M171" s="142"/>
      <c r="N171" s="142"/>
      <c r="O171" s="147"/>
      <c r="P171" s="144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69"/>
      <c r="AX171" s="70"/>
    </row>
    <row r="172" spans="1:50" s="145" customFormat="1" x14ac:dyDescent="0.3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142"/>
      <c r="M172" s="142"/>
      <c r="N172" s="142"/>
      <c r="O172" s="147"/>
      <c r="P172" s="144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69"/>
      <c r="AX172" s="70"/>
    </row>
    <row r="173" spans="1:50" s="145" customFormat="1" x14ac:dyDescent="0.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142"/>
      <c r="M173" s="142"/>
      <c r="N173" s="142"/>
      <c r="O173" s="147"/>
      <c r="P173" s="144"/>
      <c r="Q173" s="149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69"/>
      <c r="AX173" s="70"/>
    </row>
    <row r="174" spans="1:50" s="145" customFormat="1" x14ac:dyDescent="0.3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142"/>
      <c r="M174" s="142"/>
      <c r="N174" s="142"/>
      <c r="O174" s="147"/>
      <c r="P174" s="144"/>
      <c r="Q174" s="149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69"/>
      <c r="AX174" s="70"/>
    </row>
    <row r="175" spans="1:50" s="145" customFormat="1" x14ac:dyDescent="0.3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142"/>
      <c r="M175" s="142"/>
      <c r="N175" s="142"/>
      <c r="O175" s="147"/>
      <c r="P175" s="147"/>
      <c r="Q175" s="149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69"/>
      <c r="AX175" s="70"/>
    </row>
    <row r="176" spans="1:50" s="145" customFormat="1" x14ac:dyDescent="0.3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142"/>
      <c r="M176" s="142"/>
      <c r="N176" s="142"/>
      <c r="O176" s="147"/>
      <c r="P176" s="147"/>
      <c r="Q176" s="149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69"/>
      <c r="AX176" s="70"/>
    </row>
    <row r="177" spans="1:50" s="145" customFormat="1" x14ac:dyDescent="0.3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142"/>
      <c r="M177" s="142"/>
      <c r="N177" s="142"/>
      <c r="O177" s="147"/>
      <c r="P177" s="147"/>
      <c r="Q177" s="149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69"/>
      <c r="AX177" s="70"/>
    </row>
    <row r="178" spans="1:50" s="145" customFormat="1" x14ac:dyDescent="0.3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142"/>
      <c r="M178" s="142"/>
      <c r="N178" s="142"/>
      <c r="O178" s="147"/>
      <c r="P178" s="147"/>
      <c r="Q178" s="149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69"/>
      <c r="AX178" s="70"/>
    </row>
    <row r="179" spans="1:50" s="145" customFormat="1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142"/>
      <c r="M179" s="142"/>
      <c r="N179" s="142"/>
      <c r="O179" s="147"/>
      <c r="P179" s="147"/>
      <c r="Q179" s="149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69"/>
      <c r="AX179" s="70"/>
    </row>
    <row r="180" spans="1:50" s="145" customFormat="1" x14ac:dyDescent="0.3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142"/>
      <c r="M180" s="142"/>
      <c r="N180" s="142"/>
      <c r="O180" s="147"/>
      <c r="P180" s="147"/>
      <c r="Q180" s="149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69"/>
      <c r="AX180" s="70"/>
    </row>
    <row r="181" spans="1:50" s="145" customFormat="1" x14ac:dyDescent="0.3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142"/>
      <c r="M181" s="142"/>
      <c r="N181" s="142"/>
      <c r="O181" s="147"/>
      <c r="P181" s="147"/>
      <c r="Q181" s="149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69"/>
      <c r="AX181" s="70"/>
    </row>
    <row r="182" spans="1:50" s="145" customFormat="1" x14ac:dyDescent="0.3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146"/>
      <c r="M182" s="146"/>
      <c r="N182" s="146"/>
      <c r="O182" s="147"/>
      <c r="P182" s="147"/>
      <c r="Q182" s="149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69"/>
      <c r="AX182" s="70"/>
    </row>
    <row r="183" spans="1:50" s="145" customFormat="1" x14ac:dyDescent="0.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146"/>
      <c r="M183" s="146"/>
      <c r="N183" s="146"/>
      <c r="O183" s="147"/>
      <c r="P183" s="147"/>
      <c r="Q183" s="149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69"/>
      <c r="AX183" s="70"/>
    </row>
    <row r="184" spans="1:50" s="145" customFormat="1" x14ac:dyDescent="0.3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146"/>
      <c r="M184" s="146"/>
      <c r="N184" s="146"/>
      <c r="O184" s="147"/>
      <c r="P184" s="147"/>
      <c r="Q184" s="149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69"/>
      <c r="AX184" s="70"/>
    </row>
    <row r="185" spans="1:50" s="145" customFormat="1" x14ac:dyDescent="0.3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146"/>
      <c r="M185" s="146"/>
      <c r="N185" s="146"/>
      <c r="O185" s="147"/>
      <c r="P185" s="147"/>
      <c r="Q185" s="148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69"/>
      <c r="AX185" s="70"/>
    </row>
    <row r="186" spans="1:50" s="145" customFormat="1" x14ac:dyDescent="0.3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146"/>
      <c r="M186" s="146"/>
      <c r="N186" s="146"/>
      <c r="O186" s="147"/>
      <c r="P186" s="147"/>
      <c r="Q186" s="148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69"/>
      <c r="AX186" s="70"/>
    </row>
    <row r="187" spans="1:50" x14ac:dyDescent="0.3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146"/>
      <c r="M187" s="146"/>
      <c r="N187" s="146"/>
      <c r="P187" s="147"/>
      <c r="AW187" s="148"/>
      <c r="AX187" s="148"/>
    </row>
    <row r="188" spans="1:50" x14ac:dyDescent="0.3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146"/>
      <c r="M188" s="146"/>
      <c r="N188" s="146"/>
      <c r="P188" s="147"/>
      <c r="AW188" s="148"/>
      <c r="AX188" s="148"/>
    </row>
    <row r="189" spans="1:50" x14ac:dyDescent="0.3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146"/>
      <c r="M189" s="146"/>
      <c r="N189" s="146"/>
      <c r="P189" s="147"/>
      <c r="AW189" s="148"/>
      <c r="AX189" s="148"/>
    </row>
    <row r="190" spans="1:50" x14ac:dyDescent="0.3">
      <c r="A190" s="149"/>
      <c r="B190" s="149"/>
      <c r="C190" s="149"/>
      <c r="D190" s="149"/>
      <c r="E190" s="149"/>
      <c r="F190" s="70"/>
      <c r="G190" s="70"/>
      <c r="H190" s="70"/>
      <c r="I190" s="70"/>
      <c r="J190" s="70"/>
      <c r="K190" s="70"/>
      <c r="L190" s="146"/>
      <c r="M190" s="146"/>
      <c r="N190" s="146"/>
      <c r="P190" s="147"/>
      <c r="AW190" s="148"/>
      <c r="AX190" s="148"/>
    </row>
    <row r="191" spans="1:50" x14ac:dyDescent="0.3">
      <c r="A191" s="149"/>
      <c r="B191" s="149"/>
      <c r="C191" s="149"/>
      <c r="D191" s="149"/>
      <c r="E191" s="149"/>
      <c r="F191" s="149"/>
      <c r="G191" s="149"/>
      <c r="H191" s="149"/>
      <c r="I191" s="70"/>
      <c r="J191" s="70"/>
      <c r="K191" s="70"/>
      <c r="L191" s="146"/>
      <c r="M191" s="146"/>
      <c r="N191" s="146"/>
      <c r="O191" s="148"/>
      <c r="P191" s="147"/>
      <c r="AW191" s="148"/>
      <c r="AX191" s="148"/>
    </row>
    <row r="192" spans="1:50" x14ac:dyDescent="0.3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6"/>
      <c r="M192" s="146"/>
      <c r="N192" s="146"/>
      <c r="AW192" s="148"/>
      <c r="AX192" s="148"/>
    </row>
    <row r="193" spans="1:50" x14ac:dyDescent="0.3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6"/>
      <c r="M193" s="146"/>
      <c r="N193" s="146"/>
      <c r="AW193" s="148"/>
      <c r="AX193" s="148"/>
    </row>
    <row r="194" spans="1:50" x14ac:dyDescent="0.3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6"/>
      <c r="M194" s="146"/>
      <c r="N194" s="146"/>
      <c r="AW194" s="148"/>
      <c r="AX194" s="148"/>
    </row>
    <row r="195" spans="1:50" x14ac:dyDescent="0.3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6"/>
      <c r="M195" s="146"/>
      <c r="N195" s="146"/>
      <c r="AW195" s="148"/>
      <c r="AX195" s="148"/>
    </row>
    <row r="196" spans="1:50" x14ac:dyDescent="0.3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L196" s="146"/>
      <c r="M196" s="146"/>
      <c r="N196" s="146"/>
      <c r="AW196" s="148"/>
      <c r="AX196" s="148"/>
    </row>
    <row r="197" spans="1:50" x14ac:dyDescent="0.3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L197" s="146"/>
      <c r="M197" s="146"/>
      <c r="N197" s="146"/>
      <c r="AW197" s="148"/>
      <c r="AX197" s="148"/>
    </row>
    <row r="198" spans="1:50" x14ac:dyDescent="0.3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L198" s="146"/>
      <c r="M198" s="146"/>
      <c r="N198" s="146"/>
      <c r="AW198" s="148"/>
      <c r="AX198" s="148"/>
    </row>
    <row r="199" spans="1:50" x14ac:dyDescent="0.3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</row>
    <row r="200" spans="1:50" x14ac:dyDescent="0.3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  <c r="AP200" s="69"/>
      <c r="AQ200" s="69"/>
      <c r="AR200" s="69"/>
      <c r="AS200" s="69"/>
      <c r="AT200" s="69"/>
      <c r="AU200" s="69"/>
      <c r="AV200" s="69"/>
      <c r="AW200" s="148"/>
      <c r="AX200" s="148"/>
    </row>
    <row r="201" spans="1:50" x14ac:dyDescent="0.3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</row>
    <row r="202" spans="1:50" x14ac:dyDescent="0.3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</row>
    <row r="203" spans="1:50" x14ac:dyDescent="0.3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</row>
    <row r="204" spans="1:50" x14ac:dyDescent="0.3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  <c r="K204" s="149"/>
    </row>
    <row r="205" spans="1:50" x14ac:dyDescent="0.3">
      <c r="A205" s="149"/>
      <c r="B205" s="149"/>
      <c r="C205" s="149"/>
      <c r="D205" s="149"/>
      <c r="E205" s="149"/>
      <c r="F205" s="149"/>
      <c r="G205" s="149"/>
      <c r="H205" s="149"/>
      <c r="I205" s="149"/>
      <c r="J205" s="149"/>
      <c r="K205" s="149"/>
    </row>
    <row r="206" spans="1:50" x14ac:dyDescent="0.3">
      <c r="A206" s="149"/>
      <c r="B206" s="149"/>
      <c r="C206" s="149"/>
      <c r="D206" s="149"/>
      <c r="E206" s="149"/>
      <c r="F206" s="149"/>
      <c r="G206" s="149"/>
      <c r="H206" s="149"/>
      <c r="I206" s="149"/>
      <c r="J206" s="149"/>
      <c r="K206" s="149"/>
    </row>
    <row r="207" spans="1:50" x14ac:dyDescent="0.3">
      <c r="F207" s="149"/>
      <c r="G207" s="149"/>
      <c r="H207" s="149"/>
      <c r="I207" s="149"/>
      <c r="J207" s="149"/>
      <c r="K207" s="149"/>
    </row>
    <row r="208" spans="1:50" x14ac:dyDescent="0.3">
      <c r="I208" s="149"/>
      <c r="J208" s="149"/>
      <c r="K208" s="149"/>
    </row>
    <row r="212" spans="12:14" x14ac:dyDescent="0.3">
      <c r="L212" s="148"/>
      <c r="M212" s="148"/>
      <c r="N212" s="148"/>
    </row>
    <row r="1048529" spans="1:61" x14ac:dyDescent="0.3">
      <c r="Q1048529" s="57"/>
    </row>
    <row r="1048544" spans="1:61" s="70" customFormat="1" x14ac:dyDescent="0.3">
      <c r="A1048544" s="148"/>
      <c r="B1048544" s="148"/>
      <c r="C1048544" s="148"/>
      <c r="D1048544" s="148"/>
      <c r="E1048544" s="148"/>
      <c r="F1048544" s="148"/>
      <c r="G1048544" s="148"/>
      <c r="H1048544" s="148"/>
      <c r="I1048544" s="148"/>
      <c r="J1048544" s="148"/>
      <c r="K1048544" s="148"/>
      <c r="L1048544" s="150"/>
      <c r="M1048544" s="150"/>
      <c r="N1048544" s="150"/>
      <c r="O1048544" s="150"/>
      <c r="P1048544" s="150"/>
      <c r="Q1048544" s="148"/>
      <c r="AW1048544" s="69"/>
      <c r="AX1048544" s="69"/>
      <c r="AY1048544" s="148"/>
      <c r="AZ1048544" s="148"/>
      <c r="BA1048544" s="148"/>
      <c r="BB1048544" s="148"/>
      <c r="BC1048544" s="148"/>
      <c r="BD1048544" s="148"/>
      <c r="BE1048544" s="148"/>
      <c r="BF1048544" s="148"/>
      <c r="BG1048544" s="148"/>
      <c r="BH1048544" s="148"/>
      <c r="BI1048544" s="148"/>
    </row>
  </sheetData>
  <mergeCells count="36">
    <mergeCell ref="O67:P67"/>
    <mergeCell ref="O55:P55"/>
    <mergeCell ref="O56:Q57"/>
    <mergeCell ref="O58:Q58"/>
    <mergeCell ref="O59:P59"/>
    <mergeCell ref="O60:P60"/>
    <mergeCell ref="O61:P61"/>
    <mergeCell ref="O62:P62"/>
    <mergeCell ref="O63:P63"/>
    <mergeCell ref="O64:P64"/>
    <mergeCell ref="O65:P65"/>
    <mergeCell ref="O66:Q66"/>
    <mergeCell ref="O54:P54"/>
    <mergeCell ref="E43:K43"/>
    <mergeCell ref="E44:K44"/>
    <mergeCell ref="E45:K45"/>
    <mergeCell ref="E46:K46"/>
    <mergeCell ref="E47:K47"/>
    <mergeCell ref="E48:K48"/>
    <mergeCell ref="E49:K49"/>
    <mergeCell ref="E50:K50"/>
    <mergeCell ref="A51:K51"/>
    <mergeCell ref="A53:E53"/>
    <mergeCell ref="O53:Q53"/>
    <mergeCell ref="A42:Q42"/>
    <mergeCell ref="A1:Q1"/>
    <mergeCell ref="A2:Q2"/>
    <mergeCell ref="A6:B6"/>
    <mergeCell ref="A7:Q7"/>
    <mergeCell ref="A36:B36"/>
    <mergeCell ref="A37:Q37"/>
    <mergeCell ref="E38:K38"/>
    <mergeCell ref="E39:K39"/>
    <mergeCell ref="A40:K40"/>
    <mergeCell ref="O40:Q40"/>
    <mergeCell ref="A41:O41"/>
  </mergeCells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E757C-65DC-48E7-93EC-A74871F7D8A7}">
  <dimension ref="A1:BI1048545"/>
  <sheetViews>
    <sheetView zoomScale="70" zoomScaleNormal="70" workbookViewId="0">
      <selection activeCell="A22" sqref="A22"/>
    </sheetView>
  </sheetViews>
  <sheetFormatPr defaultColWidth="9.109375" defaultRowHeight="13.8" x14ac:dyDescent="0.3"/>
  <cols>
    <col min="1" max="1" width="50.6640625" style="148" bestFit="1" customWidth="1"/>
    <col min="2" max="2" width="8.33203125" style="148" bestFit="1" customWidth="1"/>
    <col min="3" max="3" width="13.44140625" style="148" bestFit="1" customWidth="1"/>
    <col min="4" max="4" width="14.33203125" style="148" bestFit="1" customWidth="1"/>
    <col min="5" max="5" width="13.44140625" style="148" bestFit="1" customWidth="1"/>
    <col min="6" max="6" width="14.5546875" style="148" bestFit="1" customWidth="1"/>
    <col min="7" max="7" width="13.5546875" style="148" bestFit="1" customWidth="1"/>
    <col min="8" max="8" width="13.21875" style="148" bestFit="1" customWidth="1"/>
    <col min="9" max="10" width="10.21875" style="148" bestFit="1" customWidth="1"/>
    <col min="11" max="11" width="11.33203125" style="148" bestFit="1" customWidth="1"/>
    <col min="12" max="12" width="14.33203125" style="150" bestFit="1" customWidth="1"/>
    <col min="13" max="13" width="13.21875" style="150" bestFit="1" customWidth="1"/>
    <col min="14" max="14" width="14.33203125" style="150" bestFit="1" customWidth="1"/>
    <col min="15" max="15" width="138.6640625" style="150" customWidth="1"/>
    <col min="16" max="16" width="7.33203125" style="150" bestFit="1" customWidth="1"/>
    <col min="17" max="17" width="14.33203125" style="148" bestFit="1" customWidth="1"/>
    <col min="18" max="19" width="13.109375" style="208" bestFit="1" customWidth="1"/>
    <col min="20" max="48" width="9.109375" style="208"/>
    <col min="49" max="16384" width="9.109375" style="148"/>
  </cols>
  <sheetData>
    <row r="1" spans="1:53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  <c r="AH1" s="205"/>
      <c r="AI1" s="205"/>
      <c r="AJ1" s="205"/>
      <c r="AK1" s="205"/>
      <c r="AL1" s="205"/>
      <c r="AM1" s="205"/>
      <c r="AN1" s="205"/>
      <c r="AO1" s="205"/>
      <c r="AP1" s="205"/>
      <c r="AQ1" s="205"/>
      <c r="AR1" s="205"/>
      <c r="AS1" s="205"/>
      <c r="AT1" s="205"/>
      <c r="AU1" s="205"/>
      <c r="AV1" s="205"/>
      <c r="AW1" s="205"/>
      <c r="AX1" s="205"/>
      <c r="AY1" s="205"/>
      <c r="AZ1" s="205"/>
      <c r="BA1" s="205"/>
    </row>
    <row r="2" spans="1:53" s="10" customFormat="1" ht="28.5" customHeight="1" x14ac:dyDescent="0.3">
      <c r="A2" s="571" t="s">
        <v>1077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3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</row>
    <row r="3" spans="1:53" s="10" customFormat="1" ht="28.8" customHeight="1" x14ac:dyDescent="0.3">
      <c r="A3" s="83" t="s">
        <v>3</v>
      </c>
      <c r="B3" s="83" t="s">
        <v>0</v>
      </c>
      <c r="C3" s="83" t="s">
        <v>821</v>
      </c>
      <c r="D3" s="84" t="s">
        <v>1</v>
      </c>
      <c r="E3" s="84" t="s">
        <v>68</v>
      </c>
      <c r="F3" s="84" t="s">
        <v>69</v>
      </c>
      <c r="G3" s="85" t="s">
        <v>2</v>
      </c>
      <c r="H3" s="85" t="s">
        <v>592</v>
      </c>
      <c r="I3" s="84" t="s">
        <v>6</v>
      </c>
      <c r="J3" s="84" t="s">
        <v>764</v>
      </c>
      <c r="K3" s="84" t="s">
        <v>7</v>
      </c>
      <c r="L3" s="84" t="s">
        <v>4</v>
      </c>
      <c r="M3" s="84" t="s">
        <v>5</v>
      </c>
      <c r="N3" s="84" t="s">
        <v>70</v>
      </c>
      <c r="O3" s="83" t="s">
        <v>59</v>
      </c>
      <c r="P3" s="86" t="s">
        <v>8</v>
      </c>
      <c r="Q3" s="86" t="s">
        <v>10</v>
      </c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5"/>
      <c r="AP3" s="205"/>
      <c r="AQ3" s="205"/>
      <c r="AR3" s="205"/>
      <c r="AS3" s="205"/>
      <c r="AT3" s="205"/>
      <c r="AU3" s="205"/>
      <c r="AV3" s="205"/>
      <c r="AW3" s="205"/>
      <c r="AX3" s="205"/>
      <c r="AY3" s="205"/>
      <c r="AZ3" s="205"/>
      <c r="BA3" s="205"/>
    </row>
    <row r="4" spans="1:53" s="203" customFormat="1" ht="15.6" customHeight="1" x14ac:dyDescent="0.3">
      <c r="A4" s="195"/>
      <c r="B4" s="195"/>
      <c r="C4" s="195"/>
      <c r="D4" s="196">
        <v>0</v>
      </c>
      <c r="E4" s="192">
        <v>0</v>
      </c>
      <c r="F4" s="196">
        <f t="shared" ref="F4" si="0">D4-E4</f>
        <v>0</v>
      </c>
      <c r="G4" s="192">
        <v>0</v>
      </c>
      <c r="H4" s="192">
        <v>0</v>
      </c>
      <c r="I4" s="192">
        <v>0</v>
      </c>
      <c r="J4" s="192">
        <v>0</v>
      </c>
      <c r="K4" s="192">
        <v>0</v>
      </c>
      <c r="L4" s="191">
        <f>SUM(F4:K4)</f>
        <v>0</v>
      </c>
      <c r="M4" s="192">
        <f>60%*(F4+G4)</f>
        <v>0</v>
      </c>
      <c r="N4" s="192">
        <f>L4-M4</f>
        <v>0</v>
      </c>
      <c r="O4" s="193"/>
      <c r="P4" s="197"/>
      <c r="Q4" s="197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0"/>
      <c r="AM4" s="201"/>
      <c r="AN4" s="202"/>
      <c r="AO4" s="202"/>
      <c r="AP4" s="202"/>
      <c r="AQ4" s="202"/>
    </row>
    <row r="5" spans="1:53" s="206" customFormat="1" x14ac:dyDescent="0.3">
      <c r="A5" s="195"/>
      <c r="B5" s="193"/>
      <c r="C5" s="195"/>
      <c r="D5" s="196">
        <v>0</v>
      </c>
      <c r="E5" s="192">
        <v>0</v>
      </c>
      <c r="F5" s="196">
        <f>D5-E5</f>
        <v>0</v>
      </c>
      <c r="G5" s="192">
        <v>0</v>
      </c>
      <c r="H5" s="192">
        <v>0</v>
      </c>
      <c r="I5" s="192">
        <v>0</v>
      </c>
      <c r="J5" s="192">
        <v>0</v>
      </c>
      <c r="K5" s="192">
        <v>0</v>
      </c>
      <c r="L5" s="191">
        <f>SUM(F5:K5)</f>
        <v>0</v>
      </c>
      <c r="M5" s="192">
        <f>60%*(F5+G5)</f>
        <v>0</v>
      </c>
      <c r="N5" s="192">
        <f>L5-M5</f>
        <v>0</v>
      </c>
      <c r="O5" s="193"/>
      <c r="P5" s="197"/>
      <c r="Q5" s="197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</row>
    <row r="6" spans="1:53" s="10" customFormat="1" x14ac:dyDescent="0.3">
      <c r="A6" s="518" t="s">
        <v>4</v>
      </c>
      <c r="B6" s="518"/>
      <c r="C6" s="95"/>
      <c r="D6" s="109">
        <f t="shared" ref="D6:I6" si="1">SUM(D4:D5)</f>
        <v>0</v>
      </c>
      <c r="E6" s="109">
        <f t="shared" si="1"/>
        <v>0</v>
      </c>
      <c r="F6" s="109">
        <f t="shared" si="1"/>
        <v>0</v>
      </c>
      <c r="G6" s="109">
        <f t="shared" si="1"/>
        <v>0</v>
      </c>
      <c r="H6" s="109">
        <f t="shared" si="1"/>
        <v>0</v>
      </c>
      <c r="I6" s="109">
        <f t="shared" si="1"/>
        <v>0</v>
      </c>
      <c r="J6" s="109">
        <f>SUM(J4:J5)</f>
        <v>0</v>
      </c>
      <c r="K6" s="109">
        <f>SUM(K4:K5)</f>
        <v>0</v>
      </c>
      <c r="L6" s="109">
        <f>SUM(L4:L5)</f>
        <v>0</v>
      </c>
      <c r="M6" s="109">
        <f>SUM(M4:M5)</f>
        <v>0</v>
      </c>
      <c r="N6" s="109">
        <f>SUM(N4:N5)</f>
        <v>0</v>
      </c>
      <c r="O6" s="90"/>
      <c r="P6" s="3"/>
      <c r="Q6" s="3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  <c r="AD6" s="205"/>
      <c r="AE6" s="205"/>
      <c r="AF6" s="205"/>
      <c r="AG6" s="205"/>
      <c r="AH6" s="205"/>
      <c r="AI6" s="205"/>
      <c r="AJ6" s="205"/>
      <c r="AK6" s="205"/>
      <c r="AL6" s="205"/>
      <c r="AM6" s="205"/>
      <c r="AN6" s="205"/>
      <c r="AO6" s="205"/>
      <c r="AP6" s="205"/>
      <c r="AQ6" s="205"/>
      <c r="AR6" s="205"/>
      <c r="AS6" s="205"/>
      <c r="AT6" s="205"/>
      <c r="AU6" s="205"/>
      <c r="AV6" s="205"/>
      <c r="AW6" s="205"/>
      <c r="AX6" s="205"/>
      <c r="AY6" s="205"/>
      <c r="AZ6" s="205"/>
      <c r="BA6" s="205"/>
    </row>
    <row r="7" spans="1:53" s="10" customFormat="1" ht="28.5" customHeight="1" x14ac:dyDescent="0.3">
      <c r="A7" s="571" t="s">
        <v>1078</v>
      </c>
      <c r="B7" s="572"/>
      <c r="C7" s="572"/>
      <c r="D7" s="572"/>
      <c r="E7" s="572"/>
      <c r="F7" s="572"/>
      <c r="G7" s="572"/>
      <c r="H7" s="572"/>
      <c r="I7" s="572"/>
      <c r="J7" s="572"/>
      <c r="K7" s="572"/>
      <c r="L7" s="572"/>
      <c r="M7" s="572"/>
      <c r="N7" s="572"/>
      <c r="O7" s="572"/>
      <c r="P7" s="572"/>
      <c r="Q7" s="573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  <c r="AC7" s="205"/>
      <c r="AD7" s="205"/>
      <c r="AE7" s="205"/>
      <c r="AF7" s="205"/>
      <c r="AG7" s="205"/>
      <c r="AH7" s="205"/>
      <c r="AI7" s="205"/>
      <c r="AJ7" s="205"/>
      <c r="AK7" s="205"/>
      <c r="AL7" s="205"/>
      <c r="AM7" s="205"/>
      <c r="AN7" s="205"/>
      <c r="AO7" s="205"/>
      <c r="AP7" s="205"/>
      <c r="AQ7" s="205"/>
      <c r="AR7" s="205"/>
      <c r="AS7" s="205"/>
      <c r="AT7" s="205"/>
      <c r="AU7" s="205"/>
      <c r="AV7" s="205"/>
      <c r="AW7" s="205"/>
      <c r="AX7" s="205"/>
      <c r="AY7" s="205"/>
      <c r="AZ7" s="205"/>
      <c r="BA7" s="205"/>
    </row>
    <row r="8" spans="1:53" s="11" customFormat="1" ht="34.5" customHeight="1" x14ac:dyDescent="0.3">
      <c r="A8" s="83" t="s">
        <v>3</v>
      </c>
      <c r="B8" s="83" t="s">
        <v>0</v>
      </c>
      <c r="C8" s="83" t="s">
        <v>821</v>
      </c>
      <c r="D8" s="84" t="s">
        <v>1</v>
      </c>
      <c r="E8" s="84" t="s">
        <v>68</v>
      </c>
      <c r="F8" s="84" t="s">
        <v>69</v>
      </c>
      <c r="G8" s="85" t="s">
        <v>2</v>
      </c>
      <c r="H8" s="85" t="s">
        <v>592</v>
      </c>
      <c r="I8" s="84" t="s">
        <v>6</v>
      </c>
      <c r="J8" s="84" t="s">
        <v>764</v>
      </c>
      <c r="K8" s="84" t="s">
        <v>7</v>
      </c>
      <c r="L8" s="84" t="s">
        <v>4</v>
      </c>
      <c r="M8" s="84" t="s">
        <v>5</v>
      </c>
      <c r="N8" s="84" t="s">
        <v>70</v>
      </c>
      <c r="O8" s="83" t="s">
        <v>59</v>
      </c>
      <c r="P8" s="86" t="s">
        <v>8</v>
      </c>
      <c r="Q8" s="86" t="s">
        <v>10</v>
      </c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5"/>
      <c r="AO8" s="205"/>
      <c r="AP8" s="205"/>
      <c r="AQ8" s="205"/>
      <c r="AR8" s="206"/>
      <c r="AS8" s="206"/>
      <c r="AT8" s="206"/>
      <c r="AU8" s="206"/>
      <c r="AV8" s="206"/>
      <c r="AW8" s="206"/>
      <c r="AX8" s="206"/>
      <c r="AY8" s="206"/>
      <c r="AZ8" s="206"/>
      <c r="BA8" s="206"/>
    </row>
    <row r="9" spans="1:53" s="199" customFormat="1" ht="16.8" customHeight="1" x14ac:dyDescent="0.3">
      <c r="A9" s="227" t="s">
        <v>1079</v>
      </c>
      <c r="B9" s="193">
        <v>1</v>
      </c>
      <c r="C9" s="209" t="s">
        <v>830</v>
      </c>
      <c r="D9" s="196">
        <f>'[1]GERAL 2024'!G47/31*29</f>
        <v>570.64516129032256</v>
      </c>
      <c r="E9" s="192">
        <v>0</v>
      </c>
      <c r="F9" s="192">
        <f t="shared" ref="F9:F25" si="2">D9-E9</f>
        <v>570.64516129032256</v>
      </c>
      <c r="G9" s="196">
        <f>50/31*29</f>
        <v>46.774193548387096</v>
      </c>
      <c r="H9" s="192">
        <f>(1665.9/27)/31*29</f>
        <v>57.719354838709684</v>
      </c>
      <c r="I9" s="192">
        <f>'[1]GERAL 2024'!I47/31*29</f>
        <v>1.2259704110424767</v>
      </c>
      <c r="J9" s="192">
        <f>'[1]GERAL 2024'!K47/31*29</f>
        <v>0.74686665904064664</v>
      </c>
      <c r="K9" s="192">
        <v>126.81</v>
      </c>
      <c r="L9" s="191">
        <f t="shared" ref="L9:L35" si="3">SUM(F9:K9)</f>
        <v>803.92154674750236</v>
      </c>
      <c r="M9" s="192">
        <f>7%*L9</f>
        <v>56.274508272325171</v>
      </c>
      <c r="N9" s="192">
        <f>L9-M9</f>
        <v>747.64703847517717</v>
      </c>
      <c r="O9" s="196" t="s">
        <v>1080</v>
      </c>
      <c r="P9" s="197">
        <v>10</v>
      </c>
      <c r="Q9" s="197">
        <v>11</v>
      </c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  <c r="AQ9" s="198"/>
    </row>
    <row r="10" spans="1:53" s="203" customFormat="1" x14ac:dyDescent="0.3">
      <c r="A10" s="193" t="s">
        <v>1004</v>
      </c>
      <c r="B10" s="194">
        <v>2</v>
      </c>
      <c r="C10" s="193" t="s">
        <v>822</v>
      </c>
      <c r="D10" s="196">
        <f>'[1]GERAL 2024'!G41</f>
        <v>610</v>
      </c>
      <c r="E10" s="196">
        <v>0</v>
      </c>
      <c r="F10" s="196">
        <f t="shared" si="2"/>
        <v>610</v>
      </c>
      <c r="G10" s="196">
        <v>0</v>
      </c>
      <c r="H10" s="192">
        <f t="shared" ref="H10:H15" si="4">(1665.9/27)</f>
        <v>61.7</v>
      </c>
      <c r="I10" s="192">
        <f>'[1]GERAL 2024'!I41</f>
        <v>1.3105200945626476</v>
      </c>
      <c r="J10" s="192">
        <f>'[1]GERAL 2024'!K41</f>
        <v>0.79837470449172576</v>
      </c>
      <c r="K10" s="196">
        <v>0</v>
      </c>
      <c r="L10" s="191">
        <f t="shared" si="3"/>
        <v>673.80889479905443</v>
      </c>
      <c r="M10" s="192">
        <f>7%*L10</f>
        <v>47.166622635933813</v>
      </c>
      <c r="N10" s="192">
        <f t="shared" ref="N10:N34" si="5">L10-M10</f>
        <v>626.64227216312065</v>
      </c>
      <c r="O10" s="193" t="s">
        <v>1081</v>
      </c>
      <c r="P10" s="197">
        <v>10</v>
      </c>
      <c r="Q10" s="197">
        <v>11</v>
      </c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0"/>
      <c r="AM10" s="201"/>
      <c r="AN10" s="202"/>
      <c r="AO10" s="202"/>
      <c r="AP10" s="202"/>
      <c r="AQ10" s="202"/>
    </row>
    <row r="11" spans="1:53" s="204" customFormat="1" ht="16.2" customHeight="1" x14ac:dyDescent="0.3">
      <c r="A11" s="193" t="s">
        <v>1005</v>
      </c>
      <c r="B11" s="194">
        <v>3</v>
      </c>
      <c r="C11" s="193" t="s">
        <v>822</v>
      </c>
      <c r="D11" s="196">
        <f>'[1]GERAL 2024'!G42</f>
        <v>610</v>
      </c>
      <c r="E11" s="196">
        <v>0</v>
      </c>
      <c r="F11" s="196">
        <f t="shared" si="2"/>
        <v>610</v>
      </c>
      <c r="G11" s="196">
        <v>0</v>
      </c>
      <c r="H11" s="192">
        <f t="shared" si="4"/>
        <v>61.7</v>
      </c>
      <c r="I11" s="192">
        <f>'[1]GERAL 2024'!I42</f>
        <v>1.3105200945626476</v>
      </c>
      <c r="J11" s="192">
        <f>'[1]GERAL 2024'!K42</f>
        <v>0.79837470449172576</v>
      </c>
      <c r="K11" s="196">
        <v>0</v>
      </c>
      <c r="L11" s="191">
        <f t="shared" si="3"/>
        <v>673.80889479905443</v>
      </c>
      <c r="M11" s="192">
        <f>7%*L11</f>
        <v>47.166622635933813</v>
      </c>
      <c r="N11" s="192">
        <f t="shared" si="5"/>
        <v>626.64227216312065</v>
      </c>
      <c r="O11" s="193" t="s">
        <v>1081</v>
      </c>
      <c r="P11" s="197">
        <v>10</v>
      </c>
      <c r="Q11" s="197">
        <v>11</v>
      </c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  <c r="AQ11" s="200"/>
    </row>
    <row r="12" spans="1:53" s="199" customFormat="1" ht="14.4" customHeight="1" x14ac:dyDescent="0.3">
      <c r="A12" s="193" t="s">
        <v>842</v>
      </c>
      <c r="B12" s="193">
        <v>4</v>
      </c>
      <c r="C12" s="193" t="s">
        <v>832</v>
      </c>
      <c r="D12" s="196">
        <f>(610+(4.52806%*610))/31*6</f>
        <v>123.41054825806452</v>
      </c>
      <c r="E12" s="196">
        <v>0</v>
      </c>
      <c r="F12" s="196">
        <f t="shared" si="2"/>
        <v>123.41054825806452</v>
      </c>
      <c r="G12" s="192">
        <f>50/31*6</f>
        <v>9.6774193548387082</v>
      </c>
      <c r="H12" s="192">
        <f>(1665.9/27)/31*6</f>
        <v>11.941935483870969</v>
      </c>
      <c r="I12" s="192">
        <f>'[1]GERAL 2024'!I6/31*6</f>
        <v>0.25364905056051246</v>
      </c>
      <c r="J12" s="192">
        <f>'[1]GERAL 2024'!K6/31*6</f>
        <v>0.15452413635323725</v>
      </c>
      <c r="K12" s="192">
        <v>0</v>
      </c>
      <c r="L12" s="191">
        <f>SUM(F12:K12)</f>
        <v>145.43807628368796</v>
      </c>
      <c r="M12" s="192">
        <f>7%*L12</f>
        <v>10.180665339858159</v>
      </c>
      <c r="N12" s="192">
        <f t="shared" si="5"/>
        <v>135.2574109438298</v>
      </c>
      <c r="O12" s="193" t="s">
        <v>1082</v>
      </c>
      <c r="P12" s="197">
        <v>10</v>
      </c>
      <c r="Q12" s="194">
        <v>11</v>
      </c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</row>
    <row r="13" spans="1:53" s="199" customFormat="1" x14ac:dyDescent="0.3">
      <c r="A13" s="193" t="s">
        <v>744</v>
      </c>
      <c r="B13" s="193">
        <v>5</v>
      </c>
      <c r="C13" s="193" t="s">
        <v>823</v>
      </c>
      <c r="D13" s="196">
        <f>'[1]GERAL 2023'!G7</f>
        <v>580</v>
      </c>
      <c r="E13" s="192">
        <v>0</v>
      </c>
      <c r="F13" s="192">
        <f t="shared" si="2"/>
        <v>580</v>
      </c>
      <c r="G13" s="192">
        <f>50</f>
        <v>50</v>
      </c>
      <c r="H13" s="192">
        <f t="shared" si="4"/>
        <v>61.7</v>
      </c>
      <c r="I13" s="192">
        <f>'[1]GERAL 2024'!I7</f>
        <v>1.3105200945626476</v>
      </c>
      <c r="J13" s="192">
        <f>'[1]GERAL 2024'!K7</f>
        <v>0.79837470449172576</v>
      </c>
      <c r="K13" s="192">
        <v>0</v>
      </c>
      <c r="L13" s="191">
        <f t="shared" si="3"/>
        <v>693.80889479905443</v>
      </c>
      <c r="M13" s="192">
        <f>7%*L13</f>
        <v>48.566622635933811</v>
      </c>
      <c r="N13" s="192">
        <f t="shared" si="5"/>
        <v>645.24227216312056</v>
      </c>
      <c r="O13" s="193" t="s">
        <v>1083</v>
      </c>
      <c r="P13" s="197">
        <v>10</v>
      </c>
      <c r="Q13" s="197">
        <v>11</v>
      </c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</row>
    <row r="14" spans="1:53" s="206" customFormat="1" x14ac:dyDescent="0.3">
      <c r="A14" s="193" t="s">
        <v>745</v>
      </c>
      <c r="B14" s="193">
        <v>6</v>
      </c>
      <c r="C14" s="193" t="s">
        <v>823</v>
      </c>
      <c r="D14" s="196">
        <f>'[1]GERAL 2023'!G8</f>
        <v>680</v>
      </c>
      <c r="E14" s="196">
        <v>0</v>
      </c>
      <c r="F14" s="192">
        <f t="shared" si="2"/>
        <v>680</v>
      </c>
      <c r="G14" s="192">
        <v>50</v>
      </c>
      <c r="H14" s="192">
        <f t="shared" si="4"/>
        <v>61.7</v>
      </c>
      <c r="I14" s="192">
        <f>'[1]GERAL 2024'!I8</f>
        <v>1.8347281323877069</v>
      </c>
      <c r="J14" s="192">
        <f>'[1]GERAL 2024'!K8</f>
        <v>1.1177245862884162</v>
      </c>
      <c r="K14" s="192">
        <v>0</v>
      </c>
      <c r="L14" s="191">
        <f t="shared" si="3"/>
        <v>794.65245271867616</v>
      </c>
      <c r="M14" s="192">
        <f t="shared" ref="M14:M35" si="6">7%*L14</f>
        <v>55.625671690307335</v>
      </c>
      <c r="N14" s="192">
        <f>L14-M14</f>
        <v>739.02678102836887</v>
      </c>
      <c r="O14" s="193" t="s">
        <v>1084</v>
      </c>
      <c r="P14" s="197">
        <v>10</v>
      </c>
      <c r="Q14" s="197">
        <v>11</v>
      </c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  <c r="AQ14" s="205"/>
    </row>
    <row r="15" spans="1:53" s="199" customFormat="1" x14ac:dyDescent="0.3">
      <c r="A15" s="193" t="s">
        <v>791</v>
      </c>
      <c r="B15" s="193">
        <v>7</v>
      </c>
      <c r="C15" s="193" t="s">
        <v>822</v>
      </c>
      <c r="D15" s="196">
        <f>'[1]GERAL 2023'!G35+(2.45026%*610)</f>
        <v>624.94658600000002</v>
      </c>
      <c r="E15" s="192">
        <v>0</v>
      </c>
      <c r="F15" s="196">
        <f t="shared" si="2"/>
        <v>624.94658600000002</v>
      </c>
      <c r="G15" s="192">
        <v>50</v>
      </c>
      <c r="H15" s="192">
        <f t="shared" si="4"/>
        <v>61.7</v>
      </c>
      <c r="I15" s="192">
        <f>'[1]GERAL 2024'!I9</f>
        <v>1.3105200945626476</v>
      </c>
      <c r="J15" s="192">
        <f>'[1]GERAL 2024'!K9</f>
        <v>0.79837470449172576</v>
      </c>
      <c r="K15" s="192">
        <v>0</v>
      </c>
      <c r="L15" s="191">
        <f t="shared" si="3"/>
        <v>738.75548079905445</v>
      </c>
      <c r="M15" s="192">
        <f t="shared" si="6"/>
        <v>51.712883655933815</v>
      </c>
      <c r="N15" s="192">
        <f t="shared" si="5"/>
        <v>687.04259714312059</v>
      </c>
      <c r="O15" s="193" t="s">
        <v>1083</v>
      </c>
      <c r="P15" s="197">
        <v>10</v>
      </c>
      <c r="Q15" s="197">
        <v>11</v>
      </c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</row>
    <row r="16" spans="1:53" s="199" customFormat="1" x14ac:dyDescent="0.3">
      <c r="A16" s="209" t="s">
        <v>1085</v>
      </c>
      <c r="B16" s="193">
        <v>8</v>
      </c>
      <c r="C16" s="209" t="s">
        <v>830</v>
      </c>
      <c r="D16" s="196">
        <f>'[1]GERAL 2024'!G48/31*27</f>
        <v>557.41935483870964</v>
      </c>
      <c r="E16" s="192">
        <v>0</v>
      </c>
      <c r="F16" s="196">
        <f t="shared" si="2"/>
        <v>557.41935483870964</v>
      </c>
      <c r="G16" s="192">
        <f>25/31*27</f>
        <v>21.774193548387096</v>
      </c>
      <c r="H16" s="192">
        <f>(1665.9/27)/31*27</f>
        <v>53.738709677419358</v>
      </c>
      <c r="I16" s="192">
        <f>'[1]GERAL 2024'!I48/31*27</f>
        <v>1.1414207275223058</v>
      </c>
      <c r="J16" s="192">
        <f>'[1]GERAL 2024'!K48/31*27</f>
        <v>0.69535861358956752</v>
      </c>
      <c r="K16" s="192">
        <f>127.18</f>
        <v>127.18</v>
      </c>
      <c r="L16" s="191">
        <f t="shared" si="3"/>
        <v>761.94903740562791</v>
      </c>
      <c r="M16" s="192">
        <f>7%*L16</f>
        <v>53.336432618393957</v>
      </c>
      <c r="N16" s="192">
        <f>L16-M16</f>
        <v>708.61260478723398</v>
      </c>
      <c r="O16" s="196" t="s">
        <v>1086</v>
      </c>
      <c r="P16" s="197">
        <v>10</v>
      </c>
      <c r="Q16" s="197">
        <v>11</v>
      </c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  <c r="AQ16" s="198"/>
    </row>
    <row r="17" spans="1:43" s="199" customFormat="1" x14ac:dyDescent="0.3">
      <c r="A17" s="193" t="s">
        <v>852</v>
      </c>
      <c r="B17" s="193">
        <v>9</v>
      </c>
      <c r="C17" s="193" t="s">
        <v>828</v>
      </c>
      <c r="D17" s="196">
        <f>640+(5.59268%*640)</f>
        <v>675.79315199999996</v>
      </c>
      <c r="E17" s="192">
        <v>0</v>
      </c>
      <c r="F17" s="196">
        <f t="shared" si="2"/>
        <v>675.79315199999996</v>
      </c>
      <c r="G17" s="192">
        <v>0</v>
      </c>
      <c r="H17" s="192">
        <f>(1665.9/27)</f>
        <v>61.7</v>
      </c>
      <c r="I17" s="192">
        <f>'[1]GERAL 2024'!I11</f>
        <v>1.3105200945626476</v>
      </c>
      <c r="J17" s="192">
        <f>'[1]GERAL 2024'!K11</f>
        <v>0.79837470449172576</v>
      </c>
      <c r="K17" s="192">
        <v>0</v>
      </c>
      <c r="L17" s="191">
        <f t="shared" si="3"/>
        <v>739.60204679905439</v>
      </c>
      <c r="M17" s="192">
        <f>7%*L17</f>
        <v>51.772143275933814</v>
      </c>
      <c r="N17" s="192">
        <f>L17-M17</f>
        <v>687.82990352312061</v>
      </c>
      <c r="O17" s="193" t="s">
        <v>1081</v>
      </c>
      <c r="P17" s="207">
        <v>10</v>
      </c>
      <c r="Q17" s="197">
        <v>11</v>
      </c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  <c r="AQ17" s="198"/>
    </row>
    <row r="18" spans="1:43" x14ac:dyDescent="0.3">
      <c r="A18" s="194" t="s">
        <v>739</v>
      </c>
      <c r="B18" s="194">
        <v>10</v>
      </c>
      <c r="C18" s="194" t="s">
        <v>825</v>
      </c>
      <c r="D18" s="196">
        <v>0</v>
      </c>
      <c r="E18" s="192">
        <v>0</v>
      </c>
      <c r="F18" s="196">
        <f t="shared" si="2"/>
        <v>0</v>
      </c>
      <c r="G18" s="192">
        <v>0</v>
      </c>
      <c r="H18" s="192">
        <v>0</v>
      </c>
      <c r="I18" s="192">
        <v>0</v>
      </c>
      <c r="J18" s="192">
        <v>0</v>
      </c>
      <c r="K18" s="192">
        <v>0</v>
      </c>
      <c r="L18" s="191">
        <f t="shared" si="3"/>
        <v>0</v>
      </c>
      <c r="M18" s="192">
        <f t="shared" si="6"/>
        <v>0</v>
      </c>
      <c r="N18" s="192">
        <f t="shared" si="5"/>
        <v>0</v>
      </c>
      <c r="O18" s="193" t="s">
        <v>179</v>
      </c>
      <c r="P18" s="197">
        <v>10</v>
      </c>
      <c r="Q18" s="194">
        <v>11</v>
      </c>
    </row>
    <row r="19" spans="1:43" ht="15.6" customHeight="1" x14ac:dyDescent="0.3">
      <c r="A19" s="194" t="s">
        <v>965</v>
      </c>
      <c r="B19" s="194">
        <v>11</v>
      </c>
      <c r="C19" s="194" t="s">
        <v>827</v>
      </c>
      <c r="D19" s="192">
        <f>'[1]GERAL 2024'!G39</f>
        <v>610</v>
      </c>
      <c r="E19" s="192">
        <v>0</v>
      </c>
      <c r="F19" s="196">
        <f t="shared" si="2"/>
        <v>610</v>
      </c>
      <c r="G19" s="192">
        <v>0</v>
      </c>
      <c r="H19" s="192">
        <f t="shared" ref="H19:H35" si="7">(1665.9/27)</f>
        <v>61.7</v>
      </c>
      <c r="I19" s="192">
        <f>'[1]GERAL 2024'!I39</f>
        <v>1.3105200945626476</v>
      </c>
      <c r="J19" s="192">
        <f>'[1]GERAL 2024'!K39</f>
        <v>0.79837470449172576</v>
      </c>
      <c r="K19" s="192">
        <v>0</v>
      </c>
      <c r="L19" s="191">
        <f t="shared" si="3"/>
        <v>673.80889479905443</v>
      </c>
      <c r="M19" s="192">
        <f>7%*L19</f>
        <v>47.166622635933813</v>
      </c>
      <c r="N19" s="192">
        <f t="shared" si="5"/>
        <v>626.64227216312065</v>
      </c>
      <c r="O19" s="193" t="s">
        <v>1081</v>
      </c>
      <c r="P19" s="197">
        <v>10</v>
      </c>
      <c r="Q19" s="194">
        <v>11</v>
      </c>
    </row>
    <row r="20" spans="1:43" s="199" customFormat="1" x14ac:dyDescent="0.3">
      <c r="A20" s="209" t="s">
        <v>1087</v>
      </c>
      <c r="B20" s="193">
        <v>12</v>
      </c>
      <c r="C20" s="209" t="s">
        <v>830</v>
      </c>
      <c r="D20" s="196">
        <f>'[1]GERAL 2024'!G49/31*21</f>
        <v>413.22580645161287</v>
      </c>
      <c r="E20" s="192">
        <v>0</v>
      </c>
      <c r="F20" s="196">
        <f t="shared" si="2"/>
        <v>413.22580645161287</v>
      </c>
      <c r="G20" s="196">
        <f>50/31*21</f>
        <v>33.87096774193548</v>
      </c>
      <c r="H20" s="192">
        <f>(1665.9/27)/31*21</f>
        <v>41.796774193548387</v>
      </c>
      <c r="I20" s="192">
        <f>'[1]GERAL 2024'!I49/31*21</f>
        <v>0.88777167696179349</v>
      </c>
      <c r="J20" s="192">
        <f>'[1]GERAL 2024'!K49/31*21</f>
        <v>0.54083447723633038</v>
      </c>
      <c r="K20" s="196">
        <v>126.81</v>
      </c>
      <c r="L20" s="191">
        <f t="shared" si="3"/>
        <v>617.13215454129488</v>
      </c>
      <c r="M20" s="192">
        <f t="shared" si="6"/>
        <v>43.199250817890643</v>
      </c>
      <c r="N20" s="192">
        <f t="shared" si="5"/>
        <v>573.93290372340425</v>
      </c>
      <c r="O20" s="196" t="s">
        <v>1088</v>
      </c>
      <c r="P20" s="197">
        <v>10</v>
      </c>
      <c r="Q20" s="197">
        <v>11</v>
      </c>
      <c r="R20" s="198"/>
      <c r="S20" s="198"/>
      <c r="T20" s="198"/>
      <c r="U20" s="198"/>
      <c r="V20" s="198"/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  <c r="AQ20" s="198"/>
    </row>
    <row r="21" spans="1:43" s="206" customFormat="1" ht="16.2" customHeight="1" x14ac:dyDescent="0.3">
      <c r="A21" s="193" t="s">
        <v>756</v>
      </c>
      <c r="B21" s="193">
        <v>13</v>
      </c>
      <c r="C21" s="193" t="s">
        <v>827</v>
      </c>
      <c r="D21" s="196">
        <f>'[1]GERAL 2022'!G15</f>
        <v>550</v>
      </c>
      <c r="E21" s="196">
        <v>0</v>
      </c>
      <c r="F21" s="196">
        <f t="shared" si="2"/>
        <v>550</v>
      </c>
      <c r="G21" s="192">
        <v>0</v>
      </c>
      <c r="H21" s="192">
        <f t="shared" si="7"/>
        <v>61.7</v>
      </c>
      <c r="I21" s="192">
        <f>'[1]GERAL 2024'!I15</f>
        <v>1.3105200945626476</v>
      </c>
      <c r="J21" s="192">
        <f>'[1]GERAL 2024'!K15</f>
        <v>0.79837470449172576</v>
      </c>
      <c r="K21" s="192">
        <v>0</v>
      </c>
      <c r="L21" s="191">
        <f t="shared" si="3"/>
        <v>613.80889479905443</v>
      </c>
      <c r="M21" s="192">
        <f t="shared" si="6"/>
        <v>42.966622635933817</v>
      </c>
      <c r="N21" s="192">
        <f t="shared" si="5"/>
        <v>570.84227216312058</v>
      </c>
      <c r="O21" s="193" t="s">
        <v>1081</v>
      </c>
      <c r="P21" s="197">
        <v>10</v>
      </c>
      <c r="Q21" s="197">
        <v>11</v>
      </c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  <c r="AQ21" s="205"/>
    </row>
    <row r="22" spans="1:43" x14ac:dyDescent="0.3">
      <c r="A22" s="194" t="s">
        <v>747</v>
      </c>
      <c r="B22" s="194">
        <v>14</v>
      </c>
      <c r="C22" s="193" t="s">
        <v>832</v>
      </c>
      <c r="D22" s="196">
        <f>580+(4.52806%*580)</f>
        <v>606.26274799999999</v>
      </c>
      <c r="E22" s="192">
        <v>0</v>
      </c>
      <c r="F22" s="196">
        <f t="shared" si="2"/>
        <v>606.26274799999999</v>
      </c>
      <c r="G22" s="192">
        <f>50</f>
        <v>50</v>
      </c>
      <c r="H22" s="192">
        <f t="shared" si="7"/>
        <v>61.7</v>
      </c>
      <c r="I22" s="192">
        <f>'[1]GERAL 2024'!I16</f>
        <v>1.3105200945626476</v>
      </c>
      <c r="J22" s="192">
        <f>'[1]GERAL 2024'!K16</f>
        <v>0.79837470449172576</v>
      </c>
      <c r="K22" s="192">
        <v>0</v>
      </c>
      <c r="L22" s="191">
        <f t="shared" si="3"/>
        <v>720.07164279905442</v>
      </c>
      <c r="M22" s="192">
        <f t="shared" si="6"/>
        <v>50.405014995933811</v>
      </c>
      <c r="N22" s="192">
        <f t="shared" si="5"/>
        <v>669.6666278031206</v>
      </c>
      <c r="O22" s="193" t="s">
        <v>1083</v>
      </c>
      <c r="P22" s="197">
        <v>10</v>
      </c>
      <c r="Q22" s="194">
        <v>11</v>
      </c>
    </row>
    <row r="23" spans="1:43" s="204" customFormat="1" x14ac:dyDescent="0.3">
      <c r="A23" s="193" t="s">
        <v>748</v>
      </c>
      <c r="B23" s="193">
        <v>15</v>
      </c>
      <c r="C23" s="193" t="s">
        <v>827</v>
      </c>
      <c r="D23" s="196">
        <f>'[1]GERAL 2023'!G36</f>
        <v>680</v>
      </c>
      <c r="E23" s="192">
        <v>0</v>
      </c>
      <c r="F23" s="196">
        <f t="shared" si="2"/>
        <v>680</v>
      </c>
      <c r="G23" s="192">
        <v>25</v>
      </c>
      <c r="H23" s="192">
        <f t="shared" si="7"/>
        <v>61.7</v>
      </c>
      <c r="I23" s="192">
        <f>'[1]GERAL 2024'!I17</f>
        <v>1.8347281323877069</v>
      </c>
      <c r="J23" s="192">
        <f>'[1]GERAL 2024'!K17</f>
        <v>1.1177245862884162</v>
      </c>
      <c r="K23" s="192">
        <v>0</v>
      </c>
      <c r="L23" s="191">
        <f t="shared" si="3"/>
        <v>769.65245271867616</v>
      </c>
      <c r="M23" s="192">
        <f t="shared" si="6"/>
        <v>53.875671690307335</v>
      </c>
      <c r="N23" s="192">
        <f t="shared" si="5"/>
        <v>715.77678102836887</v>
      </c>
      <c r="O23" s="193" t="s">
        <v>1089</v>
      </c>
      <c r="P23" s="197">
        <v>10</v>
      </c>
      <c r="Q23" s="194">
        <v>11</v>
      </c>
      <c r="R23" s="200"/>
      <c r="S23" s="200"/>
      <c r="T23" s="200"/>
      <c r="U23" s="200"/>
      <c r="V23" s="200"/>
      <c r="W23" s="200"/>
      <c r="X23" s="200"/>
      <c r="Y23" s="200"/>
      <c r="Z23" s="200"/>
    </row>
    <row r="24" spans="1:43" s="206" customFormat="1" ht="13.2" customHeight="1" x14ac:dyDescent="0.3">
      <c r="A24" s="197" t="s">
        <v>977</v>
      </c>
      <c r="B24" s="197">
        <v>16</v>
      </c>
      <c r="C24" s="193" t="s">
        <v>827</v>
      </c>
      <c r="D24" s="196">
        <f>'[1]GERAL 2024'!G40</f>
        <v>640</v>
      </c>
      <c r="E24" s="192">
        <v>0</v>
      </c>
      <c r="F24" s="196">
        <f>D24-E24</f>
        <v>640</v>
      </c>
      <c r="G24" s="192">
        <v>50</v>
      </c>
      <c r="H24" s="192">
        <f t="shared" si="7"/>
        <v>61.7</v>
      </c>
      <c r="I24" s="192">
        <f>'[1]GERAL 2024'!I40</f>
        <v>1.3105200945626476</v>
      </c>
      <c r="J24" s="192">
        <f>'[1]GERAL 2024'!K40</f>
        <v>0.79837470449172576</v>
      </c>
      <c r="K24" s="192">
        <v>0</v>
      </c>
      <c r="L24" s="191">
        <f t="shared" si="3"/>
        <v>753.80889479905443</v>
      </c>
      <c r="M24" s="192">
        <f t="shared" si="6"/>
        <v>52.766622635933814</v>
      </c>
      <c r="N24" s="192">
        <f>L24-M24</f>
        <v>701.04227216312063</v>
      </c>
      <c r="O24" s="193" t="s">
        <v>1083</v>
      </c>
      <c r="P24" s="197">
        <v>10</v>
      </c>
      <c r="Q24" s="197">
        <v>11</v>
      </c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  <c r="AP24" s="205"/>
      <c r="AQ24" s="205"/>
    </row>
    <row r="25" spans="1:43" s="206" customFormat="1" x14ac:dyDescent="0.3">
      <c r="A25" s="195" t="s">
        <v>1029</v>
      </c>
      <c r="B25" s="195">
        <v>17</v>
      </c>
      <c r="C25" s="195" t="s">
        <v>824</v>
      </c>
      <c r="D25" s="196">
        <f>'[1]GERAL 2024'!G45</f>
        <v>610</v>
      </c>
      <c r="E25" s="192">
        <v>0</v>
      </c>
      <c r="F25" s="196">
        <f t="shared" si="2"/>
        <v>610</v>
      </c>
      <c r="G25" s="192">
        <v>50</v>
      </c>
      <c r="H25" s="192">
        <f t="shared" si="7"/>
        <v>61.7</v>
      </c>
      <c r="I25" s="192">
        <f>'[1]GERAL 2024'!I45</f>
        <v>1.3105200945626476</v>
      </c>
      <c r="J25" s="192">
        <f>'[1]GERAL 2024'!K45</f>
        <v>0.79837470449172576</v>
      </c>
      <c r="K25" s="192">
        <v>0</v>
      </c>
      <c r="L25" s="191">
        <f t="shared" si="3"/>
        <v>723.80889479905443</v>
      </c>
      <c r="M25" s="192">
        <f>7%*L25</f>
        <v>50.666622635933813</v>
      </c>
      <c r="N25" s="192">
        <f>L25-M25</f>
        <v>673.14227216312065</v>
      </c>
      <c r="O25" s="193" t="s">
        <v>1083</v>
      </c>
      <c r="P25" s="197">
        <v>10</v>
      </c>
      <c r="Q25" s="197">
        <v>11</v>
      </c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  <c r="AQ25" s="205"/>
    </row>
    <row r="26" spans="1:43" s="206" customFormat="1" x14ac:dyDescent="0.3">
      <c r="A26" s="195" t="s">
        <v>1030</v>
      </c>
      <c r="B26" s="193">
        <v>18</v>
      </c>
      <c r="C26" s="195" t="s">
        <v>824</v>
      </c>
      <c r="D26" s="196">
        <f>'[1]GERAL 2024'!G46</f>
        <v>640</v>
      </c>
      <c r="E26" s="192">
        <v>0</v>
      </c>
      <c r="F26" s="196">
        <f>D26-E26</f>
        <v>640</v>
      </c>
      <c r="G26" s="192">
        <v>0</v>
      </c>
      <c r="H26" s="192">
        <f t="shared" si="7"/>
        <v>61.7</v>
      </c>
      <c r="I26" s="192">
        <f>'[1]GERAL 2024'!I46</f>
        <v>1.3105200945626476</v>
      </c>
      <c r="J26" s="192">
        <f>'[1]GERAL 2024'!K46</f>
        <v>0.79837470449172576</v>
      </c>
      <c r="K26" s="192">
        <v>0</v>
      </c>
      <c r="L26" s="191">
        <f t="shared" si="3"/>
        <v>703.80889479905443</v>
      </c>
      <c r="M26" s="192">
        <f t="shared" si="6"/>
        <v>49.266622635933814</v>
      </c>
      <c r="N26" s="192">
        <f t="shared" si="5"/>
        <v>654.54227216312063</v>
      </c>
      <c r="O26" s="193" t="s">
        <v>1081</v>
      </c>
      <c r="P26" s="197">
        <v>10</v>
      </c>
      <c r="Q26" s="197">
        <v>11</v>
      </c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  <c r="AQ26" s="205"/>
    </row>
    <row r="27" spans="1:43" s="206" customFormat="1" x14ac:dyDescent="0.3">
      <c r="A27" s="193" t="s">
        <v>1012</v>
      </c>
      <c r="B27" s="193">
        <v>19</v>
      </c>
      <c r="C27" s="193" t="s">
        <v>822</v>
      </c>
      <c r="D27" s="196">
        <f>'[1]GERAL 2024'!G44</f>
        <v>580</v>
      </c>
      <c r="E27" s="192">
        <v>0</v>
      </c>
      <c r="F27" s="196">
        <f>(D27-E27)</f>
        <v>580</v>
      </c>
      <c r="G27" s="192">
        <v>50</v>
      </c>
      <c r="H27" s="192">
        <f t="shared" si="7"/>
        <v>61.7</v>
      </c>
      <c r="I27" s="192">
        <f>'[1]GERAL 2024'!I44</f>
        <v>1.3105200945626476</v>
      </c>
      <c r="J27" s="192">
        <f>'[1]GERAL 2024'!K44</f>
        <v>0.79837470449172576</v>
      </c>
      <c r="K27" s="192">
        <v>0</v>
      </c>
      <c r="L27" s="191">
        <f t="shared" si="3"/>
        <v>693.80889479905443</v>
      </c>
      <c r="M27" s="192">
        <f t="shared" si="6"/>
        <v>48.566622635933811</v>
      </c>
      <c r="N27" s="192">
        <f t="shared" si="5"/>
        <v>645.24227216312056</v>
      </c>
      <c r="O27" s="193" t="s">
        <v>1083</v>
      </c>
      <c r="P27" s="207">
        <v>10</v>
      </c>
      <c r="Q27" s="197">
        <v>11</v>
      </c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  <c r="AQ27" s="205"/>
    </row>
    <row r="28" spans="1:43" s="206" customFormat="1" x14ac:dyDescent="0.3">
      <c r="A28" s="195" t="s">
        <v>919</v>
      </c>
      <c r="B28" s="193">
        <v>20</v>
      </c>
      <c r="C28" s="193" t="s">
        <v>917</v>
      </c>
      <c r="D28" s="196">
        <f>'[1]GERAL 2024'!G36</f>
        <v>780</v>
      </c>
      <c r="E28" s="192">
        <v>0</v>
      </c>
      <c r="F28" s="196">
        <f t="shared" ref="F28:F35" si="8">D28-E28</f>
        <v>780</v>
      </c>
      <c r="G28" s="192">
        <v>25</v>
      </c>
      <c r="H28" s="192">
        <f t="shared" si="7"/>
        <v>61.7</v>
      </c>
      <c r="I28" s="192">
        <f>'[1]GERAL 2024'!I36</f>
        <v>1.3105200945626476</v>
      </c>
      <c r="J28" s="192">
        <f>'[1]GERAL 2024'!K36</f>
        <v>0.79837470449172576</v>
      </c>
      <c r="K28" s="192">
        <v>0</v>
      </c>
      <c r="L28" s="191">
        <f t="shared" si="3"/>
        <v>868.80889479905443</v>
      </c>
      <c r="M28" s="192">
        <f t="shared" si="6"/>
        <v>60.816622635933818</v>
      </c>
      <c r="N28" s="192">
        <f t="shared" si="5"/>
        <v>807.99227216312056</v>
      </c>
      <c r="O28" s="193" t="s">
        <v>1089</v>
      </c>
      <c r="P28" s="207">
        <v>10</v>
      </c>
      <c r="Q28" s="197">
        <v>11</v>
      </c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  <c r="AQ28" s="205"/>
    </row>
    <row r="29" spans="1:43" s="206" customFormat="1" x14ac:dyDescent="0.3">
      <c r="A29" s="195" t="s">
        <v>788</v>
      </c>
      <c r="B29" s="193">
        <v>21</v>
      </c>
      <c r="C29" s="193" t="s">
        <v>822</v>
      </c>
      <c r="D29" s="196">
        <f>'[1]GERAL 2023'!G39+(2.45026%*580)</f>
        <v>594.21150799999998</v>
      </c>
      <c r="E29" s="192">
        <v>0</v>
      </c>
      <c r="F29" s="196">
        <f t="shared" si="8"/>
        <v>594.21150799999998</v>
      </c>
      <c r="G29" s="192">
        <v>25</v>
      </c>
      <c r="H29" s="192">
        <f t="shared" si="7"/>
        <v>61.7</v>
      </c>
      <c r="I29" s="192">
        <f>'[1]GERAL 2024'!I23</f>
        <v>1.3105200945626476</v>
      </c>
      <c r="J29" s="192">
        <f>'[1]GERAL 2024'!K23</f>
        <v>0.79837470449172576</v>
      </c>
      <c r="K29" s="192">
        <v>0</v>
      </c>
      <c r="L29" s="191">
        <f t="shared" si="3"/>
        <v>683.02040279905441</v>
      </c>
      <c r="M29" s="192">
        <f t="shared" si="6"/>
        <v>47.811428195933814</v>
      </c>
      <c r="N29" s="192">
        <f t="shared" si="5"/>
        <v>635.20897460312062</v>
      </c>
      <c r="O29" s="193" t="s">
        <v>1089</v>
      </c>
      <c r="P29" s="207">
        <v>10</v>
      </c>
      <c r="Q29" s="197">
        <v>11</v>
      </c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  <c r="AQ29" s="205"/>
    </row>
    <row r="30" spans="1:43" s="206" customFormat="1" x14ac:dyDescent="0.3">
      <c r="A30" s="195" t="s">
        <v>950</v>
      </c>
      <c r="B30" s="193">
        <v>22</v>
      </c>
      <c r="C30" s="193" t="s">
        <v>951</v>
      </c>
      <c r="D30" s="196">
        <f>'[1]GERAL 2024'!G38</f>
        <v>610</v>
      </c>
      <c r="E30" s="192">
        <v>0</v>
      </c>
      <c r="F30" s="196">
        <f t="shared" si="8"/>
        <v>610</v>
      </c>
      <c r="G30" s="192">
        <v>25</v>
      </c>
      <c r="H30" s="192">
        <f t="shared" si="7"/>
        <v>61.7</v>
      </c>
      <c r="I30" s="192">
        <f>'[1]GERAL 2024'!I38</f>
        <v>1.3105200945626476</v>
      </c>
      <c r="J30" s="192">
        <f>'[1]GERAL 2024'!K38</f>
        <v>0.79837470449172576</v>
      </c>
      <c r="K30" s="192">
        <v>0</v>
      </c>
      <c r="L30" s="191">
        <f t="shared" si="3"/>
        <v>698.80889479905443</v>
      </c>
      <c r="M30" s="192">
        <f>7%*L30</f>
        <v>48.916622635933813</v>
      </c>
      <c r="N30" s="192">
        <f>L30-M30</f>
        <v>649.89227216312065</v>
      </c>
      <c r="O30" s="193" t="s">
        <v>1089</v>
      </c>
      <c r="P30" s="207">
        <v>10</v>
      </c>
      <c r="Q30" s="197">
        <v>11</v>
      </c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  <c r="AQ30" s="205"/>
    </row>
    <row r="31" spans="1:43" s="206" customFormat="1" x14ac:dyDescent="0.3">
      <c r="A31" s="195" t="s">
        <v>750</v>
      </c>
      <c r="B31" s="193">
        <v>23</v>
      </c>
      <c r="C31" s="193" t="s">
        <v>827</v>
      </c>
      <c r="D31" s="196">
        <f>'[1]GERAL 2022'!G25</f>
        <v>550</v>
      </c>
      <c r="E31" s="192">
        <v>0</v>
      </c>
      <c r="F31" s="196">
        <f t="shared" si="8"/>
        <v>550</v>
      </c>
      <c r="G31" s="192">
        <v>0</v>
      </c>
      <c r="H31" s="192">
        <f t="shared" si="7"/>
        <v>61.7</v>
      </c>
      <c r="I31" s="192">
        <f>'[1]GERAL 2024'!I25</f>
        <v>1.3105200945626476</v>
      </c>
      <c r="J31" s="192">
        <f>'[1]GERAL 2024'!K25</f>
        <v>0.79837470449172576</v>
      </c>
      <c r="K31" s="192">
        <v>0</v>
      </c>
      <c r="L31" s="191">
        <f t="shared" si="3"/>
        <v>613.80889479905443</v>
      </c>
      <c r="M31" s="192">
        <f t="shared" si="6"/>
        <v>42.966622635933817</v>
      </c>
      <c r="N31" s="192">
        <f t="shared" si="5"/>
        <v>570.84227216312058</v>
      </c>
      <c r="O31" s="193" t="s">
        <v>1081</v>
      </c>
      <c r="P31" s="197">
        <v>10</v>
      </c>
      <c r="Q31" s="197">
        <v>11</v>
      </c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  <c r="AC31" s="205"/>
      <c r="AD31" s="205"/>
      <c r="AE31" s="205"/>
      <c r="AF31" s="205"/>
      <c r="AG31" s="205"/>
      <c r="AH31" s="205"/>
      <c r="AI31" s="205"/>
      <c r="AJ31" s="205"/>
      <c r="AK31" s="205"/>
      <c r="AL31" s="205"/>
      <c r="AM31" s="205"/>
      <c r="AN31" s="205"/>
      <c r="AO31" s="205"/>
      <c r="AP31" s="205"/>
      <c r="AQ31" s="205"/>
    </row>
    <row r="32" spans="1:43" s="204" customFormat="1" ht="15.6" customHeight="1" x14ac:dyDescent="0.3">
      <c r="A32" s="193"/>
      <c r="B32" s="193">
        <v>24</v>
      </c>
      <c r="C32" s="193"/>
      <c r="D32" s="196">
        <v>0</v>
      </c>
      <c r="E32" s="192">
        <v>0</v>
      </c>
      <c r="F32" s="196">
        <f>D32-E32</f>
        <v>0</v>
      </c>
      <c r="G32" s="192">
        <v>0</v>
      </c>
      <c r="H32" s="192">
        <v>0</v>
      </c>
      <c r="I32" s="192">
        <v>0</v>
      </c>
      <c r="J32" s="192">
        <v>0</v>
      </c>
      <c r="K32" s="192">
        <v>0</v>
      </c>
      <c r="L32" s="191">
        <f t="shared" si="3"/>
        <v>0</v>
      </c>
      <c r="M32" s="192">
        <f t="shared" si="6"/>
        <v>0</v>
      </c>
      <c r="N32" s="192">
        <f t="shared" si="5"/>
        <v>0</v>
      </c>
      <c r="O32" s="193" t="s">
        <v>525</v>
      </c>
      <c r="P32" s="207"/>
      <c r="Q32" s="197"/>
      <c r="R32" s="200"/>
      <c r="S32" s="200"/>
      <c r="T32" s="200"/>
      <c r="U32" s="200"/>
      <c r="V32" s="200"/>
      <c r="W32" s="200"/>
      <c r="X32" s="200"/>
      <c r="Y32" s="200"/>
      <c r="Z32" s="200"/>
    </row>
    <row r="33" spans="1:53" s="204" customFormat="1" ht="15" customHeight="1" x14ac:dyDescent="0.3">
      <c r="A33" s="206" t="s">
        <v>1007</v>
      </c>
      <c r="B33" s="193">
        <v>25</v>
      </c>
      <c r="C33" s="193" t="s">
        <v>822</v>
      </c>
      <c r="D33" s="196">
        <f>'[1]GERAL 2024'!G43</f>
        <v>640</v>
      </c>
      <c r="E33" s="192">
        <v>0</v>
      </c>
      <c r="F33" s="196">
        <f t="shared" si="8"/>
        <v>640</v>
      </c>
      <c r="G33" s="192">
        <v>25</v>
      </c>
      <c r="H33" s="192">
        <f t="shared" si="7"/>
        <v>61.7</v>
      </c>
      <c r="I33" s="192">
        <f>'[1]GERAL 2024'!I43</f>
        <v>1.3105200945626476</v>
      </c>
      <c r="J33" s="192">
        <f>'[1]GERAL 2024'!K43</f>
        <v>0.79837470449172576</v>
      </c>
      <c r="K33" s="192">
        <v>0</v>
      </c>
      <c r="L33" s="191">
        <f t="shared" si="3"/>
        <v>728.80889479905443</v>
      </c>
      <c r="M33" s="192">
        <f t="shared" si="6"/>
        <v>51.016622635933814</v>
      </c>
      <c r="N33" s="192">
        <f t="shared" si="5"/>
        <v>677.79227216312063</v>
      </c>
      <c r="O33" s="193" t="s">
        <v>1089</v>
      </c>
      <c r="P33" s="207">
        <v>10</v>
      </c>
      <c r="Q33" s="197">
        <v>11</v>
      </c>
      <c r="R33" s="200"/>
      <c r="S33" s="200"/>
      <c r="T33" s="200"/>
      <c r="U33" s="200"/>
      <c r="V33" s="200"/>
      <c r="W33" s="200"/>
      <c r="X33" s="200"/>
      <c r="Y33" s="200"/>
      <c r="Z33" s="200"/>
    </row>
    <row r="34" spans="1:53" s="206" customFormat="1" x14ac:dyDescent="0.3">
      <c r="A34" s="195" t="s">
        <v>751</v>
      </c>
      <c r="B34" s="193">
        <v>26</v>
      </c>
      <c r="C34" s="193" t="s">
        <v>827</v>
      </c>
      <c r="D34" s="196">
        <f>'[1]GERAL 2022'!G28</f>
        <v>560</v>
      </c>
      <c r="E34" s="192">
        <v>0</v>
      </c>
      <c r="F34" s="196">
        <f t="shared" si="8"/>
        <v>560</v>
      </c>
      <c r="G34" s="192">
        <v>25</v>
      </c>
      <c r="H34" s="192">
        <f t="shared" si="7"/>
        <v>61.7</v>
      </c>
      <c r="I34" s="192">
        <f>'[1]GERAL 2024'!I28</f>
        <v>1.3105200945626476</v>
      </c>
      <c r="J34" s="192">
        <f>'[1]GERAL 2024'!K29</f>
        <v>0.79837470449172576</v>
      </c>
      <c r="K34" s="192">
        <v>0</v>
      </c>
      <c r="L34" s="191">
        <f t="shared" si="3"/>
        <v>648.80889479905443</v>
      </c>
      <c r="M34" s="192">
        <f t="shared" si="6"/>
        <v>45.416622635933813</v>
      </c>
      <c r="N34" s="192">
        <f t="shared" si="5"/>
        <v>603.39227216312065</v>
      </c>
      <c r="O34" s="193" t="s">
        <v>1089</v>
      </c>
      <c r="P34" s="197">
        <v>10</v>
      </c>
      <c r="Q34" s="197">
        <v>11</v>
      </c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205"/>
    </row>
    <row r="35" spans="1:53" s="206" customFormat="1" x14ac:dyDescent="0.3">
      <c r="A35" s="195" t="s">
        <v>752</v>
      </c>
      <c r="B35" s="193">
        <v>27</v>
      </c>
      <c r="C35" s="216" t="s">
        <v>827</v>
      </c>
      <c r="D35" s="217">
        <f>'[1]GERAL 2022'!G45</f>
        <v>580</v>
      </c>
      <c r="E35" s="210">
        <v>0</v>
      </c>
      <c r="F35" s="196">
        <f t="shared" si="8"/>
        <v>580</v>
      </c>
      <c r="G35" s="210">
        <v>0</v>
      </c>
      <c r="H35" s="192">
        <f t="shared" si="7"/>
        <v>61.7</v>
      </c>
      <c r="I35" s="210">
        <f>'[1]GERAL 2024'!I29</f>
        <v>1.3105200945626476</v>
      </c>
      <c r="J35" s="192">
        <f>'[1]GERAL 2024'!K29</f>
        <v>0.79837470449172576</v>
      </c>
      <c r="K35" s="210">
        <v>0</v>
      </c>
      <c r="L35" s="191">
        <f t="shared" si="3"/>
        <v>643.80889479905443</v>
      </c>
      <c r="M35" s="192">
        <f t="shared" si="6"/>
        <v>45.066622635933811</v>
      </c>
      <c r="N35" s="192">
        <f>L35-M35</f>
        <v>598.74227216312056</v>
      </c>
      <c r="O35" s="193" t="s">
        <v>1081</v>
      </c>
      <c r="P35" s="197">
        <v>10</v>
      </c>
      <c r="Q35" s="197">
        <v>11</v>
      </c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  <c r="AQ35" s="205"/>
    </row>
    <row r="36" spans="1:53" s="206" customFormat="1" x14ac:dyDescent="0.3">
      <c r="A36" s="584" t="s">
        <v>4</v>
      </c>
      <c r="B36" s="584"/>
      <c r="C36" s="209"/>
      <c r="D36" s="191">
        <f>SUM(D9:D35)</f>
        <v>14675.914864838709</v>
      </c>
      <c r="E36" s="191">
        <f t="shared" ref="E36:N36" si="9">SUM(E9:E35)</f>
        <v>0</v>
      </c>
      <c r="F36" s="191">
        <f t="shared" si="9"/>
        <v>14675.914864838709</v>
      </c>
      <c r="G36" s="191">
        <f t="shared" si="9"/>
        <v>612.0967741935483</v>
      </c>
      <c r="H36" s="191">
        <f t="shared" si="9"/>
        <v>1460.8967741935489</v>
      </c>
      <c r="I36" s="191">
        <f>SUM(I9:I35)</f>
        <v>32.078149927552808</v>
      </c>
      <c r="J36" s="191">
        <f t="shared" si="9"/>
        <v>19.542152444139404</v>
      </c>
      <c r="K36" s="191">
        <f>SUM(K9:K35)</f>
        <v>380.8</v>
      </c>
      <c r="L36" s="191">
        <f>SUM(L9:L35)</f>
        <v>17181.328715597501</v>
      </c>
      <c r="M36" s="191">
        <f t="shared" si="9"/>
        <v>1202.693010091825</v>
      </c>
      <c r="N36" s="191">
        <f t="shared" si="9"/>
        <v>15978.635705505676</v>
      </c>
      <c r="O36" s="193"/>
      <c r="P36" s="197"/>
      <c r="Q36" s="197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  <c r="AQ36" s="205"/>
    </row>
    <row r="37" spans="1:53" s="11" customFormat="1" ht="28.5" customHeight="1" x14ac:dyDescent="0.3">
      <c r="A37" s="521" t="s">
        <v>1090</v>
      </c>
      <c r="B37" s="521"/>
      <c r="C37" s="521"/>
      <c r="D37" s="521"/>
      <c r="E37" s="521"/>
      <c r="F37" s="521"/>
      <c r="G37" s="521"/>
      <c r="H37" s="521"/>
      <c r="I37" s="521"/>
      <c r="J37" s="521"/>
      <c r="K37" s="521"/>
      <c r="L37" s="521"/>
      <c r="M37" s="521"/>
      <c r="N37" s="521"/>
      <c r="O37" s="521"/>
      <c r="P37" s="521"/>
      <c r="Q37" s="521"/>
      <c r="R37" s="205"/>
      <c r="S37" s="205"/>
      <c r="T37" s="205"/>
      <c r="U37" s="205"/>
      <c r="V37" s="205"/>
      <c r="W37" s="205"/>
      <c r="X37" s="205"/>
      <c r="Y37" s="205"/>
      <c r="Z37" s="205"/>
      <c r="AA37" s="206"/>
      <c r="AB37" s="206"/>
      <c r="AC37" s="206"/>
      <c r="AD37" s="206"/>
      <c r="AE37" s="206"/>
      <c r="AF37" s="206"/>
      <c r="AG37" s="206"/>
      <c r="AH37" s="206"/>
      <c r="AI37" s="206"/>
      <c r="AJ37" s="206"/>
      <c r="AK37" s="206"/>
      <c r="AL37" s="206"/>
      <c r="AM37" s="206"/>
      <c r="AN37" s="206"/>
      <c r="AO37" s="206"/>
      <c r="AP37" s="206"/>
      <c r="AQ37" s="206"/>
      <c r="AR37" s="206"/>
      <c r="AS37" s="206"/>
      <c r="AT37" s="206"/>
      <c r="AU37" s="206"/>
      <c r="AV37" s="206"/>
      <c r="AW37" s="206"/>
      <c r="AX37" s="206"/>
      <c r="AY37" s="206"/>
      <c r="AZ37" s="206"/>
      <c r="BA37" s="206"/>
    </row>
    <row r="38" spans="1:53" s="11" customFormat="1" ht="27.6" customHeight="1" x14ac:dyDescent="0.3">
      <c r="A38" s="127" t="s">
        <v>3</v>
      </c>
      <c r="B38" s="127" t="s">
        <v>0</v>
      </c>
      <c r="C38" s="127" t="s">
        <v>821</v>
      </c>
      <c r="D38" s="128" t="s">
        <v>174</v>
      </c>
      <c r="E38" s="555" t="s">
        <v>175</v>
      </c>
      <c r="F38" s="556"/>
      <c r="G38" s="556"/>
      <c r="H38" s="556"/>
      <c r="I38" s="556"/>
      <c r="J38" s="556"/>
      <c r="K38" s="557"/>
      <c r="L38" s="128" t="s">
        <v>4</v>
      </c>
      <c r="M38" s="128" t="s">
        <v>5</v>
      </c>
      <c r="N38" s="128" t="s">
        <v>70</v>
      </c>
      <c r="O38" s="127" t="s">
        <v>59</v>
      </c>
      <c r="P38" s="130" t="s">
        <v>8</v>
      </c>
      <c r="Q38" s="130" t="s">
        <v>10</v>
      </c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  <c r="AC38" s="205"/>
      <c r="AD38" s="206"/>
      <c r="AE38" s="206"/>
      <c r="AF38" s="206"/>
      <c r="AG38" s="206"/>
      <c r="AH38" s="206"/>
      <c r="AI38" s="206"/>
      <c r="AJ38" s="206"/>
      <c r="AK38" s="206"/>
      <c r="AL38" s="206"/>
      <c r="AM38" s="206"/>
      <c r="AN38" s="206"/>
      <c r="AO38" s="206"/>
      <c r="AP38" s="206"/>
      <c r="AQ38" s="206"/>
      <c r="AR38" s="206"/>
      <c r="AS38" s="206"/>
      <c r="AT38" s="206"/>
      <c r="AU38" s="206"/>
      <c r="AV38" s="206"/>
      <c r="AW38" s="206"/>
      <c r="AX38" s="206"/>
      <c r="AY38" s="206"/>
      <c r="AZ38" s="206"/>
      <c r="BA38" s="206"/>
    </row>
    <row r="39" spans="1:53" s="204" customFormat="1" ht="15.6" customHeight="1" x14ac:dyDescent="0.3">
      <c r="A39" s="194" t="s">
        <v>929</v>
      </c>
      <c r="B39" s="194">
        <v>12</v>
      </c>
      <c r="C39" s="194" t="s">
        <v>829</v>
      </c>
      <c r="D39" s="196">
        <v>1464</v>
      </c>
      <c r="E39" s="551" t="s">
        <v>715</v>
      </c>
      <c r="F39" s="580"/>
      <c r="G39" s="580"/>
      <c r="H39" s="580"/>
      <c r="I39" s="580"/>
      <c r="J39" s="580"/>
      <c r="K39" s="552"/>
      <c r="L39" s="196">
        <v>183</v>
      </c>
      <c r="M39" s="192">
        <f>7%*L39</f>
        <v>12.81</v>
      </c>
      <c r="N39" s="192">
        <f>L39-M39</f>
        <v>170.19</v>
      </c>
      <c r="O39" s="193" t="s">
        <v>1091</v>
      </c>
      <c r="P39" s="207">
        <v>10</v>
      </c>
      <c r="Q39" s="197">
        <v>11</v>
      </c>
      <c r="R39" s="200"/>
      <c r="S39" s="200"/>
      <c r="T39" s="200"/>
      <c r="U39" s="200"/>
      <c r="V39" s="200"/>
      <c r="W39" s="200"/>
      <c r="X39" s="200"/>
      <c r="Y39" s="200"/>
      <c r="Z39" s="200"/>
    </row>
    <row r="40" spans="1:53" s="11" customFormat="1" x14ac:dyDescent="0.3">
      <c r="A40" s="518" t="s">
        <v>4</v>
      </c>
      <c r="B40" s="518"/>
      <c r="C40" s="518"/>
      <c r="D40" s="518"/>
      <c r="E40" s="518"/>
      <c r="F40" s="518"/>
      <c r="G40" s="518"/>
      <c r="H40" s="518"/>
      <c r="I40" s="518"/>
      <c r="J40" s="518"/>
      <c r="K40" s="518"/>
      <c r="L40" s="109">
        <f>SUM(L39:L39)</f>
        <v>183</v>
      </c>
      <c r="M40" s="109">
        <f>SUM(M39:M39)</f>
        <v>12.81</v>
      </c>
      <c r="N40" s="109">
        <f>SUM(N39:N39)</f>
        <v>170.19</v>
      </c>
      <c r="O40" s="527"/>
      <c r="P40" s="527"/>
      <c r="Q40" s="527"/>
      <c r="R40" s="205"/>
      <c r="S40" s="205"/>
      <c r="T40" s="205"/>
      <c r="U40" s="205"/>
      <c r="V40" s="205"/>
      <c r="W40" s="205"/>
      <c r="X40" s="205"/>
      <c r="Y40" s="205"/>
      <c r="Z40" s="205"/>
      <c r="AA40" s="206"/>
      <c r="AB40" s="206"/>
      <c r="AC40" s="206"/>
      <c r="AD40" s="206"/>
      <c r="AE40" s="206"/>
      <c r="AF40" s="206"/>
      <c r="AG40" s="206"/>
      <c r="AH40" s="206"/>
      <c r="AI40" s="206"/>
      <c r="AJ40" s="206"/>
      <c r="AK40" s="206"/>
      <c r="AL40" s="206"/>
      <c r="AM40" s="206"/>
      <c r="AN40" s="206"/>
      <c r="AO40" s="206"/>
      <c r="AP40" s="206"/>
      <c r="AQ40" s="206"/>
      <c r="AR40" s="206"/>
      <c r="AS40" s="206"/>
      <c r="AT40" s="206"/>
      <c r="AU40" s="206"/>
      <c r="AV40" s="206"/>
      <c r="AW40" s="206"/>
      <c r="AX40" s="206"/>
      <c r="AY40" s="206"/>
      <c r="AZ40" s="206"/>
      <c r="BA40" s="206"/>
    </row>
    <row r="41" spans="1:53" s="11" customFormat="1" x14ac:dyDescent="0.3">
      <c r="A41" s="518"/>
      <c r="B41" s="518"/>
      <c r="C41" s="518"/>
      <c r="D41" s="518"/>
      <c r="E41" s="518"/>
      <c r="F41" s="518"/>
      <c r="G41" s="518"/>
      <c r="H41" s="518"/>
      <c r="I41" s="518"/>
      <c r="J41" s="518"/>
      <c r="K41" s="518"/>
      <c r="L41" s="518"/>
      <c r="M41" s="518"/>
      <c r="N41" s="518"/>
      <c r="O41" s="518"/>
      <c r="P41" s="109"/>
      <c r="Q41" s="109"/>
      <c r="R41" s="205"/>
      <c r="S41" s="205"/>
      <c r="T41" s="205"/>
      <c r="U41" s="205"/>
      <c r="V41" s="205"/>
      <c r="W41" s="205"/>
      <c r="X41" s="205"/>
      <c r="Y41" s="205"/>
      <c r="Z41" s="205"/>
      <c r="AA41" s="206"/>
      <c r="AB41" s="206"/>
      <c r="AC41" s="206"/>
      <c r="AD41" s="206"/>
      <c r="AE41" s="206"/>
      <c r="AF41" s="206"/>
      <c r="AG41" s="206"/>
      <c r="AH41" s="206"/>
      <c r="AI41" s="206"/>
      <c r="AJ41" s="206"/>
      <c r="AK41" s="206"/>
      <c r="AL41" s="206"/>
      <c r="AM41" s="206"/>
      <c r="AN41" s="206"/>
      <c r="AO41" s="206"/>
      <c r="AP41" s="206"/>
      <c r="AQ41" s="206"/>
      <c r="AR41" s="206"/>
      <c r="AS41" s="206"/>
      <c r="AT41" s="206"/>
      <c r="AU41" s="206"/>
      <c r="AV41" s="206"/>
      <c r="AW41" s="206"/>
      <c r="AX41" s="206"/>
      <c r="AY41" s="206"/>
      <c r="AZ41" s="206"/>
      <c r="BA41" s="206"/>
    </row>
    <row r="42" spans="1:53" s="11" customFormat="1" ht="28.5" customHeight="1" x14ac:dyDescent="0.3">
      <c r="A42" s="521" t="s">
        <v>177</v>
      </c>
      <c r="B42" s="521"/>
      <c r="C42" s="521"/>
      <c r="D42" s="521"/>
      <c r="E42" s="521"/>
      <c r="F42" s="521"/>
      <c r="G42" s="521"/>
      <c r="H42" s="521"/>
      <c r="I42" s="521"/>
      <c r="J42" s="521"/>
      <c r="K42" s="521"/>
      <c r="L42" s="521"/>
      <c r="M42" s="521"/>
      <c r="N42" s="521"/>
      <c r="O42" s="521"/>
      <c r="P42" s="521"/>
      <c r="Q42" s="521"/>
      <c r="R42" s="205"/>
      <c r="S42" s="205"/>
      <c r="T42" s="205"/>
      <c r="U42" s="205"/>
      <c r="V42" s="205"/>
      <c r="W42" s="205"/>
      <c r="X42" s="205"/>
      <c r="Y42" s="205"/>
      <c r="Z42" s="205"/>
      <c r="AA42" s="205"/>
      <c r="AB42" s="205"/>
      <c r="AC42" s="205"/>
      <c r="AD42" s="205"/>
      <c r="AE42" s="205"/>
      <c r="AF42" s="206"/>
      <c r="AG42" s="206"/>
      <c r="AH42" s="206"/>
      <c r="AI42" s="206"/>
      <c r="AJ42" s="206"/>
      <c r="AK42" s="206"/>
      <c r="AL42" s="206"/>
      <c r="AM42" s="206"/>
      <c r="AN42" s="206"/>
      <c r="AO42" s="206"/>
      <c r="AP42" s="206"/>
      <c r="AQ42" s="206"/>
      <c r="AR42" s="206"/>
      <c r="AS42" s="206"/>
      <c r="AT42" s="206"/>
      <c r="AU42" s="206"/>
      <c r="AV42" s="206"/>
      <c r="AW42" s="206"/>
      <c r="AX42" s="206"/>
      <c r="AY42" s="206"/>
      <c r="AZ42" s="206"/>
      <c r="BA42" s="206"/>
    </row>
    <row r="43" spans="1:53" s="11" customFormat="1" ht="25.5" customHeight="1" x14ac:dyDescent="0.3">
      <c r="A43" s="126" t="s">
        <v>173</v>
      </c>
      <c r="B43" s="126" t="s">
        <v>0</v>
      </c>
      <c r="C43" s="126"/>
      <c r="D43" s="126" t="s">
        <v>174</v>
      </c>
      <c r="E43" s="521" t="s">
        <v>175</v>
      </c>
      <c r="F43" s="521"/>
      <c r="G43" s="521"/>
      <c r="H43" s="521"/>
      <c r="I43" s="521"/>
      <c r="J43" s="521"/>
      <c r="K43" s="521"/>
      <c r="L43" s="129" t="s">
        <v>4</v>
      </c>
      <c r="M43" s="128"/>
      <c r="N43" s="128"/>
      <c r="O43" s="127" t="s">
        <v>59</v>
      </c>
      <c r="P43" s="130" t="s">
        <v>8</v>
      </c>
      <c r="Q43" s="130" t="s">
        <v>10</v>
      </c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05"/>
      <c r="AF43" s="206"/>
      <c r="AG43" s="206"/>
      <c r="AH43" s="206"/>
      <c r="AI43" s="206"/>
      <c r="AJ43" s="206"/>
      <c r="AK43" s="206"/>
      <c r="AL43" s="206"/>
      <c r="AM43" s="206"/>
      <c r="AN43" s="206"/>
      <c r="AO43" s="206"/>
      <c r="AP43" s="206"/>
      <c r="AQ43" s="206"/>
      <c r="AR43" s="206"/>
      <c r="AS43" s="206"/>
      <c r="AT43" s="206"/>
      <c r="AU43" s="206"/>
      <c r="AV43" s="206"/>
      <c r="AW43" s="206"/>
      <c r="AX43" s="206"/>
      <c r="AY43" s="206"/>
      <c r="AZ43" s="206"/>
      <c r="BA43" s="206"/>
    </row>
    <row r="44" spans="1:53" s="206" customFormat="1" ht="15" customHeight="1" x14ac:dyDescent="0.3">
      <c r="A44" s="194" t="s">
        <v>739</v>
      </c>
      <c r="B44" s="194">
        <v>10</v>
      </c>
      <c r="C44" s="194" t="s">
        <v>825</v>
      </c>
      <c r="D44" s="196">
        <f>550+50+61.7+1.31+0.8</f>
        <v>663.81</v>
      </c>
      <c r="E44" s="551" t="s">
        <v>1092</v>
      </c>
      <c r="F44" s="580"/>
      <c r="G44" s="580"/>
      <c r="H44" s="580"/>
      <c r="I44" s="580"/>
      <c r="J44" s="580"/>
      <c r="K44" s="580"/>
      <c r="L44" s="234">
        <f>550+50+61.7+1.31+0.8</f>
        <v>663.81</v>
      </c>
      <c r="M44" s="192"/>
      <c r="N44" s="193"/>
      <c r="O44" s="193" t="s">
        <v>1093</v>
      </c>
      <c r="P44" s="140">
        <v>10</v>
      </c>
      <c r="Q44" s="4">
        <v>11</v>
      </c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205"/>
      <c r="AG44" s="205"/>
      <c r="AH44" s="205"/>
      <c r="AI44" s="205"/>
      <c r="AJ44" s="205"/>
      <c r="AK44" s="205"/>
      <c r="AL44" s="205"/>
      <c r="AM44" s="205"/>
      <c r="AN44" s="205"/>
      <c r="AO44" s="205"/>
      <c r="AP44" s="205"/>
    </row>
    <row r="45" spans="1:53" s="206" customFormat="1" ht="15" customHeight="1" x14ac:dyDescent="0.3">
      <c r="A45" s="194" t="s">
        <v>739</v>
      </c>
      <c r="B45" s="194">
        <v>10</v>
      </c>
      <c r="C45" s="194" t="s">
        <v>825</v>
      </c>
      <c r="D45" s="196">
        <f>550+50+61.7+1.31+0.8</f>
        <v>663.81</v>
      </c>
      <c r="E45" s="551" t="s">
        <v>1074</v>
      </c>
      <c r="F45" s="580"/>
      <c r="G45" s="580"/>
      <c r="H45" s="580"/>
      <c r="I45" s="580"/>
      <c r="J45" s="580"/>
      <c r="K45" s="580"/>
      <c r="L45" s="234">
        <f>550+50+61.7+1.31+0.8</f>
        <v>663.81</v>
      </c>
      <c r="M45" s="192"/>
      <c r="N45" s="193"/>
      <c r="O45" s="193" t="s">
        <v>1074</v>
      </c>
      <c r="P45" s="140">
        <v>10</v>
      </c>
      <c r="Q45" s="4">
        <v>11</v>
      </c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  <c r="AF45" s="205"/>
      <c r="AG45" s="205"/>
      <c r="AH45" s="205"/>
      <c r="AI45" s="205"/>
      <c r="AJ45" s="205"/>
      <c r="AK45" s="205"/>
      <c r="AL45" s="205"/>
      <c r="AM45" s="205"/>
      <c r="AN45" s="205"/>
      <c r="AO45" s="205"/>
      <c r="AP45" s="205"/>
    </row>
    <row r="46" spans="1:53" s="206" customFormat="1" ht="15" customHeight="1" x14ac:dyDescent="0.3">
      <c r="A46" s="194" t="s">
        <v>739</v>
      </c>
      <c r="B46" s="194">
        <v>10</v>
      </c>
      <c r="C46" s="194" t="s">
        <v>825</v>
      </c>
      <c r="D46" s="196">
        <f>550+50+61.7+1.31+0.8</f>
        <v>663.81</v>
      </c>
      <c r="E46" s="551" t="s">
        <v>1062</v>
      </c>
      <c r="F46" s="580"/>
      <c r="G46" s="580"/>
      <c r="H46" s="580"/>
      <c r="I46" s="580"/>
      <c r="J46" s="580"/>
      <c r="K46" s="580"/>
      <c r="L46" s="234">
        <f>550+50+61.7+1.31+0.8</f>
        <v>663.81</v>
      </c>
      <c r="M46" s="192"/>
      <c r="N46" s="193"/>
      <c r="O46" s="193" t="s">
        <v>1062</v>
      </c>
      <c r="P46" s="140">
        <v>10</v>
      </c>
      <c r="Q46" s="4">
        <v>11</v>
      </c>
      <c r="R46" s="205"/>
      <c r="S46" s="205"/>
      <c r="T46" s="205"/>
      <c r="U46" s="205"/>
      <c r="V46" s="205"/>
      <c r="W46" s="205"/>
      <c r="X46" s="205"/>
      <c r="Y46" s="205"/>
      <c r="Z46" s="205"/>
      <c r="AA46" s="205"/>
      <c r="AB46" s="205"/>
      <c r="AC46" s="205"/>
      <c r="AD46" s="205"/>
      <c r="AE46" s="205"/>
      <c r="AF46" s="205"/>
      <c r="AG46" s="205"/>
      <c r="AH46" s="205"/>
      <c r="AI46" s="205"/>
      <c r="AJ46" s="205"/>
      <c r="AK46" s="205"/>
      <c r="AL46" s="205"/>
      <c r="AM46" s="205"/>
      <c r="AN46" s="205"/>
      <c r="AO46" s="205"/>
      <c r="AP46" s="205"/>
    </row>
    <row r="47" spans="1:53" s="69" customFormat="1" ht="15" customHeight="1" x14ac:dyDescent="0.3">
      <c r="A47" s="4" t="s">
        <v>132</v>
      </c>
      <c r="B47" s="4">
        <v>1</v>
      </c>
      <c r="C47" s="4"/>
      <c r="D47" s="5">
        <f>4977.59-1520</f>
        <v>3457.59</v>
      </c>
      <c r="E47" s="546" t="s">
        <v>284</v>
      </c>
      <c r="F47" s="547"/>
      <c r="G47" s="547"/>
      <c r="H47" s="547"/>
      <c r="I47" s="547"/>
      <c r="J47" s="547"/>
      <c r="K47" s="548"/>
      <c r="L47" s="5">
        <f>4977.59-1520</f>
        <v>3457.59</v>
      </c>
      <c r="M47" s="5"/>
      <c r="N47" s="5"/>
      <c r="O47" s="5" t="s">
        <v>510</v>
      </c>
      <c r="P47" s="140">
        <v>10</v>
      </c>
      <c r="Q47" s="4">
        <v>11</v>
      </c>
      <c r="R47" s="208"/>
      <c r="S47" s="208"/>
      <c r="T47" s="208"/>
      <c r="U47" s="208"/>
      <c r="V47" s="208"/>
      <c r="W47" s="208"/>
      <c r="X47" s="208"/>
      <c r="Y47" s="208"/>
      <c r="Z47" s="208"/>
      <c r="AA47" s="208"/>
      <c r="AB47" s="208"/>
      <c r="AC47" s="208"/>
      <c r="AD47" s="208"/>
      <c r="AE47" s="208"/>
      <c r="AF47" s="208"/>
      <c r="AG47" s="208"/>
      <c r="AH47" s="208"/>
      <c r="AI47" s="208"/>
      <c r="AJ47" s="20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</row>
    <row r="48" spans="1:53" s="11" customFormat="1" x14ac:dyDescent="0.3">
      <c r="A48" s="90" t="s">
        <v>87</v>
      </c>
      <c r="B48" s="90">
        <v>25</v>
      </c>
      <c r="C48" s="90"/>
      <c r="D48" s="5">
        <v>3013.33</v>
      </c>
      <c r="E48" s="546" t="s">
        <v>543</v>
      </c>
      <c r="F48" s="547"/>
      <c r="G48" s="547"/>
      <c r="H48" s="547"/>
      <c r="I48" s="547"/>
      <c r="J48" s="547"/>
      <c r="K48" s="548"/>
      <c r="L48" s="5">
        <v>3040.58</v>
      </c>
      <c r="M48" s="2"/>
      <c r="N48" s="2"/>
      <c r="O48" s="5" t="s">
        <v>545</v>
      </c>
      <c r="P48" s="98">
        <v>10</v>
      </c>
      <c r="Q48" s="3">
        <v>11</v>
      </c>
      <c r="R48" s="205"/>
      <c r="S48" s="205"/>
      <c r="T48" s="205"/>
      <c r="U48" s="205"/>
      <c r="V48" s="205"/>
      <c r="W48" s="205"/>
      <c r="X48" s="205"/>
      <c r="Y48" s="205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05"/>
      <c r="AP48" s="205"/>
      <c r="AQ48" s="205"/>
      <c r="AR48" s="206"/>
      <c r="AS48" s="206"/>
      <c r="AT48" s="206"/>
      <c r="AU48" s="206"/>
      <c r="AV48" s="206"/>
      <c r="AW48" s="206"/>
      <c r="AX48" s="206"/>
      <c r="AY48" s="206"/>
      <c r="AZ48" s="206"/>
      <c r="BA48" s="206"/>
    </row>
    <row r="49" spans="1:61" s="11" customFormat="1" ht="15" customHeight="1" x14ac:dyDescent="0.3">
      <c r="A49" s="3" t="s">
        <v>894</v>
      </c>
      <c r="B49" s="90">
        <v>16</v>
      </c>
      <c r="C49" s="90" t="s">
        <v>823</v>
      </c>
      <c r="D49" s="5">
        <f>144.52+11.29+12.89+0.3+0.18+1664</f>
        <v>1833.18</v>
      </c>
      <c r="E49" s="546" t="s">
        <v>969</v>
      </c>
      <c r="F49" s="547"/>
      <c r="G49" s="547"/>
      <c r="H49" s="547"/>
      <c r="I49" s="547"/>
      <c r="J49" s="547"/>
      <c r="K49" s="548"/>
      <c r="L49" s="5">
        <f>144.52+11.29+12.89+0.3+0.18+1664</f>
        <v>1833.18</v>
      </c>
      <c r="M49" s="2"/>
      <c r="N49" s="2"/>
      <c r="O49" s="90" t="s">
        <v>969</v>
      </c>
      <c r="P49" s="98">
        <v>10</v>
      </c>
      <c r="Q49" s="3">
        <v>11</v>
      </c>
      <c r="R49" s="205"/>
      <c r="S49" s="205"/>
      <c r="T49" s="205"/>
      <c r="U49" s="205"/>
      <c r="V49" s="205"/>
      <c r="W49" s="205"/>
      <c r="X49" s="205"/>
      <c r="Y49" s="205"/>
      <c r="Z49" s="205"/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206"/>
      <c r="AS49" s="206"/>
      <c r="AT49" s="206"/>
      <c r="AU49" s="206"/>
      <c r="AV49" s="206"/>
      <c r="AW49" s="206"/>
      <c r="AX49" s="206"/>
      <c r="AY49" s="206"/>
      <c r="AZ49" s="206"/>
      <c r="BA49" s="206"/>
    </row>
    <row r="50" spans="1:61" s="206" customFormat="1" ht="15" customHeight="1" x14ac:dyDescent="0.3">
      <c r="A50" s="237" t="s">
        <v>902</v>
      </c>
      <c r="B50" s="195">
        <v>17</v>
      </c>
      <c r="C50" s="195" t="s">
        <v>823</v>
      </c>
      <c r="D50" s="196">
        <v>2080.41</v>
      </c>
      <c r="E50" s="551" t="s">
        <v>1011</v>
      </c>
      <c r="F50" s="580"/>
      <c r="G50" s="580"/>
      <c r="H50" s="580"/>
      <c r="I50" s="580"/>
      <c r="J50" s="580"/>
      <c r="K50" s="552"/>
      <c r="L50" s="196">
        <v>300</v>
      </c>
      <c r="M50" s="192"/>
      <c r="N50" s="192"/>
      <c r="O50" s="193" t="s">
        <v>1039</v>
      </c>
      <c r="P50" s="235">
        <v>10</v>
      </c>
      <c r="Q50" s="197">
        <v>11</v>
      </c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</row>
    <row r="51" spans="1:61" s="206" customFormat="1" ht="15" customHeight="1" x14ac:dyDescent="0.3">
      <c r="A51" s="237" t="s">
        <v>902</v>
      </c>
      <c r="B51" s="195">
        <v>17</v>
      </c>
      <c r="C51" s="195" t="s">
        <v>823</v>
      </c>
      <c r="D51" s="196">
        <v>2080.41</v>
      </c>
      <c r="E51" s="551" t="s">
        <v>1011</v>
      </c>
      <c r="F51" s="580"/>
      <c r="G51" s="580"/>
      <c r="H51" s="580"/>
      <c r="I51" s="580"/>
      <c r="J51" s="580"/>
      <c r="K51" s="552"/>
      <c r="L51" s="196">
        <v>300</v>
      </c>
      <c r="M51" s="192"/>
      <c r="N51" s="192"/>
      <c r="O51" s="193" t="s">
        <v>1049</v>
      </c>
      <c r="P51" s="235">
        <v>10</v>
      </c>
      <c r="Q51" s="197">
        <v>11</v>
      </c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  <c r="AC51" s="205"/>
      <c r="AD51" s="205"/>
      <c r="AE51" s="205"/>
      <c r="AF51" s="205"/>
      <c r="AG51" s="205"/>
      <c r="AH51" s="205"/>
      <c r="AI51" s="205"/>
      <c r="AJ51" s="205"/>
      <c r="AK51" s="205"/>
      <c r="AL51" s="205"/>
      <c r="AM51" s="205"/>
      <c r="AN51" s="205"/>
      <c r="AO51" s="205"/>
      <c r="AP51" s="205"/>
      <c r="AQ51" s="205"/>
    </row>
    <row r="52" spans="1:61" s="40" customFormat="1" ht="15" customHeight="1" thickBot="1" x14ac:dyDescent="0.35">
      <c r="A52" s="534" t="s">
        <v>4</v>
      </c>
      <c r="B52" s="549"/>
      <c r="C52" s="549"/>
      <c r="D52" s="549"/>
      <c r="E52" s="549"/>
      <c r="F52" s="549"/>
      <c r="G52" s="549"/>
      <c r="H52" s="549"/>
      <c r="I52" s="549"/>
      <c r="J52" s="549"/>
      <c r="K52" s="535"/>
      <c r="L52" s="114">
        <f>SUM(L44:L51)</f>
        <v>10922.78</v>
      </c>
      <c r="M52" s="90"/>
      <c r="N52" s="90"/>
      <c r="O52" s="90"/>
      <c r="P52" s="90"/>
      <c r="Q52" s="90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  <c r="AJ52" s="205"/>
      <c r="AK52" s="205"/>
      <c r="AL52" s="205"/>
      <c r="AM52" s="205"/>
      <c r="AN52" s="205"/>
      <c r="AO52" s="205"/>
      <c r="AP52" s="205"/>
      <c r="AQ52" s="205"/>
      <c r="AR52" s="205"/>
      <c r="AS52" s="205"/>
      <c r="AT52" s="205"/>
      <c r="AU52" s="206"/>
      <c r="AV52" s="206"/>
      <c r="AW52" s="206"/>
      <c r="AX52" s="206"/>
      <c r="AY52" s="206"/>
      <c r="AZ52" s="206"/>
      <c r="BA52" s="206"/>
    </row>
    <row r="53" spans="1:61" s="19" customFormat="1" x14ac:dyDescent="0.3">
      <c r="A53" s="179"/>
      <c r="B53" s="180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1"/>
      <c r="Q53" s="182"/>
      <c r="R53" s="206"/>
      <c r="S53" s="206"/>
      <c r="T53" s="206"/>
      <c r="U53" s="206"/>
      <c r="V53" s="206"/>
      <c r="W53" s="206"/>
      <c r="X53" s="206"/>
      <c r="Y53" s="206"/>
      <c r="Z53" s="206"/>
      <c r="AA53" s="206"/>
      <c r="AB53" s="206"/>
      <c r="AC53" s="206"/>
      <c r="AD53" s="206"/>
      <c r="AE53" s="206"/>
      <c r="AF53" s="206"/>
      <c r="AG53" s="206"/>
      <c r="AH53" s="206"/>
      <c r="AI53" s="206"/>
      <c r="AJ53" s="206"/>
      <c r="AK53" s="206"/>
      <c r="AL53" s="206"/>
      <c r="AM53" s="206"/>
      <c r="AN53" s="206"/>
      <c r="AO53" s="206"/>
      <c r="AP53" s="206"/>
      <c r="AQ53" s="206"/>
      <c r="AR53" s="206"/>
      <c r="AS53" s="206"/>
      <c r="AT53" s="206"/>
      <c r="AU53" s="206"/>
      <c r="AV53" s="206"/>
      <c r="AW53" s="243"/>
      <c r="AX53" s="243"/>
      <c r="AY53" s="243"/>
      <c r="AZ53" s="243"/>
      <c r="BA53" s="243"/>
      <c r="BB53" s="12"/>
      <c r="BC53" s="12"/>
      <c r="BD53" s="12"/>
      <c r="BE53" s="12"/>
      <c r="BF53" s="12"/>
      <c r="BG53" s="12"/>
      <c r="BH53" s="12"/>
      <c r="BI53" s="12"/>
    </row>
    <row r="54" spans="1:61" s="40" customFormat="1" x14ac:dyDescent="0.3">
      <c r="A54" s="585"/>
      <c r="B54" s="585"/>
      <c r="C54" s="585"/>
      <c r="D54" s="585"/>
      <c r="E54" s="585"/>
      <c r="F54" s="46"/>
      <c r="G54" s="46"/>
      <c r="H54" s="46"/>
      <c r="I54" s="46"/>
      <c r="J54" s="46"/>
      <c r="K54" s="46"/>
      <c r="L54" s="46"/>
      <c r="M54" s="46"/>
      <c r="N54" s="46"/>
      <c r="O54" s="544" t="s">
        <v>315</v>
      </c>
      <c r="P54" s="544"/>
      <c r="Q54" s="545"/>
      <c r="R54" s="205"/>
      <c r="S54" s="205"/>
      <c r="T54" s="205"/>
      <c r="U54" s="205"/>
      <c r="V54" s="205"/>
      <c r="W54" s="205"/>
      <c r="X54" s="205"/>
      <c r="Y54" s="205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  <c r="AJ54" s="205"/>
      <c r="AK54" s="205"/>
      <c r="AL54" s="205"/>
      <c r="AM54" s="205"/>
      <c r="AN54" s="205"/>
      <c r="AO54" s="205"/>
      <c r="AP54" s="205"/>
      <c r="AQ54" s="205"/>
      <c r="AR54" s="205"/>
      <c r="AS54" s="205"/>
      <c r="AT54" s="205"/>
      <c r="AU54" s="206"/>
      <c r="AV54" s="206"/>
      <c r="AW54" s="206"/>
      <c r="AX54" s="206"/>
      <c r="AY54" s="206"/>
      <c r="AZ54" s="206"/>
      <c r="BA54" s="206"/>
    </row>
    <row r="55" spans="1:61" s="40" customFormat="1" x14ac:dyDescent="0.3">
      <c r="A55" s="206"/>
      <c r="B55" s="223"/>
      <c r="C55" s="223"/>
      <c r="D55" s="224"/>
      <c r="E55" s="223"/>
      <c r="F55" s="46"/>
      <c r="G55" s="46"/>
      <c r="H55" s="46"/>
      <c r="I55" s="11"/>
      <c r="J55" s="11"/>
      <c r="K55" s="11"/>
      <c r="L55" s="87"/>
      <c r="M55" s="87"/>
      <c r="N55" s="87"/>
      <c r="O55" s="527" t="s">
        <v>94</v>
      </c>
      <c r="P55" s="527"/>
      <c r="Q55" s="114">
        <f>M36+M40</f>
        <v>1215.503010091825</v>
      </c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205"/>
      <c r="AG55" s="205"/>
      <c r="AH55" s="205"/>
      <c r="AI55" s="205"/>
      <c r="AJ55" s="205"/>
      <c r="AK55" s="205"/>
      <c r="AL55" s="205"/>
      <c r="AM55" s="205"/>
      <c r="AN55" s="205"/>
      <c r="AO55" s="205"/>
      <c r="AP55" s="205"/>
      <c r="AQ55" s="205"/>
      <c r="AR55" s="205"/>
      <c r="AS55" s="205"/>
      <c r="AT55" s="205"/>
      <c r="AU55" s="206"/>
      <c r="AV55" s="206"/>
      <c r="AW55" s="206"/>
      <c r="AX55" s="206"/>
      <c r="AY55" s="206"/>
      <c r="AZ55" s="206"/>
      <c r="BA55" s="206"/>
    </row>
    <row r="56" spans="1:61" s="40" customFormat="1" x14ac:dyDescent="0.3">
      <c r="A56" s="206"/>
      <c r="B56" s="223"/>
      <c r="C56" s="223"/>
      <c r="D56" s="224"/>
      <c r="E56" s="223"/>
      <c r="F56" s="46"/>
      <c r="G56" s="46"/>
      <c r="H56" s="46"/>
      <c r="I56" s="11"/>
      <c r="J56" s="11"/>
      <c r="K56" s="11"/>
      <c r="L56" s="14"/>
      <c r="M56" s="14"/>
      <c r="N56" s="14"/>
      <c r="O56" s="518" t="s">
        <v>260</v>
      </c>
      <c r="P56" s="518"/>
      <c r="Q56" s="114">
        <f>M6</f>
        <v>0</v>
      </c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  <c r="AC56" s="205"/>
      <c r="AD56" s="205"/>
      <c r="AE56" s="205"/>
      <c r="AF56" s="205"/>
      <c r="AG56" s="205"/>
      <c r="AH56" s="205"/>
      <c r="AI56" s="205"/>
      <c r="AJ56" s="205"/>
      <c r="AK56" s="205"/>
      <c r="AL56" s="205"/>
      <c r="AM56" s="205"/>
      <c r="AN56" s="205"/>
      <c r="AO56" s="205"/>
      <c r="AP56" s="205"/>
      <c r="AQ56" s="205"/>
      <c r="AR56" s="205"/>
      <c r="AS56" s="205"/>
      <c r="AT56" s="205"/>
      <c r="AU56" s="206"/>
      <c r="AV56" s="206"/>
      <c r="AW56" s="206"/>
      <c r="AX56" s="206"/>
      <c r="AY56" s="206"/>
      <c r="AZ56" s="206"/>
      <c r="BA56" s="206"/>
    </row>
    <row r="57" spans="1:61" s="40" customFormat="1" x14ac:dyDescent="0.3">
      <c r="A57" s="206"/>
      <c r="B57" s="223"/>
      <c r="C57" s="223"/>
      <c r="D57" s="224"/>
      <c r="E57" s="223"/>
      <c r="F57" s="46"/>
      <c r="G57" s="46"/>
      <c r="H57" s="46"/>
      <c r="I57" s="11"/>
      <c r="J57" s="11"/>
      <c r="K57" s="11"/>
      <c r="L57" s="14"/>
      <c r="M57" s="14"/>
      <c r="N57" s="14"/>
      <c r="O57" s="520"/>
      <c r="P57" s="520"/>
      <c r="Q57" s="520"/>
      <c r="R57" s="205"/>
      <c r="S57" s="205"/>
      <c r="T57" s="205"/>
      <c r="U57" s="205"/>
      <c r="V57" s="205"/>
      <c r="W57" s="205"/>
      <c r="X57" s="205"/>
      <c r="Y57" s="205"/>
      <c r="Z57" s="205"/>
      <c r="AA57" s="205"/>
      <c r="AB57" s="205"/>
      <c r="AC57" s="205"/>
      <c r="AD57" s="205"/>
      <c r="AE57" s="205"/>
      <c r="AF57" s="205"/>
      <c r="AG57" s="205"/>
      <c r="AH57" s="205"/>
      <c r="AI57" s="205"/>
      <c r="AJ57" s="205"/>
      <c r="AK57" s="205"/>
      <c r="AL57" s="205"/>
      <c r="AM57" s="205"/>
      <c r="AN57" s="205"/>
      <c r="AO57" s="205"/>
      <c r="AP57" s="205"/>
      <c r="AQ57" s="205"/>
      <c r="AR57" s="205"/>
      <c r="AS57" s="205"/>
      <c r="AT57" s="205"/>
      <c r="AU57" s="206"/>
      <c r="AV57" s="206"/>
      <c r="AW57" s="206"/>
      <c r="AX57" s="206"/>
      <c r="AY57" s="206"/>
      <c r="AZ57" s="206"/>
      <c r="BA57" s="206"/>
    </row>
    <row r="58" spans="1:61" s="40" customFormat="1" x14ac:dyDescent="0.3">
      <c r="A58" s="206"/>
      <c r="B58" s="223"/>
      <c r="C58" s="223"/>
      <c r="D58" s="224"/>
      <c r="E58" s="223"/>
      <c r="F58" s="46"/>
      <c r="G58" s="46"/>
      <c r="H58" s="46"/>
      <c r="I58" s="11"/>
      <c r="J58" s="11"/>
      <c r="K58" s="11"/>
      <c r="L58" s="62"/>
      <c r="M58" s="62"/>
      <c r="N58" s="62"/>
      <c r="O58" s="520"/>
      <c r="P58" s="520"/>
      <c r="Q58" s="520"/>
      <c r="R58" s="205"/>
      <c r="S58" s="205"/>
      <c r="T58" s="205"/>
      <c r="U58" s="205"/>
      <c r="V58" s="205"/>
      <c r="W58" s="205"/>
      <c r="X58" s="205"/>
      <c r="Y58" s="205"/>
      <c r="Z58" s="205"/>
      <c r="AA58" s="205"/>
      <c r="AB58" s="205"/>
      <c r="AC58" s="205"/>
      <c r="AD58" s="205"/>
      <c r="AE58" s="205"/>
      <c r="AF58" s="205"/>
      <c r="AG58" s="205"/>
      <c r="AH58" s="205"/>
      <c r="AI58" s="205"/>
      <c r="AJ58" s="205"/>
      <c r="AK58" s="205"/>
      <c r="AL58" s="205"/>
      <c r="AM58" s="205"/>
      <c r="AN58" s="205"/>
      <c r="AO58" s="205"/>
      <c r="AP58" s="205"/>
      <c r="AQ58" s="205"/>
      <c r="AR58" s="205"/>
      <c r="AS58" s="205"/>
      <c r="AT58" s="205"/>
      <c r="AU58" s="206"/>
      <c r="AV58" s="206"/>
      <c r="AW58" s="206"/>
      <c r="AX58" s="206"/>
      <c r="AY58" s="206"/>
      <c r="AZ58" s="206"/>
      <c r="BA58" s="206"/>
    </row>
    <row r="59" spans="1:61" s="40" customFormat="1" ht="14.4" x14ac:dyDescent="0.3">
      <c r="A59" s="206"/>
      <c r="B59" s="223"/>
      <c r="C59" s="223"/>
      <c r="D59" s="224"/>
      <c r="E59" s="223"/>
      <c r="F59" s="46"/>
      <c r="G59" s="46"/>
      <c r="H59" s="46"/>
      <c r="I59" s="11"/>
      <c r="J59" s="11"/>
      <c r="K59" s="11"/>
      <c r="L59" s="14"/>
      <c r="M59" s="14"/>
      <c r="N59" s="14"/>
      <c r="O59" s="529" t="s">
        <v>12</v>
      </c>
      <c r="P59" s="529"/>
      <c r="Q59" s="529"/>
      <c r="R59" s="244"/>
      <c r="S59" s="245"/>
      <c r="T59" s="205"/>
      <c r="U59" s="205"/>
      <c r="V59" s="205"/>
      <c r="W59" s="205"/>
      <c r="X59" s="205"/>
      <c r="Y59" s="205"/>
      <c r="Z59" s="205"/>
      <c r="AA59" s="205"/>
      <c r="AB59" s="205"/>
      <c r="AC59" s="205"/>
      <c r="AD59" s="205"/>
      <c r="AE59" s="205"/>
      <c r="AF59" s="205"/>
      <c r="AG59" s="205"/>
      <c r="AH59" s="205"/>
      <c r="AI59" s="205"/>
      <c r="AJ59" s="205"/>
      <c r="AK59" s="205"/>
      <c r="AL59" s="205"/>
      <c r="AM59" s="205"/>
      <c r="AN59" s="205"/>
      <c r="AO59" s="205"/>
      <c r="AP59" s="205"/>
      <c r="AQ59" s="205"/>
      <c r="AR59" s="205"/>
      <c r="AS59" s="205"/>
      <c r="AT59" s="205"/>
      <c r="AU59" s="206"/>
      <c r="AV59" s="206"/>
      <c r="AW59" s="206"/>
      <c r="AX59" s="206"/>
      <c r="AY59" s="206"/>
      <c r="AZ59" s="206"/>
      <c r="BA59" s="206"/>
    </row>
    <row r="60" spans="1:61" s="11" customFormat="1" ht="15" customHeight="1" x14ac:dyDescent="0.3">
      <c r="A60" s="206"/>
      <c r="B60" s="223"/>
      <c r="C60" s="223"/>
      <c r="D60" s="224"/>
      <c r="E60" s="223"/>
      <c r="F60" s="46"/>
      <c r="G60" s="46"/>
      <c r="H60" s="46"/>
      <c r="L60" s="63"/>
      <c r="M60" s="63"/>
      <c r="N60" s="63"/>
      <c r="O60" s="590" t="s">
        <v>1094</v>
      </c>
      <c r="P60" s="591"/>
      <c r="Q60" s="239">
        <v>126.81</v>
      </c>
      <c r="R60" s="246"/>
      <c r="S60" s="245"/>
      <c r="T60" s="206"/>
      <c r="U60" s="206"/>
      <c r="V60" s="206"/>
      <c r="W60" s="206"/>
      <c r="X60" s="206"/>
      <c r="Y60" s="206"/>
      <c r="Z60" s="206"/>
      <c r="AA60" s="206"/>
      <c r="AB60" s="206"/>
      <c r="AC60" s="206"/>
      <c r="AD60" s="206"/>
      <c r="AE60" s="206"/>
      <c r="AF60" s="206"/>
      <c r="AG60" s="206"/>
      <c r="AH60" s="206"/>
      <c r="AI60" s="206"/>
      <c r="AJ60" s="206"/>
      <c r="AK60" s="206"/>
      <c r="AL60" s="206"/>
      <c r="AM60" s="206"/>
      <c r="AN60" s="206"/>
      <c r="AO60" s="206"/>
      <c r="AP60" s="206"/>
      <c r="AQ60" s="206"/>
      <c r="AR60" s="206"/>
      <c r="AS60" s="206"/>
      <c r="AT60" s="206"/>
      <c r="AU60" s="206"/>
      <c r="AV60" s="206"/>
      <c r="AW60" s="206"/>
      <c r="AX60" s="206"/>
      <c r="AY60" s="206"/>
      <c r="AZ60" s="206"/>
      <c r="BA60" s="206"/>
    </row>
    <row r="61" spans="1:61" s="11" customFormat="1" ht="15.6" x14ac:dyDescent="0.3">
      <c r="A61" s="206"/>
      <c r="B61" s="223"/>
      <c r="C61" s="223"/>
      <c r="D61" s="224"/>
      <c r="E61" s="223"/>
      <c r="F61" s="46"/>
      <c r="G61" s="46"/>
      <c r="H61" s="46"/>
      <c r="L61" s="14"/>
      <c r="M61" s="14"/>
      <c r="N61" s="14"/>
      <c r="O61" s="590" t="s">
        <v>1095</v>
      </c>
      <c r="P61" s="591"/>
      <c r="Q61" s="239">
        <v>127.18</v>
      </c>
      <c r="R61" s="244"/>
      <c r="S61" s="245"/>
      <c r="T61" s="206"/>
      <c r="U61" s="206"/>
      <c r="V61" s="206"/>
      <c r="W61" s="206"/>
      <c r="X61" s="206"/>
      <c r="Y61" s="206"/>
      <c r="Z61" s="206"/>
      <c r="AA61" s="206"/>
      <c r="AB61" s="206"/>
      <c r="AC61" s="206"/>
      <c r="AD61" s="206"/>
      <c r="AE61" s="206"/>
      <c r="AF61" s="206"/>
      <c r="AG61" s="206"/>
      <c r="AH61" s="206"/>
      <c r="AI61" s="206"/>
      <c r="AJ61" s="206"/>
      <c r="AK61" s="206"/>
      <c r="AL61" s="206"/>
      <c r="AM61" s="206"/>
      <c r="AN61" s="206"/>
      <c r="AO61" s="206"/>
      <c r="AP61" s="206"/>
      <c r="AQ61" s="206"/>
      <c r="AR61" s="206"/>
      <c r="AS61" s="206"/>
      <c r="AT61" s="206"/>
      <c r="AU61" s="206"/>
      <c r="AV61" s="206"/>
      <c r="AW61" s="206"/>
      <c r="AX61" s="206"/>
      <c r="AY61" s="206"/>
      <c r="AZ61" s="206"/>
      <c r="BA61" s="206"/>
    </row>
    <row r="62" spans="1:61" s="11" customFormat="1" ht="15" customHeight="1" x14ac:dyDescent="0.3">
      <c r="A62" s="206"/>
      <c r="B62" s="223"/>
      <c r="C62" s="223"/>
      <c r="D62" s="224"/>
      <c r="E62" s="223"/>
      <c r="F62" s="46"/>
      <c r="G62" s="46"/>
      <c r="H62" s="46"/>
      <c r="L62" s="63"/>
      <c r="M62" s="63"/>
      <c r="N62" s="63"/>
      <c r="O62" s="590" t="s">
        <v>936</v>
      </c>
      <c r="P62" s="591"/>
      <c r="Q62" s="239">
        <v>126.81</v>
      </c>
      <c r="R62" s="246"/>
      <c r="S62" s="245"/>
      <c r="T62" s="206"/>
      <c r="U62" s="206"/>
      <c r="V62" s="206"/>
      <c r="W62" s="206"/>
      <c r="X62" s="206"/>
      <c r="Y62" s="206"/>
      <c r="Z62" s="206"/>
      <c r="AA62" s="206"/>
      <c r="AB62" s="206"/>
      <c r="AC62" s="206"/>
      <c r="AD62" s="206"/>
      <c r="AE62" s="206"/>
      <c r="AF62" s="206"/>
      <c r="AG62" s="206"/>
      <c r="AH62" s="206"/>
      <c r="AI62" s="206"/>
      <c r="AJ62" s="206"/>
      <c r="AK62" s="206"/>
      <c r="AL62" s="206"/>
      <c r="AM62" s="206"/>
      <c r="AN62" s="206"/>
      <c r="AO62" s="206"/>
      <c r="AP62" s="206"/>
      <c r="AQ62" s="206"/>
      <c r="AR62" s="206"/>
      <c r="AS62" s="206"/>
      <c r="AT62" s="206"/>
      <c r="AU62" s="206"/>
      <c r="AV62" s="206"/>
      <c r="AW62" s="206"/>
      <c r="AX62" s="206"/>
      <c r="AY62" s="206"/>
      <c r="AZ62" s="206"/>
      <c r="BA62" s="206"/>
    </row>
    <row r="63" spans="1:61" s="11" customFormat="1" ht="15.6" x14ac:dyDescent="0.3">
      <c r="A63" s="206"/>
      <c r="B63" s="223"/>
      <c r="C63" s="223"/>
      <c r="D63" s="224"/>
      <c r="E63" s="223"/>
      <c r="F63" s="46"/>
      <c r="G63" s="46"/>
      <c r="H63" s="46"/>
      <c r="L63" s="14"/>
      <c r="M63" s="14"/>
      <c r="N63" s="14"/>
      <c r="O63" s="592" t="s">
        <v>126</v>
      </c>
      <c r="P63" s="592"/>
      <c r="Q63" s="240">
        <v>102.89</v>
      </c>
      <c r="R63" s="247"/>
      <c r="S63" s="245"/>
      <c r="T63" s="205"/>
      <c r="U63" s="205"/>
      <c r="V63" s="205"/>
      <c r="W63" s="205"/>
      <c r="X63" s="205"/>
      <c r="Y63" s="205"/>
      <c r="Z63" s="205"/>
      <c r="AA63" s="205"/>
      <c r="AB63" s="205"/>
      <c r="AC63" s="205"/>
      <c r="AD63" s="205"/>
      <c r="AE63" s="205"/>
      <c r="AF63" s="205"/>
      <c r="AG63" s="205"/>
      <c r="AH63" s="205"/>
      <c r="AI63" s="205"/>
      <c r="AJ63" s="205"/>
      <c r="AK63" s="205"/>
      <c r="AL63" s="205"/>
      <c r="AM63" s="205"/>
      <c r="AN63" s="205"/>
      <c r="AO63" s="205"/>
      <c r="AP63" s="205"/>
      <c r="AQ63" s="205"/>
      <c r="AR63" s="205"/>
      <c r="AS63" s="205"/>
      <c r="AT63" s="205"/>
      <c r="AU63" s="205"/>
      <c r="AV63" s="206"/>
      <c r="AW63" s="206"/>
      <c r="AX63" s="206"/>
      <c r="AY63" s="206"/>
      <c r="AZ63" s="206"/>
      <c r="BA63" s="206"/>
    </row>
    <row r="64" spans="1:61" s="11" customFormat="1" ht="15.6" x14ac:dyDescent="0.3">
      <c r="A64" s="206"/>
      <c r="B64" s="223"/>
      <c r="C64" s="223"/>
      <c r="D64" s="224"/>
      <c r="E64" s="223"/>
      <c r="F64" s="46"/>
      <c r="G64" s="46"/>
      <c r="H64" s="46"/>
      <c r="L64" s="63"/>
      <c r="M64" s="63"/>
      <c r="N64" s="63"/>
      <c r="O64" s="593" t="s">
        <v>127</v>
      </c>
      <c r="P64" s="593"/>
      <c r="Q64" s="240">
        <v>1665.9</v>
      </c>
      <c r="R64" s="244"/>
      <c r="S64" s="245"/>
      <c r="T64" s="205"/>
      <c r="U64" s="205"/>
      <c r="V64" s="205"/>
      <c r="W64" s="205"/>
      <c r="X64" s="205"/>
      <c r="Y64" s="205"/>
      <c r="Z64" s="205"/>
      <c r="AA64" s="205"/>
      <c r="AB64" s="205"/>
      <c r="AC64" s="205"/>
      <c r="AD64" s="205"/>
      <c r="AE64" s="205"/>
      <c r="AF64" s="205"/>
      <c r="AG64" s="205"/>
      <c r="AH64" s="205"/>
      <c r="AI64" s="205"/>
      <c r="AJ64" s="205"/>
      <c r="AK64" s="205"/>
      <c r="AL64" s="205"/>
      <c r="AM64" s="205"/>
      <c r="AN64" s="205"/>
      <c r="AO64" s="205"/>
      <c r="AP64" s="205"/>
      <c r="AQ64" s="205"/>
      <c r="AR64" s="205"/>
      <c r="AS64" s="205"/>
      <c r="AT64" s="205"/>
      <c r="AU64" s="205"/>
      <c r="AV64" s="206"/>
      <c r="AW64" s="206"/>
      <c r="AX64" s="206"/>
      <c r="AY64" s="206"/>
      <c r="AZ64" s="206"/>
      <c r="BA64" s="206"/>
    </row>
    <row r="65" spans="1:53" s="11" customFormat="1" ht="15.6" x14ac:dyDescent="0.3">
      <c r="A65" s="206"/>
      <c r="B65" s="223"/>
      <c r="C65" s="223"/>
      <c r="D65" s="224"/>
      <c r="E65" s="223"/>
      <c r="F65" s="46"/>
      <c r="G65" s="46"/>
      <c r="H65" s="46"/>
      <c r="L65" s="14"/>
      <c r="M65" s="14"/>
      <c r="N65" s="14"/>
      <c r="O65" s="594" t="s">
        <v>1096</v>
      </c>
      <c r="P65" s="594"/>
      <c r="Q65" s="42">
        <v>120</v>
      </c>
      <c r="R65" s="244"/>
      <c r="S65" s="248"/>
      <c r="T65" s="205"/>
      <c r="U65" s="205"/>
      <c r="V65" s="205"/>
      <c r="W65" s="205"/>
      <c r="X65" s="205"/>
      <c r="Y65" s="205"/>
      <c r="Z65" s="205"/>
      <c r="AA65" s="205"/>
      <c r="AB65" s="205"/>
      <c r="AC65" s="205"/>
      <c r="AD65" s="205"/>
      <c r="AE65" s="205"/>
      <c r="AF65" s="205"/>
      <c r="AG65" s="205"/>
      <c r="AH65" s="205"/>
      <c r="AI65" s="205"/>
      <c r="AJ65" s="205"/>
      <c r="AK65" s="205"/>
      <c r="AL65" s="205"/>
      <c r="AM65" s="205"/>
      <c r="AN65" s="205"/>
      <c r="AO65" s="205"/>
      <c r="AP65" s="205"/>
      <c r="AQ65" s="205"/>
      <c r="AR65" s="205"/>
      <c r="AS65" s="205"/>
      <c r="AT65" s="205"/>
      <c r="AU65" s="205"/>
      <c r="AV65" s="206"/>
      <c r="AW65" s="206"/>
      <c r="AX65" s="206"/>
      <c r="AY65" s="206"/>
      <c r="AZ65" s="206"/>
      <c r="BA65" s="206"/>
    </row>
    <row r="66" spans="1:53" s="11" customFormat="1" ht="15.6" x14ac:dyDescent="0.3">
      <c r="A66" s="206"/>
      <c r="B66" s="223"/>
      <c r="C66" s="223"/>
      <c r="D66" s="224"/>
      <c r="E66" s="223"/>
      <c r="F66" s="46"/>
      <c r="G66" s="46"/>
      <c r="H66" s="46"/>
      <c r="L66" s="14"/>
      <c r="M66" s="14"/>
      <c r="N66" s="14"/>
      <c r="O66" s="594" t="s">
        <v>1097</v>
      </c>
      <c r="P66" s="594"/>
      <c r="Q66" s="42">
        <v>120</v>
      </c>
      <c r="R66" s="244"/>
      <c r="S66" s="248"/>
      <c r="T66" s="205"/>
      <c r="U66" s="205"/>
      <c r="V66" s="205"/>
      <c r="W66" s="205"/>
      <c r="X66" s="205"/>
      <c r="Y66" s="205"/>
      <c r="Z66" s="205"/>
      <c r="AA66" s="205"/>
      <c r="AB66" s="205"/>
      <c r="AC66" s="205"/>
      <c r="AD66" s="205"/>
      <c r="AE66" s="205"/>
      <c r="AF66" s="205"/>
      <c r="AG66" s="205"/>
      <c r="AH66" s="205"/>
      <c r="AI66" s="205"/>
      <c r="AJ66" s="205"/>
      <c r="AK66" s="205"/>
      <c r="AL66" s="205"/>
      <c r="AM66" s="205"/>
      <c r="AN66" s="205"/>
      <c r="AO66" s="205"/>
      <c r="AP66" s="205"/>
      <c r="AQ66" s="205"/>
      <c r="AR66" s="205"/>
      <c r="AS66" s="205"/>
      <c r="AT66" s="205"/>
      <c r="AU66" s="205"/>
      <c r="AV66" s="206"/>
      <c r="AW66" s="206"/>
      <c r="AX66" s="206"/>
      <c r="AY66" s="206"/>
      <c r="AZ66" s="206"/>
      <c r="BA66" s="206"/>
    </row>
    <row r="67" spans="1:53" s="11" customFormat="1" ht="15.6" x14ac:dyDescent="0.3">
      <c r="A67" s="206"/>
      <c r="B67" s="223"/>
      <c r="C67" s="223"/>
      <c r="D67" s="224"/>
      <c r="E67" s="223"/>
      <c r="F67" s="46"/>
      <c r="G67" s="46"/>
      <c r="H67" s="46"/>
      <c r="L67" s="63"/>
      <c r="M67" s="63"/>
      <c r="N67" s="63"/>
      <c r="O67" s="588"/>
      <c r="P67" s="589"/>
      <c r="Q67" s="42"/>
      <c r="R67" s="244"/>
      <c r="S67" s="245"/>
      <c r="T67" s="205"/>
      <c r="U67" s="205"/>
      <c r="V67" s="205"/>
      <c r="W67" s="205"/>
      <c r="X67" s="205"/>
      <c r="Y67" s="205"/>
      <c r="Z67" s="205"/>
      <c r="AA67" s="205"/>
      <c r="AB67" s="205"/>
      <c r="AC67" s="205"/>
      <c r="AD67" s="205"/>
      <c r="AE67" s="205"/>
      <c r="AF67" s="205"/>
      <c r="AG67" s="205"/>
      <c r="AH67" s="205"/>
      <c r="AI67" s="205"/>
      <c r="AJ67" s="205"/>
      <c r="AK67" s="205"/>
      <c r="AL67" s="205"/>
      <c r="AM67" s="205"/>
      <c r="AN67" s="205"/>
      <c r="AO67" s="205"/>
      <c r="AP67" s="205"/>
      <c r="AQ67" s="205"/>
      <c r="AR67" s="205"/>
      <c r="AS67" s="205"/>
      <c r="AT67" s="205"/>
      <c r="AU67" s="205"/>
      <c r="AV67" s="206"/>
      <c r="AW67" s="206"/>
      <c r="AX67" s="206"/>
      <c r="AY67" s="206"/>
      <c r="AZ67" s="206"/>
      <c r="BA67" s="206"/>
    </row>
    <row r="68" spans="1:53" s="11" customFormat="1" ht="15.6" x14ac:dyDescent="0.3">
      <c r="A68" s="206"/>
      <c r="B68" s="223"/>
      <c r="C68" s="223"/>
      <c r="D68" s="224"/>
      <c r="E68" s="223"/>
      <c r="F68" s="46"/>
      <c r="G68" s="46"/>
      <c r="H68" s="46"/>
      <c r="L68" s="14"/>
      <c r="M68" s="14"/>
      <c r="N68" s="14"/>
      <c r="O68" s="586" t="s">
        <v>26</v>
      </c>
      <c r="P68" s="586"/>
      <c r="Q68" s="241">
        <f>SUM(Q55:Q67)</f>
        <v>3605.0930100918249</v>
      </c>
      <c r="R68" s="244"/>
      <c r="S68" s="245"/>
      <c r="T68" s="205"/>
      <c r="U68" s="205"/>
      <c r="V68" s="205"/>
      <c r="W68" s="205"/>
      <c r="X68" s="205"/>
      <c r="Y68" s="205"/>
      <c r="Z68" s="205"/>
      <c r="AA68" s="205"/>
      <c r="AB68" s="205"/>
      <c r="AC68" s="205"/>
      <c r="AD68" s="205"/>
      <c r="AE68" s="205"/>
      <c r="AF68" s="205"/>
      <c r="AG68" s="205"/>
      <c r="AH68" s="205"/>
      <c r="AI68" s="205"/>
      <c r="AJ68" s="205"/>
      <c r="AK68" s="205"/>
      <c r="AL68" s="205"/>
      <c r="AM68" s="205"/>
      <c r="AN68" s="205"/>
      <c r="AO68" s="205"/>
      <c r="AP68" s="205"/>
      <c r="AQ68" s="205"/>
      <c r="AR68" s="205"/>
      <c r="AS68" s="205"/>
      <c r="AT68" s="205"/>
      <c r="AU68" s="205"/>
      <c r="AV68" s="206"/>
      <c r="AW68" s="206"/>
      <c r="AX68" s="206"/>
      <c r="AY68" s="206"/>
      <c r="AZ68" s="206"/>
      <c r="BA68" s="206"/>
    </row>
    <row r="69" spans="1:53" s="11" customFormat="1" ht="15" customHeight="1" x14ac:dyDescent="0.3">
      <c r="A69" s="206"/>
      <c r="B69" s="223"/>
      <c r="C69" s="223"/>
      <c r="D69" s="224"/>
      <c r="E69" s="223"/>
      <c r="F69" s="46"/>
      <c r="G69" s="46"/>
      <c r="H69" s="46"/>
      <c r="L69" s="63"/>
      <c r="M69" s="63"/>
      <c r="N69" s="63"/>
      <c r="O69" s="587"/>
      <c r="P69" s="587"/>
      <c r="Q69" s="242"/>
      <c r="R69" s="206"/>
      <c r="S69" s="223"/>
      <c r="T69" s="205"/>
      <c r="U69" s="205"/>
      <c r="V69" s="205"/>
      <c r="W69" s="205"/>
      <c r="X69" s="205"/>
      <c r="Y69" s="205"/>
      <c r="Z69" s="205"/>
      <c r="AA69" s="205"/>
      <c r="AB69" s="205"/>
      <c r="AC69" s="205"/>
      <c r="AD69" s="205"/>
      <c r="AE69" s="205"/>
      <c r="AF69" s="205"/>
      <c r="AG69" s="205"/>
      <c r="AH69" s="205"/>
      <c r="AI69" s="205"/>
      <c r="AJ69" s="205"/>
      <c r="AK69" s="205"/>
      <c r="AL69" s="205"/>
      <c r="AM69" s="205"/>
      <c r="AN69" s="205"/>
      <c r="AO69" s="205"/>
      <c r="AP69" s="205"/>
      <c r="AQ69" s="205"/>
      <c r="AR69" s="205"/>
      <c r="AS69" s="205"/>
      <c r="AT69" s="205"/>
      <c r="AU69" s="205"/>
      <c r="AV69" s="206"/>
      <c r="AW69" s="206"/>
      <c r="AX69" s="206"/>
      <c r="AY69" s="206"/>
      <c r="AZ69" s="206"/>
      <c r="BA69" s="206"/>
    </row>
    <row r="70" spans="1:53" s="11" customFormat="1" ht="14.4" x14ac:dyDescent="0.3">
      <c r="A70" s="206"/>
      <c r="B70" s="223"/>
      <c r="C70" s="223"/>
      <c r="D70" s="224"/>
      <c r="E70" s="223"/>
      <c r="F70" s="46"/>
      <c r="G70" s="46"/>
      <c r="H70" s="46"/>
      <c r="L70" s="14"/>
      <c r="M70" s="14"/>
      <c r="N70" s="14"/>
      <c r="O70" s="564" t="s">
        <v>11</v>
      </c>
      <c r="P70" s="565"/>
      <c r="Q70" s="153">
        <f>L6+L36+L40</f>
        <v>17364.328715597501</v>
      </c>
      <c r="R70" s="246"/>
      <c r="S70" s="245"/>
      <c r="T70" s="205"/>
      <c r="U70" s="205"/>
      <c r="V70" s="205"/>
      <c r="W70" s="205"/>
      <c r="X70" s="205"/>
      <c r="Y70" s="205"/>
      <c r="Z70" s="205"/>
      <c r="AA70" s="205"/>
      <c r="AB70" s="205"/>
      <c r="AC70" s="205"/>
      <c r="AD70" s="205"/>
      <c r="AE70" s="205"/>
      <c r="AF70" s="205"/>
      <c r="AG70" s="205"/>
      <c r="AH70" s="205"/>
      <c r="AI70" s="205"/>
      <c r="AJ70" s="205"/>
      <c r="AK70" s="205"/>
      <c r="AL70" s="205"/>
      <c r="AM70" s="205"/>
      <c r="AN70" s="205"/>
      <c r="AO70" s="205"/>
      <c r="AP70" s="205"/>
      <c r="AQ70" s="205"/>
      <c r="AR70" s="205"/>
      <c r="AS70" s="205"/>
      <c r="AT70" s="205"/>
      <c r="AU70" s="205"/>
      <c r="AV70" s="206"/>
      <c r="AW70" s="206"/>
      <c r="AX70" s="206"/>
      <c r="AY70" s="206"/>
      <c r="AZ70" s="206"/>
      <c r="BA70" s="206"/>
    </row>
    <row r="71" spans="1:53" s="11" customFormat="1" ht="14.4" x14ac:dyDescent="0.3">
      <c r="A71" s="206"/>
      <c r="B71" s="223"/>
      <c r="C71" s="223"/>
      <c r="D71" s="224"/>
      <c r="E71" s="223"/>
      <c r="F71" s="46"/>
      <c r="G71" s="46"/>
      <c r="H71" s="46"/>
      <c r="L71" s="63"/>
      <c r="M71" s="63"/>
      <c r="N71" s="63"/>
      <c r="O71" s="518"/>
      <c r="P71" s="518"/>
      <c r="Q71" s="519"/>
      <c r="R71" s="244"/>
      <c r="S71" s="245"/>
      <c r="T71" s="205"/>
      <c r="U71" s="205"/>
      <c r="V71" s="205"/>
      <c r="W71" s="205"/>
      <c r="X71" s="205"/>
      <c r="Y71" s="205"/>
      <c r="Z71" s="205"/>
      <c r="AA71" s="205"/>
      <c r="AB71" s="205"/>
      <c r="AC71" s="205"/>
      <c r="AD71" s="205"/>
      <c r="AE71" s="205"/>
      <c r="AF71" s="205"/>
      <c r="AG71" s="205"/>
      <c r="AH71" s="205"/>
      <c r="AI71" s="205"/>
      <c r="AJ71" s="205"/>
      <c r="AK71" s="205"/>
      <c r="AL71" s="205"/>
      <c r="AM71" s="205"/>
      <c r="AN71" s="205"/>
      <c r="AO71" s="205"/>
      <c r="AP71" s="205"/>
      <c r="AQ71" s="205"/>
      <c r="AR71" s="205"/>
      <c r="AS71" s="205"/>
      <c r="AT71" s="205"/>
      <c r="AU71" s="205"/>
      <c r="AV71" s="205"/>
      <c r="AW71" s="206"/>
      <c r="AX71" s="206"/>
      <c r="AY71" s="206"/>
      <c r="AZ71" s="206"/>
      <c r="BA71" s="206"/>
    </row>
    <row r="72" spans="1:53" s="11" customFormat="1" ht="14.4" x14ac:dyDescent="0.3">
      <c r="A72" s="206"/>
      <c r="B72" s="223"/>
      <c r="C72" s="223"/>
      <c r="D72" s="224"/>
      <c r="E72" s="223"/>
      <c r="F72" s="46"/>
      <c r="G72" s="46"/>
      <c r="H72" s="46"/>
      <c r="O72" s="513" t="s">
        <v>13</v>
      </c>
      <c r="P72" s="513"/>
      <c r="Q72" s="151">
        <f>Q70-Q68</f>
        <v>13759.235705505676</v>
      </c>
      <c r="R72" s="244"/>
      <c r="S72" s="245"/>
      <c r="T72" s="205"/>
      <c r="U72" s="205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205"/>
      <c r="AG72" s="205"/>
      <c r="AH72" s="205"/>
      <c r="AI72" s="205"/>
      <c r="AJ72" s="205"/>
      <c r="AK72" s="205"/>
      <c r="AL72" s="205"/>
      <c r="AM72" s="205"/>
      <c r="AN72" s="205"/>
      <c r="AO72" s="205"/>
      <c r="AP72" s="205"/>
      <c r="AQ72" s="205"/>
      <c r="AR72" s="205"/>
      <c r="AS72" s="205"/>
      <c r="AT72" s="205"/>
      <c r="AU72" s="205"/>
      <c r="AV72" s="205"/>
      <c r="AW72" s="206"/>
      <c r="AX72" s="206"/>
      <c r="AY72" s="206"/>
      <c r="AZ72" s="206"/>
      <c r="BA72" s="206"/>
    </row>
    <row r="73" spans="1:53" s="11" customFormat="1" ht="14.4" x14ac:dyDescent="0.3">
      <c r="A73" s="206"/>
      <c r="B73" s="223"/>
      <c r="C73" s="223"/>
      <c r="D73" s="224"/>
      <c r="E73" s="223"/>
      <c r="F73" s="46"/>
      <c r="G73" s="46"/>
      <c r="H73" s="46"/>
      <c r="L73" s="63"/>
      <c r="M73" s="63"/>
      <c r="N73" s="63"/>
      <c r="O73" s="124"/>
      <c r="P73" s="124"/>
      <c r="Q73" s="57"/>
      <c r="R73" s="244"/>
      <c r="S73" s="245"/>
      <c r="T73" s="205"/>
      <c r="U73" s="205"/>
      <c r="V73" s="205"/>
      <c r="W73" s="205"/>
      <c r="X73" s="205"/>
      <c r="Y73" s="205"/>
      <c r="Z73" s="205"/>
      <c r="AA73" s="205"/>
      <c r="AB73" s="205"/>
      <c r="AC73" s="205"/>
      <c r="AD73" s="205"/>
      <c r="AE73" s="205"/>
      <c r="AF73" s="205"/>
      <c r="AG73" s="205"/>
      <c r="AH73" s="205"/>
      <c r="AI73" s="205"/>
      <c r="AJ73" s="205"/>
      <c r="AK73" s="205"/>
      <c r="AL73" s="205"/>
      <c r="AM73" s="205"/>
      <c r="AN73" s="205"/>
      <c r="AO73" s="205"/>
      <c r="AP73" s="205"/>
      <c r="AQ73" s="205"/>
      <c r="AR73" s="205"/>
      <c r="AS73" s="205"/>
      <c r="AT73" s="205"/>
      <c r="AU73" s="205"/>
      <c r="AV73" s="205"/>
      <c r="AW73" s="206"/>
      <c r="AX73" s="206"/>
      <c r="AY73" s="206"/>
      <c r="AZ73" s="206"/>
      <c r="BA73" s="206"/>
    </row>
    <row r="74" spans="1:53" s="11" customFormat="1" ht="14.4" x14ac:dyDescent="0.3">
      <c r="A74" s="206"/>
      <c r="B74" s="223"/>
      <c r="C74" s="223"/>
      <c r="D74" s="224"/>
      <c r="E74" s="223"/>
      <c r="F74" s="46"/>
      <c r="G74" s="46"/>
      <c r="H74" s="46"/>
      <c r="L74" s="14"/>
      <c r="M74" s="14"/>
      <c r="N74" s="14"/>
      <c r="O74" s="124"/>
      <c r="P74" s="124"/>
      <c r="Q74" s="57"/>
      <c r="R74" s="244"/>
      <c r="S74" s="248"/>
      <c r="T74" s="205"/>
      <c r="U74" s="205"/>
      <c r="V74" s="205"/>
      <c r="W74" s="205"/>
      <c r="X74" s="205"/>
      <c r="Y74" s="205"/>
      <c r="Z74" s="205"/>
      <c r="AA74" s="205"/>
      <c r="AB74" s="205"/>
      <c r="AC74" s="205"/>
      <c r="AD74" s="205"/>
      <c r="AE74" s="205"/>
      <c r="AF74" s="205"/>
      <c r="AG74" s="205"/>
      <c r="AH74" s="205"/>
      <c r="AI74" s="205"/>
      <c r="AJ74" s="205"/>
      <c r="AK74" s="205"/>
      <c r="AL74" s="205"/>
      <c r="AM74" s="205"/>
      <c r="AN74" s="205"/>
      <c r="AO74" s="205"/>
      <c r="AP74" s="205"/>
      <c r="AQ74" s="205"/>
      <c r="AR74" s="205"/>
      <c r="AS74" s="205"/>
      <c r="AT74" s="205"/>
      <c r="AU74" s="205"/>
      <c r="AV74" s="205"/>
      <c r="AW74" s="206"/>
      <c r="AX74" s="206"/>
      <c r="AY74" s="206"/>
      <c r="AZ74" s="206"/>
      <c r="BA74" s="206"/>
    </row>
    <row r="75" spans="1:53" s="11" customFormat="1" ht="14.4" x14ac:dyDescent="0.3">
      <c r="A75" s="206"/>
      <c r="B75" s="223"/>
      <c r="C75" s="223"/>
      <c r="D75" s="224"/>
      <c r="E75" s="223"/>
      <c r="F75" s="46"/>
      <c r="G75" s="46"/>
      <c r="H75" s="46"/>
      <c r="O75" s="124"/>
      <c r="P75" s="124"/>
      <c r="Q75" s="57"/>
      <c r="R75" s="244"/>
      <c r="S75" s="249"/>
      <c r="T75" s="205"/>
      <c r="U75" s="205"/>
      <c r="V75" s="205"/>
      <c r="W75" s="205"/>
      <c r="X75" s="205"/>
      <c r="Y75" s="205"/>
      <c r="Z75" s="205"/>
      <c r="AA75" s="205"/>
      <c r="AB75" s="205"/>
      <c r="AC75" s="205"/>
      <c r="AD75" s="205"/>
      <c r="AE75" s="205"/>
      <c r="AF75" s="205"/>
      <c r="AG75" s="205"/>
      <c r="AH75" s="205"/>
      <c r="AI75" s="205"/>
      <c r="AJ75" s="205"/>
      <c r="AK75" s="205"/>
      <c r="AL75" s="205"/>
      <c r="AM75" s="205"/>
      <c r="AN75" s="205"/>
      <c r="AO75" s="205"/>
      <c r="AP75" s="205"/>
      <c r="AQ75" s="205"/>
      <c r="AR75" s="205"/>
      <c r="AS75" s="205"/>
      <c r="AT75" s="205"/>
      <c r="AU75" s="205"/>
      <c r="AV75" s="205"/>
      <c r="AW75" s="205"/>
      <c r="AX75" s="206"/>
      <c r="AY75" s="206"/>
      <c r="AZ75" s="206"/>
      <c r="BA75" s="206"/>
    </row>
    <row r="76" spans="1:53" s="11" customFormat="1" ht="14.4" x14ac:dyDescent="0.3">
      <c r="A76" s="206"/>
      <c r="B76" s="223"/>
      <c r="C76" s="223"/>
      <c r="D76" s="224"/>
      <c r="E76" s="223"/>
      <c r="F76" s="46"/>
      <c r="G76" s="46"/>
      <c r="H76" s="46"/>
      <c r="O76" s="124"/>
      <c r="P76" s="124"/>
      <c r="Q76" s="57"/>
      <c r="R76" s="244"/>
      <c r="S76" s="249"/>
      <c r="T76" s="205"/>
      <c r="U76" s="205"/>
      <c r="V76" s="205"/>
      <c r="W76" s="205"/>
      <c r="X76" s="205"/>
      <c r="Y76" s="205"/>
      <c r="Z76" s="205"/>
      <c r="AA76" s="205"/>
      <c r="AB76" s="205"/>
      <c r="AC76" s="205"/>
      <c r="AD76" s="205"/>
      <c r="AE76" s="205"/>
      <c r="AF76" s="205"/>
      <c r="AG76" s="205"/>
      <c r="AH76" s="205"/>
      <c r="AI76" s="205"/>
      <c r="AJ76" s="205"/>
      <c r="AK76" s="205"/>
      <c r="AL76" s="205"/>
      <c r="AM76" s="205"/>
      <c r="AN76" s="205"/>
      <c r="AO76" s="205"/>
      <c r="AP76" s="205"/>
      <c r="AQ76" s="205"/>
      <c r="AR76" s="205"/>
      <c r="AS76" s="205"/>
      <c r="AT76" s="205"/>
      <c r="AU76" s="205"/>
      <c r="AV76" s="205"/>
      <c r="AW76" s="206"/>
      <c r="AX76" s="206"/>
      <c r="AY76" s="206"/>
      <c r="AZ76" s="206"/>
      <c r="BA76" s="206"/>
    </row>
    <row r="77" spans="1:53" s="11" customFormat="1" ht="14.4" x14ac:dyDescent="0.3">
      <c r="A77" s="206"/>
      <c r="B77" s="223"/>
      <c r="C77" s="223"/>
      <c r="D77" s="224"/>
      <c r="E77" s="223"/>
      <c r="F77" s="46"/>
      <c r="G77" s="46"/>
      <c r="H77" s="46"/>
      <c r="O77" s="15"/>
      <c r="P77" s="14"/>
      <c r="Q77" s="57"/>
      <c r="R77" s="244"/>
      <c r="S77" s="245"/>
      <c r="T77" s="205"/>
      <c r="U77" s="205"/>
      <c r="V77" s="205"/>
      <c r="W77" s="205"/>
      <c r="X77" s="205"/>
      <c r="Y77" s="205"/>
      <c r="Z77" s="205"/>
      <c r="AA77" s="205"/>
      <c r="AB77" s="205"/>
      <c r="AC77" s="205"/>
      <c r="AD77" s="205"/>
      <c r="AE77" s="205"/>
      <c r="AF77" s="205"/>
      <c r="AG77" s="205"/>
      <c r="AH77" s="205"/>
      <c r="AI77" s="205"/>
      <c r="AJ77" s="205"/>
      <c r="AK77" s="205"/>
      <c r="AL77" s="205"/>
      <c r="AM77" s="205"/>
      <c r="AN77" s="205"/>
      <c r="AO77" s="205"/>
      <c r="AP77" s="205"/>
      <c r="AQ77" s="205"/>
      <c r="AR77" s="205"/>
      <c r="AS77" s="205"/>
      <c r="AT77" s="205"/>
      <c r="AU77" s="205"/>
      <c r="AV77" s="205"/>
      <c r="AW77" s="206"/>
      <c r="AX77" s="206"/>
      <c r="AY77" s="206"/>
      <c r="AZ77" s="206"/>
      <c r="BA77" s="206"/>
    </row>
    <row r="78" spans="1:53" s="11" customFormat="1" ht="14.4" x14ac:dyDescent="0.3">
      <c r="A78" s="206"/>
      <c r="B78" s="223"/>
      <c r="C78" s="223"/>
      <c r="D78" s="224"/>
      <c r="E78" s="223"/>
      <c r="F78" s="46"/>
      <c r="G78" s="46"/>
      <c r="H78" s="46"/>
      <c r="L78" s="14"/>
      <c r="M78" s="14"/>
      <c r="N78" s="14"/>
      <c r="P78" s="15"/>
      <c r="Q78" s="57"/>
      <c r="R78" s="244"/>
      <c r="S78" s="245"/>
      <c r="T78" s="205"/>
      <c r="U78" s="205"/>
      <c r="V78" s="205"/>
      <c r="W78" s="205"/>
      <c r="X78" s="205"/>
      <c r="Y78" s="205"/>
      <c r="Z78" s="205"/>
      <c r="AA78" s="205"/>
      <c r="AB78" s="205"/>
      <c r="AC78" s="205"/>
      <c r="AD78" s="205"/>
      <c r="AE78" s="205"/>
      <c r="AF78" s="205"/>
      <c r="AG78" s="205"/>
      <c r="AH78" s="205"/>
      <c r="AI78" s="205"/>
      <c r="AJ78" s="205"/>
      <c r="AK78" s="205"/>
      <c r="AL78" s="205"/>
      <c r="AM78" s="205"/>
      <c r="AN78" s="205"/>
      <c r="AO78" s="205"/>
      <c r="AP78" s="205"/>
      <c r="AQ78" s="205"/>
      <c r="AR78" s="205"/>
      <c r="AS78" s="205"/>
      <c r="AT78" s="205"/>
      <c r="AU78" s="205"/>
      <c r="AV78" s="205"/>
      <c r="AW78" s="206"/>
      <c r="AX78" s="206"/>
      <c r="AY78" s="206"/>
      <c r="AZ78" s="206"/>
      <c r="BA78" s="206"/>
    </row>
    <row r="79" spans="1:53" s="11" customFormat="1" ht="14.4" x14ac:dyDescent="0.3">
      <c r="A79" s="206"/>
      <c r="B79" s="223"/>
      <c r="C79" s="223"/>
      <c r="D79" s="224"/>
      <c r="E79" s="223"/>
      <c r="F79" s="46"/>
      <c r="G79" s="46"/>
      <c r="H79" s="46"/>
      <c r="L79" s="15"/>
      <c r="M79" s="15"/>
      <c r="N79" s="15"/>
      <c r="Q79" s="57"/>
      <c r="R79" s="244"/>
      <c r="S79" s="245"/>
      <c r="T79" s="205"/>
      <c r="U79" s="205"/>
      <c r="V79" s="205"/>
      <c r="W79" s="205"/>
      <c r="X79" s="205"/>
      <c r="Y79" s="205"/>
      <c r="Z79" s="205"/>
      <c r="AA79" s="205"/>
      <c r="AB79" s="205"/>
      <c r="AC79" s="205"/>
      <c r="AD79" s="205"/>
      <c r="AE79" s="205"/>
      <c r="AF79" s="205"/>
      <c r="AG79" s="205"/>
      <c r="AH79" s="205"/>
      <c r="AI79" s="205"/>
      <c r="AJ79" s="205"/>
      <c r="AK79" s="205"/>
      <c r="AL79" s="205"/>
      <c r="AM79" s="205"/>
      <c r="AN79" s="205"/>
      <c r="AO79" s="205"/>
      <c r="AP79" s="205"/>
      <c r="AQ79" s="205"/>
      <c r="AR79" s="205"/>
      <c r="AS79" s="205"/>
      <c r="AT79" s="205"/>
      <c r="AU79" s="205"/>
      <c r="AV79" s="205"/>
      <c r="AW79" s="206"/>
      <c r="AX79" s="206"/>
      <c r="AY79" s="206"/>
      <c r="AZ79" s="206"/>
      <c r="BA79" s="206"/>
    </row>
    <row r="80" spans="1:53" s="11" customFormat="1" ht="14.4" x14ac:dyDescent="0.3">
      <c r="A80" s="206"/>
      <c r="B80" s="223"/>
      <c r="C80" s="223"/>
      <c r="D80" s="224"/>
      <c r="E80" s="223"/>
      <c r="F80" s="46"/>
      <c r="G80" s="46"/>
      <c r="H80" s="46"/>
      <c r="L80" s="14"/>
      <c r="M80" s="14"/>
      <c r="N80" s="14"/>
      <c r="O80" s="14"/>
      <c r="P80" s="14"/>
      <c r="Q80" s="57"/>
      <c r="R80" s="244"/>
      <c r="S80" s="24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205"/>
      <c r="AG80" s="205"/>
      <c r="AH80" s="205"/>
      <c r="AI80" s="205"/>
      <c r="AJ80" s="205"/>
      <c r="AK80" s="205"/>
      <c r="AL80" s="205"/>
      <c r="AM80" s="205"/>
      <c r="AN80" s="205"/>
      <c r="AO80" s="205"/>
      <c r="AP80" s="205"/>
      <c r="AQ80" s="205"/>
      <c r="AR80" s="205"/>
      <c r="AS80" s="205"/>
      <c r="AT80" s="205"/>
      <c r="AU80" s="205"/>
      <c r="AV80" s="205"/>
      <c r="AW80" s="206"/>
      <c r="AX80" s="206"/>
      <c r="AY80" s="206"/>
      <c r="AZ80" s="206"/>
      <c r="BA80" s="206"/>
    </row>
    <row r="81" spans="1:53" s="11" customFormat="1" ht="14.4" x14ac:dyDescent="0.3">
      <c r="A81" s="206"/>
      <c r="B81" s="223"/>
      <c r="C81" s="223"/>
      <c r="D81" s="224"/>
      <c r="E81" s="223"/>
      <c r="F81" s="46"/>
      <c r="G81" s="46"/>
      <c r="H81" s="46"/>
      <c r="L81" s="14"/>
      <c r="M81" s="14"/>
      <c r="N81" s="14"/>
      <c r="O81" s="14"/>
      <c r="P81" s="15"/>
      <c r="Q81" s="57"/>
      <c r="R81" s="244"/>
      <c r="S81" s="245"/>
      <c r="T81" s="205"/>
      <c r="U81" s="205"/>
      <c r="V81" s="205"/>
      <c r="W81" s="205"/>
      <c r="X81" s="205"/>
      <c r="Y81" s="205"/>
      <c r="Z81" s="205"/>
      <c r="AA81" s="205"/>
      <c r="AB81" s="205"/>
      <c r="AC81" s="205"/>
      <c r="AD81" s="205"/>
      <c r="AE81" s="205"/>
      <c r="AF81" s="205"/>
      <c r="AG81" s="205"/>
      <c r="AH81" s="205"/>
      <c r="AI81" s="205"/>
      <c r="AJ81" s="205"/>
      <c r="AK81" s="205"/>
      <c r="AL81" s="205"/>
      <c r="AM81" s="205"/>
      <c r="AN81" s="205"/>
      <c r="AO81" s="205"/>
      <c r="AP81" s="205"/>
      <c r="AQ81" s="205"/>
      <c r="AR81" s="205"/>
      <c r="AS81" s="205"/>
      <c r="AT81" s="205"/>
      <c r="AU81" s="205"/>
      <c r="AV81" s="205"/>
      <c r="AW81" s="206"/>
      <c r="AX81" s="206"/>
      <c r="AY81" s="206"/>
      <c r="AZ81" s="206"/>
      <c r="BA81" s="206"/>
    </row>
    <row r="82" spans="1:53" s="11" customFormat="1" ht="14.4" x14ac:dyDescent="0.3">
      <c r="A82" s="206"/>
      <c r="B82" s="223"/>
      <c r="C82" s="223"/>
      <c r="D82" s="224"/>
      <c r="E82" s="223"/>
      <c r="F82" s="46"/>
      <c r="G82" s="46"/>
      <c r="H82" s="46"/>
      <c r="L82" s="14"/>
      <c r="M82" s="14"/>
      <c r="N82" s="14"/>
      <c r="O82" s="14"/>
      <c r="Q82" s="57"/>
      <c r="R82" s="244"/>
      <c r="S82" s="245"/>
      <c r="T82" s="205"/>
      <c r="U82" s="205"/>
      <c r="V82" s="205"/>
      <c r="W82" s="205"/>
      <c r="X82" s="205"/>
      <c r="Y82" s="205"/>
      <c r="Z82" s="205"/>
      <c r="AA82" s="205"/>
      <c r="AB82" s="205"/>
      <c r="AC82" s="205"/>
      <c r="AD82" s="205"/>
      <c r="AE82" s="205"/>
      <c r="AF82" s="205"/>
      <c r="AG82" s="205"/>
      <c r="AH82" s="205"/>
      <c r="AI82" s="205"/>
      <c r="AJ82" s="205"/>
      <c r="AK82" s="205"/>
      <c r="AL82" s="205"/>
      <c r="AM82" s="205"/>
      <c r="AN82" s="205"/>
      <c r="AO82" s="205"/>
      <c r="AP82" s="205"/>
      <c r="AQ82" s="205"/>
      <c r="AR82" s="205"/>
      <c r="AS82" s="205"/>
      <c r="AT82" s="205"/>
      <c r="AU82" s="205"/>
      <c r="AV82" s="205"/>
      <c r="AW82" s="206"/>
      <c r="AX82" s="206"/>
      <c r="AY82" s="206"/>
      <c r="AZ82" s="206"/>
      <c r="BA82" s="206"/>
    </row>
    <row r="83" spans="1:53" s="11" customFormat="1" x14ac:dyDescent="0.3">
      <c r="A83" s="206"/>
      <c r="B83" s="223"/>
      <c r="C83" s="223"/>
      <c r="D83" s="224"/>
      <c r="E83" s="223"/>
      <c r="F83" s="46"/>
      <c r="G83" s="46"/>
      <c r="H83" s="46"/>
      <c r="L83" s="14"/>
      <c r="M83" s="14"/>
      <c r="N83" s="14"/>
      <c r="O83" s="14"/>
      <c r="Q83" s="57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  <c r="AC83" s="205"/>
      <c r="AD83" s="205"/>
      <c r="AE83" s="205"/>
      <c r="AF83" s="205"/>
      <c r="AG83" s="205"/>
      <c r="AH83" s="205"/>
      <c r="AI83" s="205"/>
      <c r="AJ83" s="205"/>
      <c r="AK83" s="205"/>
      <c r="AL83" s="205"/>
      <c r="AM83" s="205"/>
      <c r="AN83" s="205"/>
      <c r="AO83" s="205"/>
      <c r="AP83" s="205"/>
      <c r="AQ83" s="205"/>
      <c r="AR83" s="205"/>
      <c r="AS83" s="205"/>
      <c r="AT83" s="205"/>
      <c r="AU83" s="205"/>
      <c r="AV83" s="205"/>
      <c r="AW83" s="206"/>
      <c r="AX83" s="206"/>
      <c r="AY83" s="206"/>
      <c r="AZ83" s="206"/>
      <c r="BA83" s="206"/>
    </row>
    <row r="84" spans="1:53" s="69" customFormat="1" x14ac:dyDescent="0.3">
      <c r="A84" s="206"/>
      <c r="B84" s="223"/>
      <c r="C84" s="223"/>
      <c r="D84" s="224"/>
      <c r="E84" s="223"/>
      <c r="F84" s="46"/>
      <c r="G84" s="46"/>
      <c r="H84" s="46"/>
      <c r="I84" s="11"/>
      <c r="J84" s="11"/>
      <c r="K84" s="11"/>
      <c r="L84" s="14"/>
      <c r="M84" s="14"/>
      <c r="N84" s="14"/>
      <c r="O84" s="11"/>
      <c r="P84" s="11"/>
      <c r="Q84" s="57"/>
      <c r="R84" s="208"/>
      <c r="S84" s="208"/>
      <c r="T84" s="208"/>
      <c r="U84" s="208"/>
      <c r="V84" s="208"/>
      <c r="W84" s="208"/>
      <c r="X84" s="208"/>
      <c r="Y84" s="208"/>
      <c r="Z84" s="208"/>
      <c r="AA84" s="208"/>
      <c r="AB84" s="208"/>
      <c r="AC84" s="208"/>
      <c r="AD84" s="208"/>
      <c r="AE84" s="208"/>
      <c r="AF84" s="208"/>
      <c r="AG84" s="208"/>
      <c r="AH84" s="208"/>
      <c r="AI84" s="208"/>
      <c r="AJ84" s="208"/>
      <c r="AK84" s="208"/>
      <c r="AL84" s="208"/>
      <c r="AM84" s="208"/>
      <c r="AN84" s="208"/>
      <c r="AO84" s="208"/>
      <c r="AP84" s="208"/>
      <c r="AQ84" s="208"/>
      <c r="AR84" s="208"/>
      <c r="AS84" s="208"/>
      <c r="AT84" s="208"/>
      <c r="AU84" s="208"/>
      <c r="AV84" s="208"/>
      <c r="AW84" s="148"/>
      <c r="AX84" s="148"/>
      <c r="AY84" s="148"/>
      <c r="AZ84" s="148"/>
      <c r="BA84" s="148"/>
    </row>
    <row r="85" spans="1:53" s="69" customFormat="1" x14ac:dyDescent="0.3">
      <c r="A85" s="206"/>
      <c r="B85" s="223"/>
      <c r="C85" s="223"/>
      <c r="D85" s="224"/>
      <c r="E85" s="223"/>
      <c r="F85" s="46"/>
      <c r="G85" s="46"/>
      <c r="H85" s="46"/>
      <c r="I85" s="11"/>
      <c r="J85" s="11"/>
      <c r="K85" s="11"/>
      <c r="L85" s="14"/>
      <c r="M85" s="14"/>
      <c r="N85" s="14"/>
      <c r="O85" s="11"/>
      <c r="P85" s="14"/>
      <c r="Q85" s="57"/>
      <c r="R85" s="208"/>
      <c r="S85" s="208"/>
      <c r="T85" s="208"/>
      <c r="U85" s="208"/>
      <c r="V85" s="208"/>
      <c r="W85" s="208"/>
      <c r="X85" s="208"/>
      <c r="Y85" s="208"/>
      <c r="Z85" s="208"/>
      <c r="AA85" s="208"/>
      <c r="AB85" s="208"/>
      <c r="AC85" s="208"/>
      <c r="AD85" s="208"/>
      <c r="AE85" s="208"/>
      <c r="AF85" s="208"/>
      <c r="AG85" s="208"/>
      <c r="AH85" s="208"/>
      <c r="AI85" s="208"/>
      <c r="AJ85" s="208"/>
      <c r="AK85" s="208"/>
      <c r="AL85" s="208"/>
      <c r="AM85" s="208"/>
      <c r="AN85" s="208"/>
      <c r="AO85" s="208"/>
      <c r="AP85" s="208"/>
      <c r="AQ85" s="208"/>
      <c r="AR85" s="208"/>
      <c r="AS85" s="208"/>
      <c r="AT85" s="208"/>
      <c r="AU85" s="208"/>
      <c r="AV85" s="208"/>
      <c r="AW85" s="148"/>
      <c r="AX85" s="148"/>
      <c r="AY85" s="148"/>
      <c r="AZ85" s="148"/>
      <c r="BA85" s="148"/>
    </row>
    <row r="86" spans="1:53" s="69" customFormat="1" x14ac:dyDescent="0.3">
      <c r="A86" s="206"/>
      <c r="B86" s="223"/>
      <c r="C86" s="223"/>
      <c r="D86" s="224"/>
      <c r="E86" s="223"/>
      <c r="F86" s="46"/>
      <c r="G86" s="46"/>
      <c r="H86" s="46"/>
      <c r="I86" s="11"/>
      <c r="J86" s="11"/>
      <c r="K86" s="11"/>
      <c r="L86" s="14"/>
      <c r="M86" s="14"/>
      <c r="N86" s="14"/>
      <c r="O86" s="11"/>
      <c r="P86" s="14"/>
      <c r="Q86" s="57"/>
      <c r="R86" s="208"/>
      <c r="S86" s="208"/>
      <c r="T86" s="208"/>
      <c r="U86" s="208"/>
      <c r="V86" s="208"/>
      <c r="W86" s="208"/>
      <c r="X86" s="208"/>
      <c r="Y86" s="208"/>
      <c r="Z86" s="208"/>
      <c r="AA86" s="208"/>
      <c r="AB86" s="208"/>
      <c r="AC86" s="208"/>
      <c r="AD86" s="208"/>
      <c r="AE86" s="208"/>
      <c r="AF86" s="208"/>
      <c r="AG86" s="208"/>
      <c r="AH86" s="208"/>
      <c r="AI86" s="208"/>
      <c r="AJ86" s="208"/>
      <c r="AK86" s="208"/>
      <c r="AL86" s="208"/>
      <c r="AM86" s="208"/>
      <c r="AN86" s="208"/>
      <c r="AO86" s="208"/>
      <c r="AP86" s="208"/>
      <c r="AQ86" s="208"/>
      <c r="AR86" s="208"/>
      <c r="AS86" s="208"/>
      <c r="AT86" s="208"/>
      <c r="AU86" s="208"/>
      <c r="AV86" s="208"/>
      <c r="AW86" s="148"/>
      <c r="AX86" s="148"/>
      <c r="AY86" s="148"/>
      <c r="AZ86" s="148"/>
      <c r="BA86" s="148"/>
    </row>
    <row r="87" spans="1:53" s="69" customFormat="1" x14ac:dyDescent="0.3">
      <c r="A87" s="206"/>
      <c r="B87" s="223"/>
      <c r="C87" s="223"/>
      <c r="D87" s="224"/>
      <c r="E87" s="223"/>
      <c r="F87" s="46"/>
      <c r="G87" s="46"/>
      <c r="H87" s="46"/>
      <c r="I87" s="11"/>
      <c r="J87" s="11"/>
      <c r="K87" s="11"/>
      <c r="L87" s="14"/>
      <c r="M87" s="14"/>
      <c r="N87" s="14"/>
      <c r="O87" s="11"/>
      <c r="P87" s="14"/>
      <c r="Q87" s="57"/>
      <c r="R87" s="208"/>
      <c r="S87" s="208"/>
      <c r="T87" s="208"/>
      <c r="U87" s="208"/>
      <c r="V87" s="208"/>
      <c r="W87" s="208"/>
      <c r="X87" s="208"/>
      <c r="Y87" s="208"/>
      <c r="Z87" s="208"/>
      <c r="AA87" s="208"/>
      <c r="AB87" s="208"/>
      <c r="AC87" s="208"/>
      <c r="AD87" s="208"/>
      <c r="AE87" s="208"/>
      <c r="AF87" s="208"/>
      <c r="AG87" s="208"/>
      <c r="AH87" s="208"/>
      <c r="AI87" s="208"/>
      <c r="AJ87" s="208"/>
      <c r="AK87" s="208"/>
      <c r="AL87" s="208"/>
      <c r="AM87" s="208"/>
      <c r="AN87" s="208"/>
      <c r="AO87" s="208"/>
      <c r="AP87" s="208"/>
      <c r="AQ87" s="208"/>
      <c r="AR87" s="208"/>
      <c r="AS87" s="208"/>
      <c r="AT87" s="208"/>
      <c r="AU87" s="208"/>
      <c r="AV87" s="208"/>
      <c r="AW87" s="148"/>
      <c r="AX87" s="148"/>
      <c r="AY87" s="148"/>
      <c r="AZ87" s="148"/>
      <c r="BA87" s="148"/>
    </row>
    <row r="88" spans="1:53" s="69" customFormat="1" x14ac:dyDescent="0.3">
      <c r="A88" s="206"/>
      <c r="B88" s="223"/>
      <c r="C88" s="223"/>
      <c r="D88" s="224"/>
      <c r="E88" s="223"/>
      <c r="F88" s="46"/>
      <c r="G88" s="46"/>
      <c r="H88" s="46"/>
      <c r="I88" s="11"/>
      <c r="J88" s="11"/>
      <c r="K88" s="11"/>
      <c r="L88" s="14"/>
      <c r="M88" s="14"/>
      <c r="N88" s="14"/>
      <c r="O88" s="11"/>
      <c r="P88" s="14"/>
      <c r="Q88" s="57"/>
      <c r="R88" s="208"/>
      <c r="S88" s="208"/>
      <c r="T88" s="208"/>
      <c r="U88" s="208"/>
      <c r="V88" s="208"/>
      <c r="W88" s="208"/>
      <c r="X88" s="208"/>
      <c r="Y88" s="208"/>
      <c r="Z88" s="208"/>
      <c r="AA88" s="208"/>
      <c r="AB88" s="208"/>
      <c r="AC88" s="208"/>
      <c r="AD88" s="208"/>
      <c r="AE88" s="208"/>
      <c r="AF88" s="208"/>
      <c r="AG88" s="208"/>
      <c r="AH88" s="208"/>
      <c r="AI88" s="208"/>
      <c r="AJ88" s="208"/>
      <c r="AK88" s="208"/>
      <c r="AL88" s="208"/>
      <c r="AM88" s="208"/>
      <c r="AN88" s="208"/>
      <c r="AO88" s="208"/>
      <c r="AP88" s="208"/>
      <c r="AQ88" s="208"/>
      <c r="AR88" s="208"/>
      <c r="AS88" s="208"/>
      <c r="AT88" s="208"/>
      <c r="AU88" s="208"/>
      <c r="AV88" s="208"/>
      <c r="AW88" s="148"/>
      <c r="AX88" s="148"/>
      <c r="AY88" s="148"/>
      <c r="AZ88" s="148"/>
      <c r="BA88" s="148"/>
    </row>
    <row r="89" spans="1:53" s="69" customFormat="1" x14ac:dyDescent="0.3">
      <c r="A89" s="206"/>
      <c r="B89" s="223"/>
      <c r="C89" s="223"/>
      <c r="D89" s="224"/>
      <c r="E89" s="223"/>
      <c r="F89" s="46"/>
      <c r="G89" s="46"/>
      <c r="H89" s="46"/>
      <c r="I89" s="11"/>
      <c r="J89" s="11"/>
      <c r="K89" s="11"/>
      <c r="L89" s="14"/>
      <c r="M89" s="14"/>
      <c r="N89" s="14"/>
      <c r="O89" s="11"/>
      <c r="P89" s="11"/>
      <c r="Q89" s="57"/>
      <c r="R89" s="208"/>
      <c r="S89" s="208"/>
      <c r="T89" s="208"/>
      <c r="U89" s="208"/>
      <c r="V89" s="208"/>
      <c r="W89" s="208"/>
      <c r="X89" s="208"/>
      <c r="Y89" s="208"/>
      <c r="Z89" s="208"/>
      <c r="AA89" s="208"/>
      <c r="AB89" s="208"/>
      <c r="AC89" s="208"/>
      <c r="AD89" s="208"/>
      <c r="AE89" s="208"/>
      <c r="AF89" s="208"/>
      <c r="AG89" s="208"/>
      <c r="AH89" s="208"/>
      <c r="AI89" s="208"/>
      <c r="AJ89" s="208"/>
      <c r="AK89" s="208"/>
      <c r="AL89" s="208"/>
      <c r="AM89" s="208"/>
      <c r="AN89" s="208"/>
      <c r="AO89" s="208"/>
      <c r="AP89" s="208"/>
      <c r="AQ89" s="208"/>
      <c r="AR89" s="208"/>
      <c r="AS89" s="208"/>
      <c r="AT89" s="208"/>
      <c r="AU89" s="208"/>
      <c r="AV89" s="208"/>
      <c r="AW89" s="148"/>
      <c r="AX89" s="148"/>
      <c r="AY89" s="148"/>
      <c r="AZ89" s="148"/>
      <c r="BA89" s="148"/>
    </row>
    <row r="90" spans="1:53" s="69" customFormat="1" x14ac:dyDescent="0.3">
      <c r="A90" s="206"/>
      <c r="B90" s="223"/>
      <c r="C90" s="223"/>
      <c r="D90" s="224"/>
      <c r="E90" s="223"/>
      <c r="F90" s="46"/>
      <c r="G90" s="46"/>
      <c r="H90" s="46"/>
      <c r="I90" s="11"/>
      <c r="J90" s="11"/>
      <c r="K90" s="11"/>
      <c r="L90" s="14"/>
      <c r="M90" s="14"/>
      <c r="N90" s="14"/>
      <c r="O90" s="11"/>
      <c r="P90" s="11"/>
      <c r="Q90" s="57"/>
      <c r="R90" s="208"/>
      <c r="S90" s="208"/>
      <c r="T90" s="208"/>
      <c r="U90" s="208"/>
      <c r="V90" s="208"/>
      <c r="W90" s="208"/>
      <c r="X90" s="208"/>
      <c r="Y90" s="208"/>
      <c r="Z90" s="208"/>
      <c r="AA90" s="208"/>
      <c r="AB90" s="208"/>
      <c r="AC90" s="208"/>
      <c r="AD90" s="208"/>
      <c r="AE90" s="208"/>
      <c r="AF90" s="208"/>
      <c r="AG90" s="208"/>
      <c r="AH90" s="208"/>
      <c r="AI90" s="208"/>
      <c r="AJ90" s="208"/>
      <c r="AK90" s="208"/>
      <c r="AL90" s="208"/>
      <c r="AM90" s="208"/>
      <c r="AN90" s="208"/>
      <c r="AO90" s="208"/>
      <c r="AP90" s="208"/>
      <c r="AQ90" s="208"/>
      <c r="AR90" s="208"/>
      <c r="AS90" s="208"/>
      <c r="AT90" s="208"/>
      <c r="AU90" s="208"/>
      <c r="AV90" s="208"/>
      <c r="AW90" s="148"/>
      <c r="AX90" s="148"/>
      <c r="AY90" s="148"/>
      <c r="AZ90" s="148"/>
      <c r="BA90" s="148"/>
    </row>
    <row r="91" spans="1:53" s="69" customFormat="1" x14ac:dyDescent="0.3">
      <c r="A91" s="206"/>
      <c r="B91" s="223"/>
      <c r="C91" s="223"/>
      <c r="D91" s="224"/>
      <c r="E91" s="223"/>
      <c r="F91" s="46"/>
      <c r="G91" s="46"/>
      <c r="H91" s="46"/>
      <c r="I91" s="11"/>
      <c r="J91" s="11"/>
      <c r="K91" s="11"/>
      <c r="L91" s="14"/>
      <c r="M91" s="14"/>
      <c r="N91" s="14"/>
      <c r="R91" s="208"/>
      <c r="S91" s="208"/>
      <c r="T91" s="208"/>
      <c r="U91" s="208"/>
      <c r="V91" s="208"/>
      <c r="W91" s="208"/>
      <c r="X91" s="208"/>
      <c r="Y91" s="208"/>
      <c r="Z91" s="208"/>
      <c r="AA91" s="208"/>
      <c r="AB91" s="208"/>
      <c r="AC91" s="208"/>
      <c r="AD91" s="208"/>
      <c r="AE91" s="208"/>
      <c r="AF91" s="208"/>
      <c r="AG91" s="208"/>
      <c r="AH91" s="208"/>
      <c r="AI91" s="208"/>
      <c r="AJ91" s="208"/>
      <c r="AK91" s="208"/>
      <c r="AL91" s="208"/>
      <c r="AM91" s="208"/>
      <c r="AN91" s="208"/>
      <c r="AO91" s="208"/>
      <c r="AP91" s="208"/>
      <c r="AQ91" s="208"/>
      <c r="AR91" s="208"/>
      <c r="AS91" s="208"/>
      <c r="AT91" s="208"/>
      <c r="AU91" s="208"/>
      <c r="AV91" s="208"/>
      <c r="AW91" s="148"/>
      <c r="AX91" s="148"/>
      <c r="AY91" s="148"/>
      <c r="AZ91" s="148"/>
      <c r="BA91" s="148"/>
    </row>
    <row r="92" spans="1:53" s="69" customFormat="1" x14ac:dyDescent="0.3">
      <c r="A92" s="206"/>
      <c r="B92" s="223"/>
      <c r="C92" s="223"/>
      <c r="D92" s="224"/>
      <c r="E92" s="223"/>
      <c r="F92" s="46"/>
      <c r="G92" s="46"/>
      <c r="H92" s="46"/>
      <c r="I92" s="11"/>
      <c r="J92" s="11"/>
      <c r="K92" s="11"/>
      <c r="L92" s="14"/>
      <c r="M92" s="14"/>
      <c r="N92" s="14"/>
      <c r="R92" s="208"/>
      <c r="S92" s="208"/>
      <c r="T92" s="208"/>
      <c r="U92" s="208"/>
      <c r="V92" s="208"/>
      <c r="W92" s="208"/>
      <c r="X92" s="208"/>
      <c r="Y92" s="208"/>
      <c r="Z92" s="208"/>
      <c r="AA92" s="208"/>
      <c r="AB92" s="208"/>
      <c r="AC92" s="208"/>
      <c r="AD92" s="208"/>
      <c r="AE92" s="208"/>
      <c r="AF92" s="208"/>
      <c r="AG92" s="208"/>
      <c r="AH92" s="208"/>
      <c r="AI92" s="208"/>
      <c r="AJ92" s="208"/>
      <c r="AK92" s="208"/>
      <c r="AL92" s="208"/>
      <c r="AM92" s="208"/>
      <c r="AN92" s="208"/>
      <c r="AO92" s="208"/>
      <c r="AP92" s="208"/>
      <c r="AQ92" s="208"/>
      <c r="AR92" s="208"/>
      <c r="AS92" s="208"/>
      <c r="AT92" s="208"/>
      <c r="AU92" s="208"/>
      <c r="AV92" s="208"/>
      <c r="AW92" s="148"/>
      <c r="AX92" s="148"/>
      <c r="AY92" s="148"/>
      <c r="AZ92" s="148"/>
      <c r="BA92" s="148"/>
    </row>
    <row r="93" spans="1:53" s="69" customFormat="1" x14ac:dyDescent="0.3">
      <c r="A93" s="206"/>
      <c r="B93" s="223"/>
      <c r="C93" s="223"/>
      <c r="D93" s="224"/>
      <c r="E93" s="223"/>
      <c r="F93" s="46"/>
      <c r="G93" s="46"/>
      <c r="H93" s="46"/>
      <c r="I93" s="11"/>
      <c r="J93" s="11"/>
      <c r="K93" s="11"/>
      <c r="L93" s="14"/>
      <c r="M93" s="14"/>
      <c r="N93" s="14"/>
      <c r="R93" s="208"/>
      <c r="S93" s="208"/>
      <c r="T93" s="208"/>
      <c r="U93" s="208"/>
      <c r="V93" s="208"/>
      <c r="W93" s="208"/>
      <c r="X93" s="208"/>
      <c r="Y93" s="208"/>
      <c r="Z93" s="208"/>
      <c r="AA93" s="208"/>
      <c r="AB93" s="208"/>
      <c r="AC93" s="208"/>
      <c r="AD93" s="208"/>
      <c r="AE93" s="208"/>
      <c r="AF93" s="208"/>
      <c r="AG93" s="208"/>
      <c r="AH93" s="208"/>
      <c r="AI93" s="208"/>
      <c r="AJ93" s="208"/>
      <c r="AK93" s="208"/>
      <c r="AL93" s="208"/>
      <c r="AM93" s="208"/>
      <c r="AN93" s="208"/>
      <c r="AO93" s="208"/>
      <c r="AP93" s="208"/>
      <c r="AQ93" s="208"/>
      <c r="AR93" s="208"/>
      <c r="AS93" s="208"/>
      <c r="AT93" s="208"/>
      <c r="AU93" s="208"/>
      <c r="AV93" s="208"/>
      <c r="AW93" s="148"/>
      <c r="AX93" s="148"/>
      <c r="AY93" s="148"/>
      <c r="AZ93" s="148"/>
      <c r="BA93" s="148"/>
    </row>
    <row r="94" spans="1:53" s="69" customFormat="1" x14ac:dyDescent="0.3">
      <c r="A94" s="206"/>
      <c r="B94" s="223"/>
      <c r="C94" s="223"/>
      <c r="D94" s="224"/>
      <c r="E94" s="223"/>
      <c r="F94" s="46"/>
      <c r="G94" s="46"/>
      <c r="H94" s="46"/>
      <c r="I94" s="11"/>
      <c r="J94" s="11"/>
      <c r="K94" s="11"/>
      <c r="L94" s="14"/>
      <c r="M94" s="14"/>
      <c r="N94" s="14"/>
      <c r="R94" s="208"/>
      <c r="S94" s="208"/>
      <c r="T94" s="208"/>
      <c r="U94" s="208"/>
      <c r="V94" s="208"/>
      <c r="W94" s="208"/>
      <c r="X94" s="208"/>
      <c r="Y94" s="208"/>
      <c r="Z94" s="208"/>
      <c r="AA94" s="208"/>
      <c r="AB94" s="208"/>
      <c r="AC94" s="208"/>
      <c r="AD94" s="208"/>
      <c r="AE94" s="208"/>
      <c r="AF94" s="208"/>
      <c r="AG94" s="208"/>
      <c r="AH94" s="208"/>
      <c r="AI94" s="208"/>
      <c r="AJ94" s="208"/>
      <c r="AK94" s="208"/>
      <c r="AL94" s="208"/>
      <c r="AM94" s="208"/>
      <c r="AN94" s="208"/>
      <c r="AO94" s="208"/>
      <c r="AP94" s="208"/>
      <c r="AQ94" s="208"/>
      <c r="AR94" s="208"/>
      <c r="AS94" s="208"/>
      <c r="AT94" s="208"/>
      <c r="AU94" s="208"/>
      <c r="AV94" s="208"/>
      <c r="AW94" s="148"/>
      <c r="AX94" s="148"/>
      <c r="AY94" s="148"/>
      <c r="AZ94" s="148"/>
      <c r="BA94" s="148"/>
    </row>
    <row r="95" spans="1:53" s="69" customFormat="1" x14ac:dyDescent="0.3">
      <c r="A95" s="206"/>
      <c r="B95" s="223"/>
      <c r="C95" s="223"/>
      <c r="D95" s="224"/>
      <c r="E95" s="223"/>
      <c r="F95" s="46"/>
      <c r="G95" s="46"/>
      <c r="H95" s="46"/>
      <c r="L95" s="142"/>
      <c r="M95" s="142"/>
      <c r="N95" s="142"/>
      <c r="R95" s="208"/>
      <c r="S95" s="208"/>
      <c r="T95" s="208"/>
      <c r="U95" s="208"/>
      <c r="V95" s="208"/>
      <c r="W95" s="208"/>
      <c r="X95" s="208"/>
      <c r="Y95" s="208"/>
      <c r="Z95" s="208"/>
      <c r="AA95" s="208"/>
      <c r="AB95" s="208"/>
      <c r="AC95" s="208"/>
      <c r="AD95" s="208"/>
      <c r="AE95" s="208"/>
      <c r="AF95" s="208"/>
      <c r="AG95" s="208"/>
      <c r="AH95" s="208"/>
      <c r="AI95" s="208"/>
      <c r="AJ95" s="208"/>
      <c r="AK95" s="208"/>
      <c r="AL95" s="208"/>
      <c r="AM95" s="208"/>
      <c r="AN95" s="208"/>
      <c r="AO95" s="208"/>
      <c r="AP95" s="208"/>
      <c r="AQ95" s="208"/>
      <c r="AR95" s="208"/>
      <c r="AS95" s="208"/>
      <c r="AT95" s="208"/>
      <c r="AU95" s="208"/>
      <c r="AV95" s="208"/>
      <c r="AW95" s="148"/>
      <c r="AX95" s="148"/>
      <c r="AY95" s="148"/>
      <c r="AZ95" s="148"/>
      <c r="BA95" s="148"/>
    </row>
    <row r="96" spans="1:53" s="70" customFormat="1" x14ac:dyDescent="0.3">
      <c r="A96" s="206"/>
      <c r="B96" s="223"/>
      <c r="C96" s="223"/>
      <c r="D96" s="224"/>
      <c r="E96" s="223"/>
      <c r="F96" s="46"/>
      <c r="G96" s="46"/>
      <c r="H96" s="46"/>
      <c r="I96" s="63"/>
      <c r="J96" s="63"/>
      <c r="K96" s="63"/>
      <c r="L96" s="69"/>
      <c r="M96" s="69"/>
      <c r="N96" s="69"/>
      <c r="O96" s="69"/>
      <c r="P96" s="69"/>
      <c r="Q96" s="69"/>
      <c r="R96" s="208"/>
      <c r="S96" s="208"/>
      <c r="T96" s="208"/>
      <c r="U96" s="208"/>
      <c r="V96" s="208"/>
      <c r="W96" s="208"/>
      <c r="X96" s="208"/>
      <c r="Y96" s="208"/>
      <c r="Z96" s="208"/>
      <c r="AA96" s="208"/>
      <c r="AB96" s="208"/>
      <c r="AC96" s="208"/>
      <c r="AD96" s="208"/>
      <c r="AE96" s="208"/>
      <c r="AF96" s="208"/>
      <c r="AG96" s="208"/>
      <c r="AH96" s="208"/>
      <c r="AI96" s="208"/>
      <c r="AJ96" s="208"/>
      <c r="AK96" s="208"/>
      <c r="AL96" s="208"/>
      <c r="AM96" s="208"/>
      <c r="AN96" s="208"/>
      <c r="AO96" s="208"/>
      <c r="AP96" s="208"/>
      <c r="AQ96" s="208"/>
      <c r="AR96" s="208"/>
      <c r="AS96" s="208"/>
      <c r="AT96" s="208"/>
      <c r="AU96" s="208"/>
      <c r="AV96" s="208"/>
      <c r="AW96" s="208"/>
      <c r="AX96" s="208"/>
      <c r="AY96" s="208"/>
      <c r="AZ96" s="208"/>
      <c r="BA96" s="208"/>
    </row>
    <row r="97" spans="1:53" s="70" customFormat="1" ht="15" customHeight="1" x14ac:dyDescent="0.3">
      <c r="A97" s="206"/>
      <c r="B97" s="223"/>
      <c r="C97" s="223"/>
      <c r="D97" s="224"/>
      <c r="E97" s="223"/>
      <c r="F97" s="46"/>
      <c r="G97" s="46"/>
      <c r="H97" s="46"/>
      <c r="I97" s="11"/>
      <c r="J97" s="11"/>
      <c r="K97" s="63"/>
      <c r="L97" s="142"/>
      <c r="M97" s="142"/>
      <c r="N97" s="142"/>
      <c r="O97" s="69"/>
      <c r="P97" s="69"/>
      <c r="Q97" s="69"/>
      <c r="R97" s="208"/>
      <c r="S97" s="208"/>
      <c r="T97" s="208"/>
      <c r="U97" s="208"/>
      <c r="V97" s="208"/>
      <c r="W97" s="208"/>
      <c r="X97" s="208"/>
      <c r="Y97" s="208"/>
      <c r="Z97" s="208"/>
      <c r="AA97" s="208"/>
      <c r="AB97" s="208"/>
      <c r="AC97" s="208"/>
      <c r="AD97" s="208"/>
      <c r="AE97" s="208"/>
      <c r="AF97" s="208"/>
      <c r="AG97" s="208"/>
      <c r="AH97" s="208"/>
      <c r="AI97" s="208"/>
      <c r="AJ97" s="208"/>
      <c r="AK97" s="208"/>
      <c r="AL97" s="208"/>
      <c r="AM97" s="208"/>
      <c r="AN97" s="208"/>
      <c r="AO97" s="208"/>
      <c r="AP97" s="208"/>
      <c r="AQ97" s="208"/>
      <c r="AR97" s="208"/>
      <c r="AS97" s="208"/>
      <c r="AT97" s="208"/>
      <c r="AU97" s="208"/>
      <c r="AV97" s="208"/>
      <c r="AW97" s="148"/>
      <c r="AX97" s="208"/>
      <c r="AY97" s="208"/>
      <c r="AZ97" s="208"/>
      <c r="BA97" s="208"/>
    </row>
    <row r="98" spans="1:53" s="70" customFormat="1" x14ac:dyDescent="0.3">
      <c r="A98" s="206"/>
      <c r="B98" s="223"/>
      <c r="C98" s="223"/>
      <c r="D98" s="224"/>
      <c r="E98" s="223"/>
      <c r="F98" s="46"/>
      <c r="G98" s="46"/>
      <c r="H98" s="46"/>
      <c r="I98" s="142"/>
      <c r="J98" s="142"/>
      <c r="K98" s="142"/>
      <c r="L98" s="142"/>
      <c r="M98" s="142"/>
      <c r="N98" s="142"/>
      <c r="O98" s="144"/>
      <c r="P98" s="69"/>
      <c r="Q98" s="69"/>
      <c r="R98" s="208"/>
      <c r="S98" s="208"/>
      <c r="T98" s="208"/>
      <c r="U98" s="208"/>
      <c r="V98" s="208"/>
      <c r="W98" s="208"/>
      <c r="X98" s="208"/>
      <c r="Y98" s="208"/>
      <c r="Z98" s="208"/>
      <c r="AA98" s="208"/>
      <c r="AB98" s="208"/>
      <c r="AC98" s="208"/>
      <c r="AD98" s="208"/>
      <c r="AE98" s="208"/>
      <c r="AF98" s="208"/>
      <c r="AG98" s="208"/>
      <c r="AH98" s="208"/>
      <c r="AI98" s="208"/>
      <c r="AJ98" s="208"/>
      <c r="AK98" s="208"/>
      <c r="AL98" s="208"/>
      <c r="AM98" s="208"/>
      <c r="AN98" s="208"/>
      <c r="AO98" s="208"/>
      <c r="AP98" s="208"/>
      <c r="AQ98" s="208"/>
      <c r="AR98" s="208"/>
      <c r="AS98" s="208"/>
      <c r="AT98" s="208"/>
      <c r="AU98" s="208"/>
      <c r="AV98" s="208"/>
      <c r="AW98" s="148"/>
      <c r="AX98" s="208"/>
      <c r="AY98" s="208"/>
      <c r="AZ98" s="208"/>
      <c r="BA98" s="208"/>
    </row>
    <row r="99" spans="1:53" s="70" customFormat="1" x14ac:dyDescent="0.3">
      <c r="A99" s="206"/>
      <c r="B99" s="223"/>
      <c r="C99" s="223"/>
      <c r="D99" s="224"/>
      <c r="E99" s="223"/>
      <c r="F99" s="46"/>
      <c r="G99" s="46"/>
      <c r="H99" s="46"/>
      <c r="I99" s="11"/>
      <c r="J99" s="11"/>
      <c r="K99" s="63"/>
      <c r="L99" s="142"/>
      <c r="M99" s="142"/>
      <c r="N99" s="142"/>
      <c r="O99" s="144"/>
      <c r="P99" s="69"/>
      <c r="Q99" s="69"/>
      <c r="R99" s="208"/>
      <c r="S99" s="208"/>
      <c r="T99" s="208"/>
      <c r="U99" s="208"/>
      <c r="V99" s="208"/>
      <c r="W99" s="208"/>
      <c r="X99" s="208"/>
      <c r="Y99" s="208"/>
      <c r="Z99" s="208"/>
      <c r="AA99" s="208"/>
      <c r="AB99" s="208"/>
      <c r="AC99" s="208"/>
      <c r="AD99" s="208"/>
      <c r="AE99" s="208"/>
      <c r="AF99" s="208"/>
      <c r="AG99" s="208"/>
      <c r="AH99" s="208"/>
      <c r="AI99" s="208"/>
      <c r="AJ99" s="208"/>
      <c r="AK99" s="208"/>
      <c r="AL99" s="208"/>
      <c r="AM99" s="208"/>
      <c r="AN99" s="208"/>
      <c r="AO99" s="208"/>
      <c r="AP99" s="208"/>
      <c r="AQ99" s="208"/>
      <c r="AR99" s="208"/>
      <c r="AS99" s="208"/>
      <c r="AT99" s="208"/>
      <c r="AU99" s="208"/>
      <c r="AV99" s="208"/>
      <c r="AW99" s="148"/>
      <c r="AX99" s="208"/>
      <c r="AY99" s="208"/>
      <c r="AZ99" s="208"/>
      <c r="BA99" s="208"/>
    </row>
    <row r="100" spans="1:53" s="70" customFormat="1" x14ac:dyDescent="0.3">
      <c r="A100" s="206"/>
      <c r="B100" s="223"/>
      <c r="C100" s="223"/>
      <c r="D100" s="224"/>
      <c r="E100" s="223"/>
      <c r="F100" s="46"/>
      <c r="G100" s="46"/>
      <c r="H100" s="46"/>
      <c r="I100" s="142"/>
      <c r="J100" s="142"/>
      <c r="K100" s="142"/>
      <c r="L100" s="142"/>
      <c r="M100" s="142"/>
      <c r="N100" s="142"/>
      <c r="O100" s="144"/>
      <c r="P100" s="69"/>
      <c r="R100" s="208"/>
      <c r="S100" s="208"/>
      <c r="T100" s="208"/>
      <c r="U100" s="208"/>
      <c r="V100" s="208"/>
      <c r="W100" s="208"/>
      <c r="X100" s="208"/>
      <c r="Y100" s="208"/>
      <c r="Z100" s="208"/>
      <c r="AA100" s="208"/>
      <c r="AB100" s="208"/>
      <c r="AC100" s="208"/>
      <c r="AD100" s="208"/>
      <c r="AE100" s="208"/>
      <c r="AF100" s="208"/>
      <c r="AG100" s="208"/>
      <c r="AH100" s="208"/>
      <c r="AI100" s="208"/>
      <c r="AJ100" s="208"/>
      <c r="AK100" s="208"/>
      <c r="AL100" s="208"/>
      <c r="AM100" s="208"/>
      <c r="AN100" s="208"/>
      <c r="AO100" s="208"/>
      <c r="AP100" s="208"/>
      <c r="AQ100" s="208"/>
      <c r="AR100" s="208"/>
      <c r="AS100" s="208"/>
      <c r="AT100" s="208"/>
      <c r="AU100" s="208"/>
      <c r="AV100" s="208"/>
      <c r="AW100" s="148"/>
      <c r="AX100" s="208"/>
      <c r="AY100" s="208"/>
      <c r="AZ100" s="208"/>
      <c r="BA100" s="208"/>
    </row>
    <row r="101" spans="1:53" s="70" customFormat="1" x14ac:dyDescent="0.3">
      <c r="A101" s="206"/>
      <c r="B101" s="223"/>
      <c r="C101" s="223"/>
      <c r="D101" s="224"/>
      <c r="E101" s="223"/>
      <c r="F101" s="46"/>
      <c r="G101" s="46"/>
      <c r="H101" s="46"/>
      <c r="I101" s="11"/>
      <c r="J101" s="11"/>
      <c r="K101" s="63"/>
      <c r="L101" s="142"/>
      <c r="M101" s="142"/>
      <c r="N101" s="142"/>
      <c r="O101" s="144"/>
      <c r="P101" s="69"/>
      <c r="R101" s="208"/>
      <c r="S101" s="208"/>
      <c r="T101" s="208"/>
      <c r="U101" s="208"/>
      <c r="V101" s="208"/>
      <c r="W101" s="208"/>
      <c r="X101" s="208"/>
      <c r="Y101" s="208"/>
      <c r="Z101" s="208"/>
      <c r="AA101" s="208"/>
      <c r="AB101" s="208"/>
      <c r="AC101" s="208"/>
      <c r="AD101" s="208"/>
      <c r="AE101" s="208"/>
      <c r="AF101" s="208"/>
      <c r="AG101" s="208"/>
      <c r="AH101" s="208"/>
      <c r="AI101" s="208"/>
      <c r="AJ101" s="208"/>
      <c r="AK101" s="208"/>
      <c r="AL101" s="208"/>
      <c r="AM101" s="208"/>
      <c r="AN101" s="208"/>
      <c r="AO101" s="208"/>
      <c r="AP101" s="208"/>
      <c r="AQ101" s="208"/>
      <c r="AR101" s="208"/>
      <c r="AS101" s="208"/>
      <c r="AT101" s="208"/>
      <c r="AU101" s="208"/>
      <c r="AV101" s="208"/>
      <c r="AW101" s="148"/>
      <c r="AX101" s="208"/>
      <c r="AY101" s="208"/>
      <c r="AZ101" s="208"/>
      <c r="BA101" s="208"/>
    </row>
    <row r="102" spans="1:53" s="70" customFormat="1" x14ac:dyDescent="0.3">
      <c r="A102" s="206"/>
      <c r="B102" s="223"/>
      <c r="C102" s="223"/>
      <c r="D102" s="224"/>
      <c r="E102" s="223"/>
      <c r="F102" s="46"/>
      <c r="G102" s="46"/>
      <c r="H102" s="46"/>
      <c r="I102" s="142"/>
      <c r="J102" s="142"/>
      <c r="K102" s="142"/>
      <c r="L102" s="142"/>
      <c r="M102" s="142"/>
      <c r="N102" s="142"/>
      <c r="O102" s="144"/>
      <c r="P102" s="69"/>
      <c r="R102" s="208"/>
      <c r="S102" s="208"/>
      <c r="T102" s="208"/>
      <c r="U102" s="208"/>
      <c r="V102" s="208"/>
      <c r="W102" s="208"/>
      <c r="X102" s="208"/>
      <c r="Y102" s="208"/>
      <c r="Z102" s="208"/>
      <c r="AA102" s="208"/>
      <c r="AB102" s="208"/>
      <c r="AC102" s="208"/>
      <c r="AD102" s="208"/>
      <c r="AE102" s="208"/>
      <c r="AF102" s="208"/>
      <c r="AG102" s="208"/>
      <c r="AH102" s="208"/>
      <c r="AI102" s="208"/>
      <c r="AJ102" s="208"/>
      <c r="AK102" s="208"/>
      <c r="AL102" s="208"/>
      <c r="AM102" s="208"/>
      <c r="AN102" s="208"/>
      <c r="AO102" s="208"/>
      <c r="AP102" s="208"/>
      <c r="AQ102" s="208"/>
      <c r="AR102" s="208"/>
      <c r="AS102" s="208"/>
      <c r="AT102" s="208"/>
      <c r="AU102" s="208"/>
      <c r="AV102" s="208"/>
      <c r="AW102" s="148"/>
      <c r="AX102" s="208"/>
      <c r="AY102" s="208"/>
      <c r="AZ102" s="208"/>
      <c r="BA102" s="208"/>
    </row>
    <row r="103" spans="1:53" s="70" customFormat="1" x14ac:dyDescent="0.3">
      <c r="A103" s="206"/>
      <c r="B103" s="223"/>
      <c r="C103" s="223"/>
      <c r="D103" s="224"/>
      <c r="E103" s="223"/>
      <c r="F103" s="46"/>
      <c r="G103" s="46"/>
      <c r="H103" s="46"/>
      <c r="I103" s="11"/>
      <c r="J103" s="11"/>
      <c r="K103" s="63"/>
      <c r="L103" s="142"/>
      <c r="M103" s="142"/>
      <c r="N103" s="142"/>
      <c r="O103" s="144"/>
      <c r="P103" s="144"/>
      <c r="R103" s="208"/>
      <c r="S103" s="208"/>
      <c r="T103" s="208"/>
      <c r="U103" s="208"/>
      <c r="V103" s="208"/>
      <c r="W103" s="208"/>
      <c r="X103" s="208"/>
      <c r="Y103" s="208"/>
      <c r="Z103" s="208"/>
      <c r="AA103" s="208"/>
      <c r="AB103" s="208"/>
      <c r="AC103" s="208"/>
      <c r="AD103" s="208"/>
      <c r="AE103" s="208"/>
      <c r="AF103" s="208"/>
      <c r="AG103" s="208"/>
      <c r="AH103" s="208"/>
      <c r="AI103" s="208"/>
      <c r="AJ103" s="208"/>
      <c r="AK103" s="208"/>
      <c r="AL103" s="208"/>
      <c r="AM103" s="208"/>
      <c r="AN103" s="208"/>
      <c r="AO103" s="208"/>
      <c r="AP103" s="208"/>
      <c r="AQ103" s="208"/>
      <c r="AR103" s="208"/>
      <c r="AS103" s="208"/>
      <c r="AT103" s="208"/>
      <c r="AU103" s="208"/>
      <c r="AV103" s="208"/>
      <c r="AW103" s="148"/>
      <c r="AX103" s="208"/>
      <c r="AY103" s="208"/>
      <c r="AZ103" s="208"/>
      <c r="BA103" s="208"/>
    </row>
    <row r="104" spans="1:53" s="70" customFormat="1" x14ac:dyDescent="0.3">
      <c r="A104" s="206"/>
      <c r="B104" s="223"/>
      <c r="C104" s="223"/>
      <c r="D104" s="224"/>
      <c r="E104" s="223"/>
      <c r="F104" s="46"/>
      <c r="G104" s="46"/>
      <c r="H104" s="46"/>
      <c r="I104" s="142"/>
      <c r="J104" s="142"/>
      <c r="K104" s="142"/>
      <c r="L104" s="142"/>
      <c r="M104" s="142"/>
      <c r="N104" s="142"/>
      <c r="O104" s="144"/>
      <c r="P104" s="144"/>
      <c r="R104" s="208"/>
      <c r="S104" s="208"/>
      <c r="T104" s="208"/>
      <c r="U104" s="208"/>
      <c r="V104" s="208"/>
      <c r="W104" s="208"/>
      <c r="X104" s="208"/>
      <c r="Y104" s="208"/>
      <c r="Z104" s="208"/>
      <c r="AA104" s="208"/>
      <c r="AB104" s="208"/>
      <c r="AC104" s="208"/>
      <c r="AD104" s="208"/>
      <c r="AE104" s="208"/>
      <c r="AF104" s="208"/>
      <c r="AG104" s="208"/>
      <c r="AH104" s="208"/>
      <c r="AI104" s="208"/>
      <c r="AJ104" s="208"/>
      <c r="AK104" s="208"/>
      <c r="AL104" s="208"/>
      <c r="AM104" s="208"/>
      <c r="AN104" s="208"/>
      <c r="AO104" s="208"/>
      <c r="AP104" s="208"/>
      <c r="AQ104" s="208"/>
      <c r="AR104" s="208"/>
      <c r="AS104" s="208"/>
      <c r="AT104" s="208"/>
      <c r="AU104" s="208"/>
      <c r="AV104" s="208"/>
      <c r="AW104" s="148"/>
      <c r="AX104" s="208"/>
      <c r="AY104" s="208"/>
      <c r="AZ104" s="208"/>
      <c r="BA104" s="208"/>
    </row>
    <row r="105" spans="1:53" s="70" customFormat="1" x14ac:dyDescent="0.3">
      <c r="A105" s="206"/>
      <c r="B105" s="223"/>
      <c r="C105" s="223"/>
      <c r="D105" s="224"/>
      <c r="E105" s="223"/>
      <c r="F105" s="46"/>
      <c r="G105" s="46"/>
      <c r="H105" s="46"/>
      <c r="I105" s="11"/>
      <c r="J105" s="11"/>
      <c r="K105" s="63"/>
      <c r="L105" s="142"/>
      <c r="M105" s="142"/>
      <c r="N105" s="142"/>
      <c r="O105" s="144"/>
      <c r="P105" s="144"/>
      <c r="R105" s="208"/>
      <c r="S105" s="208"/>
      <c r="T105" s="208"/>
      <c r="U105" s="208"/>
      <c r="V105" s="208"/>
      <c r="W105" s="208"/>
      <c r="X105" s="208"/>
      <c r="Y105" s="208"/>
      <c r="Z105" s="208"/>
      <c r="AA105" s="208"/>
      <c r="AB105" s="208"/>
      <c r="AC105" s="208"/>
      <c r="AD105" s="208"/>
      <c r="AE105" s="208"/>
      <c r="AF105" s="208"/>
      <c r="AG105" s="208"/>
      <c r="AH105" s="208"/>
      <c r="AI105" s="208"/>
      <c r="AJ105" s="208"/>
      <c r="AK105" s="208"/>
      <c r="AL105" s="208"/>
      <c r="AM105" s="208"/>
      <c r="AN105" s="208"/>
      <c r="AO105" s="208"/>
      <c r="AP105" s="208"/>
      <c r="AQ105" s="208"/>
      <c r="AR105" s="208"/>
      <c r="AS105" s="208"/>
      <c r="AT105" s="208"/>
      <c r="AU105" s="208"/>
      <c r="AV105" s="208"/>
      <c r="AW105" s="148"/>
      <c r="AX105" s="208"/>
      <c r="AY105" s="208"/>
      <c r="AZ105" s="208"/>
      <c r="BA105" s="208"/>
    </row>
    <row r="106" spans="1:53" s="70" customFormat="1" x14ac:dyDescent="0.3">
      <c r="A106" s="148"/>
      <c r="B106" s="225"/>
      <c r="C106" s="225"/>
      <c r="D106" s="225"/>
      <c r="E106" s="225"/>
      <c r="F106" s="46"/>
      <c r="G106" s="46"/>
      <c r="H106" s="46"/>
      <c r="I106" s="142"/>
      <c r="J106" s="142"/>
      <c r="K106" s="142"/>
      <c r="L106" s="142"/>
      <c r="M106" s="142"/>
      <c r="N106" s="142"/>
      <c r="O106" s="144"/>
      <c r="P106" s="144"/>
      <c r="R106" s="208"/>
      <c r="S106" s="208"/>
      <c r="T106" s="208"/>
      <c r="U106" s="208"/>
      <c r="V106" s="208"/>
      <c r="W106" s="208"/>
      <c r="X106" s="208"/>
      <c r="Y106" s="208"/>
      <c r="Z106" s="208"/>
      <c r="AA106" s="208"/>
      <c r="AB106" s="208"/>
      <c r="AC106" s="208"/>
      <c r="AD106" s="208"/>
      <c r="AE106" s="208"/>
      <c r="AF106" s="208"/>
      <c r="AG106" s="208"/>
      <c r="AH106" s="208"/>
      <c r="AI106" s="208"/>
      <c r="AJ106" s="208"/>
      <c r="AK106" s="208"/>
      <c r="AL106" s="208"/>
      <c r="AM106" s="208"/>
      <c r="AN106" s="208"/>
      <c r="AO106" s="208"/>
      <c r="AP106" s="208"/>
      <c r="AQ106" s="208"/>
      <c r="AR106" s="208"/>
      <c r="AS106" s="208"/>
      <c r="AT106" s="208"/>
      <c r="AU106" s="208"/>
      <c r="AV106" s="208"/>
      <c r="AW106" s="148"/>
      <c r="AX106" s="208"/>
      <c r="AY106" s="208"/>
      <c r="AZ106" s="208"/>
      <c r="BA106" s="208"/>
    </row>
    <row r="107" spans="1:53" s="70" customFormat="1" x14ac:dyDescent="0.3">
      <c r="A107" s="69"/>
      <c r="B107" s="69"/>
      <c r="C107" s="69"/>
      <c r="D107" s="69"/>
      <c r="E107" s="69"/>
      <c r="F107" s="69"/>
      <c r="G107" s="69"/>
      <c r="H107" s="69"/>
      <c r="I107" s="142"/>
      <c r="J107" s="142"/>
      <c r="K107" s="142"/>
      <c r="L107" s="142"/>
      <c r="M107" s="142"/>
      <c r="N107" s="142"/>
      <c r="O107" s="144"/>
      <c r="P107" s="144"/>
      <c r="R107" s="208"/>
      <c r="S107" s="208"/>
      <c r="T107" s="208"/>
      <c r="U107" s="208"/>
      <c r="V107" s="208"/>
      <c r="W107" s="208"/>
      <c r="X107" s="208"/>
      <c r="Y107" s="208"/>
      <c r="Z107" s="208"/>
      <c r="AA107" s="208"/>
      <c r="AB107" s="208"/>
      <c r="AC107" s="208"/>
      <c r="AD107" s="208"/>
      <c r="AE107" s="208"/>
      <c r="AF107" s="208"/>
      <c r="AG107" s="208"/>
      <c r="AH107" s="208"/>
      <c r="AI107" s="208"/>
      <c r="AJ107" s="208"/>
      <c r="AK107" s="208"/>
      <c r="AL107" s="208"/>
      <c r="AM107" s="208"/>
      <c r="AN107" s="208"/>
      <c r="AO107" s="208"/>
      <c r="AP107" s="208"/>
      <c r="AQ107" s="208"/>
      <c r="AR107" s="208"/>
      <c r="AS107" s="208"/>
      <c r="AT107" s="208"/>
      <c r="AU107" s="208"/>
      <c r="AV107" s="208"/>
      <c r="AW107" s="148"/>
      <c r="AX107" s="208"/>
      <c r="AY107" s="208"/>
      <c r="AZ107" s="208"/>
      <c r="BA107" s="208"/>
    </row>
    <row r="108" spans="1:53" s="70" customFormat="1" x14ac:dyDescent="0.3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142"/>
      <c r="M108" s="142"/>
      <c r="N108" s="142"/>
      <c r="O108" s="144"/>
      <c r="P108" s="144"/>
      <c r="R108" s="208"/>
      <c r="S108" s="208"/>
      <c r="T108" s="208"/>
      <c r="U108" s="208"/>
      <c r="V108" s="208"/>
      <c r="W108" s="208"/>
      <c r="X108" s="208"/>
      <c r="Y108" s="208"/>
      <c r="Z108" s="208"/>
      <c r="AA108" s="208"/>
      <c r="AB108" s="208"/>
      <c r="AC108" s="208"/>
      <c r="AD108" s="208"/>
      <c r="AE108" s="208"/>
      <c r="AF108" s="208"/>
      <c r="AG108" s="208"/>
      <c r="AH108" s="208"/>
      <c r="AI108" s="208"/>
      <c r="AJ108" s="208"/>
      <c r="AK108" s="208"/>
      <c r="AL108" s="208"/>
      <c r="AM108" s="208"/>
      <c r="AN108" s="208"/>
      <c r="AO108" s="208"/>
      <c r="AP108" s="208"/>
      <c r="AQ108" s="208"/>
      <c r="AR108" s="208"/>
      <c r="AS108" s="208"/>
      <c r="AT108" s="208"/>
      <c r="AU108" s="208"/>
      <c r="AV108" s="208"/>
      <c r="AW108" s="148"/>
      <c r="AX108" s="208"/>
      <c r="AY108" s="208"/>
      <c r="AZ108" s="208"/>
      <c r="BA108" s="208"/>
    </row>
    <row r="109" spans="1:53" s="70" customFormat="1" x14ac:dyDescent="0.3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142"/>
      <c r="M109" s="142"/>
      <c r="N109" s="142"/>
      <c r="O109" s="144"/>
      <c r="P109" s="144"/>
      <c r="R109" s="208"/>
      <c r="S109" s="208"/>
      <c r="T109" s="208"/>
      <c r="U109" s="208"/>
      <c r="V109" s="208"/>
      <c r="W109" s="208"/>
      <c r="X109" s="208"/>
      <c r="Y109" s="208"/>
      <c r="Z109" s="208"/>
      <c r="AA109" s="208"/>
      <c r="AB109" s="208"/>
      <c r="AC109" s="208"/>
      <c r="AD109" s="208"/>
      <c r="AE109" s="208"/>
      <c r="AF109" s="208"/>
      <c r="AG109" s="208"/>
      <c r="AH109" s="208"/>
      <c r="AI109" s="208"/>
      <c r="AJ109" s="208"/>
      <c r="AK109" s="208"/>
      <c r="AL109" s="208"/>
      <c r="AM109" s="208"/>
      <c r="AN109" s="208"/>
      <c r="AO109" s="208"/>
      <c r="AP109" s="208"/>
      <c r="AQ109" s="208"/>
      <c r="AR109" s="208"/>
      <c r="AS109" s="208"/>
      <c r="AT109" s="208"/>
      <c r="AU109" s="208"/>
      <c r="AV109" s="208"/>
      <c r="AW109" s="148"/>
      <c r="AX109" s="208"/>
      <c r="AY109" s="208"/>
      <c r="AZ109" s="208"/>
      <c r="BA109" s="208"/>
    </row>
    <row r="110" spans="1:53" s="70" customFormat="1" x14ac:dyDescent="0.3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142"/>
      <c r="M110" s="142"/>
      <c r="N110" s="142"/>
      <c r="O110" s="144"/>
      <c r="P110" s="144"/>
      <c r="R110" s="208"/>
      <c r="S110" s="208"/>
      <c r="T110" s="208"/>
      <c r="U110" s="208"/>
      <c r="V110" s="208"/>
      <c r="W110" s="208"/>
      <c r="X110" s="208"/>
      <c r="Y110" s="208"/>
      <c r="Z110" s="208"/>
      <c r="AA110" s="208"/>
      <c r="AB110" s="208"/>
      <c r="AC110" s="208"/>
      <c r="AD110" s="208"/>
      <c r="AE110" s="208"/>
      <c r="AF110" s="208"/>
      <c r="AG110" s="208"/>
      <c r="AH110" s="208"/>
      <c r="AI110" s="208"/>
      <c r="AJ110" s="208"/>
      <c r="AK110" s="208"/>
      <c r="AL110" s="208"/>
      <c r="AM110" s="208"/>
      <c r="AN110" s="208"/>
      <c r="AO110" s="208"/>
      <c r="AP110" s="208"/>
      <c r="AQ110" s="208"/>
      <c r="AR110" s="208"/>
      <c r="AS110" s="208"/>
      <c r="AT110" s="208"/>
      <c r="AU110" s="208"/>
      <c r="AV110" s="208"/>
      <c r="AW110" s="148"/>
      <c r="AX110" s="208"/>
      <c r="AY110" s="208"/>
      <c r="AZ110" s="208"/>
      <c r="BA110" s="208"/>
    </row>
    <row r="111" spans="1:53" s="70" customFormat="1" x14ac:dyDescent="0.3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142"/>
      <c r="M111" s="142"/>
      <c r="N111" s="142"/>
      <c r="O111" s="144"/>
      <c r="P111" s="144"/>
      <c r="R111" s="208"/>
      <c r="S111" s="208"/>
      <c r="T111" s="208"/>
      <c r="U111" s="208"/>
      <c r="V111" s="208"/>
      <c r="W111" s="208"/>
      <c r="X111" s="208"/>
      <c r="Y111" s="208"/>
      <c r="Z111" s="208"/>
      <c r="AA111" s="208"/>
      <c r="AB111" s="208"/>
      <c r="AC111" s="208"/>
      <c r="AD111" s="208"/>
      <c r="AE111" s="208"/>
      <c r="AF111" s="208"/>
      <c r="AG111" s="208"/>
      <c r="AH111" s="208"/>
      <c r="AI111" s="208"/>
      <c r="AJ111" s="208"/>
      <c r="AK111" s="208"/>
      <c r="AL111" s="208"/>
      <c r="AM111" s="208"/>
      <c r="AN111" s="208"/>
      <c r="AO111" s="208"/>
      <c r="AP111" s="208"/>
      <c r="AQ111" s="208"/>
      <c r="AR111" s="208"/>
      <c r="AS111" s="208"/>
      <c r="AT111" s="208"/>
      <c r="AU111" s="208"/>
      <c r="AV111" s="208"/>
      <c r="AW111" s="148"/>
      <c r="AX111" s="208"/>
      <c r="AY111" s="208"/>
      <c r="AZ111" s="208"/>
      <c r="BA111" s="208"/>
    </row>
    <row r="112" spans="1:53" s="70" customFormat="1" x14ac:dyDescent="0.3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142"/>
      <c r="M112" s="142"/>
      <c r="N112" s="142"/>
      <c r="O112" s="144"/>
      <c r="P112" s="144"/>
      <c r="R112" s="208"/>
      <c r="S112" s="208"/>
      <c r="T112" s="208"/>
      <c r="U112" s="208"/>
      <c r="V112" s="208"/>
      <c r="W112" s="208"/>
      <c r="X112" s="208"/>
      <c r="Y112" s="208"/>
      <c r="Z112" s="208"/>
      <c r="AA112" s="208"/>
      <c r="AB112" s="208"/>
      <c r="AC112" s="208"/>
      <c r="AD112" s="208"/>
      <c r="AE112" s="208"/>
      <c r="AF112" s="208"/>
      <c r="AG112" s="208"/>
      <c r="AH112" s="208"/>
      <c r="AI112" s="208"/>
      <c r="AJ112" s="208"/>
      <c r="AK112" s="208"/>
      <c r="AL112" s="208"/>
      <c r="AM112" s="208"/>
      <c r="AN112" s="208"/>
      <c r="AO112" s="208"/>
      <c r="AP112" s="208"/>
      <c r="AQ112" s="208"/>
      <c r="AR112" s="208"/>
      <c r="AS112" s="208"/>
      <c r="AT112" s="208"/>
      <c r="AU112" s="208"/>
      <c r="AV112" s="208"/>
      <c r="AW112" s="148"/>
      <c r="AX112" s="208"/>
      <c r="AY112" s="208"/>
      <c r="AZ112" s="208"/>
      <c r="BA112" s="208"/>
    </row>
    <row r="113" spans="1:53" s="70" customFormat="1" x14ac:dyDescent="0.3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142"/>
      <c r="M113" s="142"/>
      <c r="N113" s="142"/>
      <c r="O113" s="144"/>
      <c r="P113" s="144"/>
      <c r="R113" s="208"/>
      <c r="S113" s="208"/>
      <c r="T113" s="208"/>
      <c r="U113" s="208"/>
      <c r="V113" s="208"/>
      <c r="W113" s="208"/>
      <c r="X113" s="208"/>
      <c r="Y113" s="208"/>
      <c r="Z113" s="208"/>
      <c r="AA113" s="208"/>
      <c r="AB113" s="208"/>
      <c r="AC113" s="208"/>
      <c r="AD113" s="208"/>
      <c r="AE113" s="208"/>
      <c r="AF113" s="208"/>
      <c r="AG113" s="208"/>
      <c r="AH113" s="208"/>
      <c r="AI113" s="208"/>
      <c r="AJ113" s="208"/>
      <c r="AK113" s="208"/>
      <c r="AL113" s="208"/>
      <c r="AM113" s="208"/>
      <c r="AN113" s="208"/>
      <c r="AO113" s="208"/>
      <c r="AP113" s="208"/>
      <c r="AQ113" s="208"/>
      <c r="AR113" s="208"/>
      <c r="AS113" s="208"/>
      <c r="AT113" s="208"/>
      <c r="AU113" s="208"/>
      <c r="AV113" s="208"/>
      <c r="AW113" s="148"/>
      <c r="AX113" s="208"/>
      <c r="AY113" s="208"/>
      <c r="AZ113" s="208"/>
      <c r="BA113" s="208"/>
    </row>
    <row r="114" spans="1:53" s="70" customFormat="1" x14ac:dyDescent="0.3">
      <c r="F114" s="69"/>
      <c r="G114" s="69"/>
      <c r="H114" s="69"/>
      <c r="I114" s="69"/>
      <c r="J114" s="69"/>
      <c r="K114" s="69"/>
      <c r="L114" s="142"/>
      <c r="M114" s="142"/>
      <c r="N114" s="142"/>
      <c r="O114" s="144"/>
      <c r="P114" s="144"/>
      <c r="R114" s="208"/>
      <c r="S114" s="208"/>
      <c r="T114" s="208"/>
      <c r="U114" s="208"/>
      <c r="V114" s="208"/>
      <c r="W114" s="208"/>
      <c r="X114" s="208"/>
      <c r="Y114" s="208"/>
      <c r="Z114" s="208"/>
      <c r="AA114" s="208"/>
      <c r="AB114" s="208"/>
      <c r="AC114" s="208"/>
      <c r="AD114" s="208"/>
      <c r="AE114" s="208"/>
      <c r="AF114" s="208"/>
      <c r="AG114" s="208"/>
      <c r="AH114" s="208"/>
      <c r="AI114" s="208"/>
      <c r="AJ114" s="208"/>
      <c r="AK114" s="208"/>
      <c r="AL114" s="208"/>
      <c r="AM114" s="208"/>
      <c r="AN114" s="208"/>
      <c r="AO114" s="208"/>
      <c r="AP114" s="208"/>
      <c r="AQ114" s="208"/>
      <c r="AR114" s="208"/>
      <c r="AS114" s="208"/>
      <c r="AT114" s="208"/>
      <c r="AU114" s="208"/>
      <c r="AV114" s="208"/>
      <c r="AW114" s="148"/>
      <c r="AX114" s="208"/>
      <c r="AY114" s="208"/>
      <c r="AZ114" s="208"/>
      <c r="BA114" s="208"/>
    </row>
    <row r="115" spans="1:53" s="70" customFormat="1" x14ac:dyDescent="0.3">
      <c r="I115" s="69"/>
      <c r="J115" s="69"/>
      <c r="K115" s="69"/>
      <c r="L115" s="142"/>
      <c r="M115" s="142"/>
      <c r="N115" s="142"/>
      <c r="O115" s="144"/>
      <c r="P115" s="144"/>
      <c r="R115" s="208"/>
      <c r="S115" s="208"/>
      <c r="T115" s="208"/>
      <c r="U115" s="208"/>
      <c r="V115" s="208"/>
      <c r="W115" s="208"/>
      <c r="X115" s="208"/>
      <c r="Y115" s="208"/>
      <c r="Z115" s="208"/>
      <c r="AA115" s="208"/>
      <c r="AB115" s="208"/>
      <c r="AC115" s="208"/>
      <c r="AD115" s="208"/>
      <c r="AE115" s="208"/>
      <c r="AF115" s="208"/>
      <c r="AG115" s="208"/>
      <c r="AH115" s="208"/>
      <c r="AI115" s="208"/>
      <c r="AJ115" s="208"/>
      <c r="AK115" s="208"/>
      <c r="AL115" s="208"/>
      <c r="AM115" s="208"/>
      <c r="AN115" s="208"/>
      <c r="AO115" s="208"/>
      <c r="AP115" s="208"/>
      <c r="AQ115" s="208"/>
      <c r="AR115" s="208"/>
      <c r="AS115" s="208"/>
      <c r="AT115" s="208"/>
      <c r="AU115" s="208"/>
      <c r="AV115" s="208"/>
      <c r="AW115" s="148"/>
      <c r="AX115" s="208"/>
      <c r="AY115" s="208"/>
      <c r="AZ115" s="208"/>
      <c r="BA115" s="208"/>
    </row>
    <row r="116" spans="1:53" s="70" customFormat="1" x14ac:dyDescent="0.3">
      <c r="L116" s="142"/>
      <c r="M116" s="142"/>
      <c r="N116" s="142"/>
      <c r="O116" s="144"/>
      <c r="P116" s="144"/>
      <c r="R116" s="208"/>
      <c r="S116" s="208"/>
      <c r="T116" s="208"/>
      <c r="U116" s="208"/>
      <c r="V116" s="208"/>
      <c r="W116" s="208"/>
      <c r="X116" s="208"/>
      <c r="Y116" s="208"/>
      <c r="Z116" s="208"/>
      <c r="AA116" s="208"/>
      <c r="AB116" s="208"/>
      <c r="AC116" s="208"/>
      <c r="AD116" s="208"/>
      <c r="AE116" s="208"/>
      <c r="AF116" s="208"/>
      <c r="AG116" s="208"/>
      <c r="AH116" s="208"/>
      <c r="AI116" s="208"/>
      <c r="AJ116" s="208"/>
      <c r="AK116" s="208"/>
      <c r="AL116" s="208"/>
      <c r="AM116" s="208"/>
      <c r="AN116" s="208"/>
      <c r="AO116" s="208"/>
      <c r="AP116" s="208"/>
      <c r="AQ116" s="208"/>
      <c r="AR116" s="208"/>
      <c r="AS116" s="208"/>
      <c r="AT116" s="208"/>
      <c r="AU116" s="208"/>
      <c r="AV116" s="208"/>
      <c r="AW116" s="148"/>
      <c r="AX116" s="208"/>
      <c r="AY116" s="208"/>
      <c r="AZ116" s="208"/>
      <c r="BA116" s="208"/>
    </row>
    <row r="117" spans="1:53" s="70" customFormat="1" x14ac:dyDescent="0.3">
      <c r="L117" s="142"/>
      <c r="M117" s="142"/>
      <c r="N117" s="142"/>
      <c r="O117" s="144"/>
      <c r="P117" s="144"/>
      <c r="R117" s="208"/>
      <c r="S117" s="208"/>
      <c r="T117" s="208"/>
      <c r="U117" s="208"/>
      <c r="V117" s="208"/>
      <c r="W117" s="208"/>
      <c r="X117" s="208"/>
      <c r="Y117" s="208"/>
      <c r="Z117" s="208"/>
      <c r="AA117" s="208"/>
      <c r="AB117" s="208"/>
      <c r="AC117" s="208"/>
      <c r="AD117" s="208"/>
      <c r="AE117" s="208"/>
      <c r="AF117" s="208"/>
      <c r="AG117" s="208"/>
      <c r="AH117" s="208"/>
      <c r="AI117" s="208"/>
      <c r="AJ117" s="208"/>
      <c r="AK117" s="208"/>
      <c r="AL117" s="208"/>
      <c r="AM117" s="208"/>
      <c r="AN117" s="208"/>
      <c r="AO117" s="208"/>
      <c r="AP117" s="208"/>
      <c r="AQ117" s="208"/>
      <c r="AR117" s="208"/>
      <c r="AS117" s="208"/>
      <c r="AT117" s="208"/>
      <c r="AU117" s="208"/>
      <c r="AV117" s="208"/>
      <c r="AW117" s="148"/>
      <c r="AX117" s="208"/>
      <c r="AY117" s="208"/>
      <c r="AZ117" s="208"/>
      <c r="BA117" s="208"/>
    </row>
    <row r="118" spans="1:53" s="70" customFormat="1" x14ac:dyDescent="0.3">
      <c r="L118" s="142"/>
      <c r="M118" s="142"/>
      <c r="N118" s="142"/>
      <c r="O118" s="144"/>
      <c r="P118" s="144"/>
      <c r="R118" s="208"/>
      <c r="S118" s="208"/>
      <c r="T118" s="208"/>
      <c r="U118" s="208"/>
      <c r="V118" s="208"/>
      <c r="W118" s="208"/>
      <c r="X118" s="208"/>
      <c r="Y118" s="208"/>
      <c r="Z118" s="208"/>
      <c r="AA118" s="208"/>
      <c r="AB118" s="208"/>
      <c r="AC118" s="208"/>
      <c r="AD118" s="208"/>
      <c r="AE118" s="208"/>
      <c r="AF118" s="208"/>
      <c r="AG118" s="208"/>
      <c r="AH118" s="208"/>
      <c r="AI118" s="208"/>
      <c r="AJ118" s="208"/>
      <c r="AK118" s="208"/>
      <c r="AL118" s="208"/>
      <c r="AM118" s="208"/>
      <c r="AN118" s="208"/>
      <c r="AO118" s="208"/>
      <c r="AP118" s="208"/>
      <c r="AQ118" s="208"/>
      <c r="AR118" s="208"/>
      <c r="AS118" s="208"/>
      <c r="AT118" s="208"/>
      <c r="AU118" s="208"/>
      <c r="AV118" s="208"/>
      <c r="AW118" s="148"/>
      <c r="AX118" s="208"/>
      <c r="AY118" s="208"/>
      <c r="AZ118" s="208"/>
      <c r="BA118" s="208"/>
    </row>
    <row r="119" spans="1:53" s="70" customFormat="1" x14ac:dyDescent="0.3">
      <c r="L119" s="142"/>
      <c r="M119" s="142"/>
      <c r="N119" s="142"/>
      <c r="O119" s="144"/>
      <c r="P119" s="144"/>
      <c r="R119" s="208"/>
      <c r="S119" s="208"/>
      <c r="T119" s="208"/>
      <c r="U119" s="208"/>
      <c r="V119" s="208"/>
      <c r="W119" s="208"/>
      <c r="X119" s="208"/>
      <c r="Y119" s="208"/>
      <c r="Z119" s="208"/>
      <c r="AA119" s="208"/>
      <c r="AB119" s="208"/>
      <c r="AC119" s="208"/>
      <c r="AD119" s="208"/>
      <c r="AE119" s="208"/>
      <c r="AF119" s="208"/>
      <c r="AG119" s="208"/>
      <c r="AH119" s="208"/>
      <c r="AI119" s="208"/>
      <c r="AJ119" s="208"/>
      <c r="AK119" s="208"/>
      <c r="AL119" s="208"/>
      <c r="AM119" s="208"/>
      <c r="AN119" s="208"/>
      <c r="AO119" s="208"/>
      <c r="AP119" s="208"/>
      <c r="AQ119" s="208"/>
      <c r="AR119" s="208"/>
      <c r="AS119" s="208"/>
      <c r="AT119" s="208"/>
      <c r="AU119" s="208"/>
      <c r="AV119" s="208"/>
      <c r="AW119" s="148"/>
      <c r="AX119" s="208"/>
      <c r="AY119" s="208"/>
      <c r="AZ119" s="208"/>
      <c r="BA119" s="208"/>
    </row>
    <row r="120" spans="1:53" s="70" customFormat="1" x14ac:dyDescent="0.3">
      <c r="L120" s="142"/>
      <c r="M120" s="142"/>
      <c r="N120" s="142"/>
      <c r="O120" s="144"/>
      <c r="P120" s="144"/>
      <c r="R120" s="208"/>
      <c r="S120" s="208"/>
      <c r="T120" s="208"/>
      <c r="U120" s="208"/>
      <c r="V120" s="208"/>
      <c r="W120" s="208"/>
      <c r="X120" s="208"/>
      <c r="Y120" s="208"/>
      <c r="Z120" s="208"/>
      <c r="AA120" s="208"/>
      <c r="AB120" s="208"/>
      <c r="AC120" s="208"/>
      <c r="AD120" s="208"/>
      <c r="AE120" s="208"/>
      <c r="AF120" s="208"/>
      <c r="AG120" s="208"/>
      <c r="AH120" s="208"/>
      <c r="AI120" s="208"/>
      <c r="AJ120" s="208"/>
      <c r="AK120" s="208"/>
      <c r="AL120" s="208"/>
      <c r="AM120" s="208"/>
      <c r="AN120" s="208"/>
      <c r="AO120" s="208"/>
      <c r="AP120" s="208"/>
      <c r="AQ120" s="208"/>
      <c r="AR120" s="208"/>
      <c r="AS120" s="208"/>
      <c r="AT120" s="208"/>
      <c r="AU120" s="208"/>
      <c r="AV120" s="208"/>
      <c r="AW120" s="148"/>
      <c r="AX120" s="208"/>
      <c r="AY120" s="208"/>
      <c r="AZ120" s="208"/>
      <c r="BA120" s="208"/>
    </row>
    <row r="121" spans="1:53" s="70" customFormat="1" x14ac:dyDescent="0.3">
      <c r="L121" s="142"/>
      <c r="M121" s="142"/>
      <c r="N121" s="142"/>
      <c r="O121" s="144"/>
      <c r="P121" s="144"/>
      <c r="R121" s="208"/>
      <c r="S121" s="208"/>
      <c r="T121" s="208"/>
      <c r="U121" s="208"/>
      <c r="V121" s="208"/>
      <c r="W121" s="208"/>
      <c r="X121" s="208"/>
      <c r="Y121" s="208"/>
      <c r="Z121" s="208"/>
      <c r="AA121" s="208"/>
      <c r="AB121" s="208"/>
      <c r="AC121" s="208"/>
      <c r="AD121" s="208"/>
      <c r="AE121" s="208"/>
      <c r="AF121" s="208"/>
      <c r="AG121" s="208"/>
      <c r="AH121" s="208"/>
      <c r="AI121" s="208"/>
      <c r="AJ121" s="208"/>
      <c r="AK121" s="208"/>
      <c r="AL121" s="208"/>
      <c r="AM121" s="208"/>
      <c r="AN121" s="208"/>
      <c r="AO121" s="208"/>
      <c r="AP121" s="208"/>
      <c r="AQ121" s="208"/>
      <c r="AR121" s="208"/>
      <c r="AS121" s="208"/>
      <c r="AT121" s="208"/>
      <c r="AU121" s="208"/>
      <c r="AV121" s="208"/>
      <c r="AW121" s="148"/>
      <c r="AX121" s="208"/>
      <c r="AY121" s="208"/>
      <c r="AZ121" s="208"/>
      <c r="BA121" s="208"/>
    </row>
    <row r="122" spans="1:53" s="70" customFormat="1" x14ac:dyDescent="0.3">
      <c r="L122" s="142"/>
      <c r="M122" s="142"/>
      <c r="N122" s="142"/>
      <c r="O122" s="144"/>
      <c r="P122" s="144"/>
      <c r="R122" s="208"/>
      <c r="S122" s="208"/>
      <c r="T122" s="208"/>
      <c r="U122" s="208"/>
      <c r="V122" s="208"/>
      <c r="W122" s="208"/>
      <c r="X122" s="208"/>
      <c r="Y122" s="208"/>
      <c r="Z122" s="208"/>
      <c r="AA122" s="208"/>
      <c r="AB122" s="208"/>
      <c r="AC122" s="208"/>
      <c r="AD122" s="208"/>
      <c r="AE122" s="208"/>
      <c r="AF122" s="208"/>
      <c r="AG122" s="208"/>
      <c r="AH122" s="208"/>
      <c r="AI122" s="208"/>
      <c r="AJ122" s="208"/>
      <c r="AK122" s="208"/>
      <c r="AL122" s="208"/>
      <c r="AM122" s="208"/>
      <c r="AN122" s="208"/>
      <c r="AO122" s="208"/>
      <c r="AP122" s="208"/>
      <c r="AQ122" s="208"/>
      <c r="AR122" s="208"/>
      <c r="AS122" s="208"/>
      <c r="AT122" s="208"/>
      <c r="AU122" s="208"/>
      <c r="AV122" s="208"/>
      <c r="AW122" s="148"/>
      <c r="AX122" s="208"/>
      <c r="AY122" s="208"/>
      <c r="AZ122" s="208"/>
      <c r="BA122" s="208"/>
    </row>
    <row r="123" spans="1:53" s="70" customFormat="1" x14ac:dyDescent="0.3">
      <c r="L123" s="142"/>
      <c r="M123" s="142"/>
      <c r="N123" s="142"/>
      <c r="O123" s="144"/>
      <c r="P123" s="144"/>
      <c r="R123" s="208"/>
      <c r="S123" s="208"/>
      <c r="T123" s="208"/>
      <c r="U123" s="208"/>
      <c r="V123" s="208"/>
      <c r="W123" s="208"/>
      <c r="X123" s="208"/>
      <c r="Y123" s="208"/>
      <c r="Z123" s="208"/>
      <c r="AA123" s="208"/>
      <c r="AB123" s="208"/>
      <c r="AC123" s="208"/>
      <c r="AD123" s="208"/>
      <c r="AE123" s="208"/>
      <c r="AF123" s="208"/>
      <c r="AG123" s="208"/>
      <c r="AH123" s="208"/>
      <c r="AI123" s="208"/>
      <c r="AJ123" s="208"/>
      <c r="AK123" s="208"/>
      <c r="AL123" s="208"/>
      <c r="AM123" s="208"/>
      <c r="AN123" s="208"/>
      <c r="AO123" s="208"/>
      <c r="AP123" s="208"/>
      <c r="AQ123" s="208"/>
      <c r="AR123" s="208"/>
      <c r="AS123" s="208"/>
      <c r="AT123" s="208"/>
      <c r="AU123" s="208"/>
      <c r="AV123" s="208"/>
      <c r="AW123" s="148"/>
      <c r="AX123" s="208"/>
      <c r="AY123" s="208"/>
      <c r="AZ123" s="208"/>
      <c r="BA123" s="208"/>
    </row>
    <row r="124" spans="1:53" s="70" customFormat="1" x14ac:dyDescent="0.3">
      <c r="L124" s="142"/>
      <c r="M124" s="142"/>
      <c r="N124" s="142"/>
      <c r="O124" s="144"/>
      <c r="P124" s="144"/>
      <c r="R124" s="208"/>
      <c r="S124" s="208"/>
      <c r="T124" s="208"/>
      <c r="U124" s="208"/>
      <c r="V124" s="208"/>
      <c r="W124" s="208"/>
      <c r="X124" s="208"/>
      <c r="Y124" s="208"/>
      <c r="Z124" s="208"/>
      <c r="AA124" s="208"/>
      <c r="AB124" s="208"/>
      <c r="AC124" s="208"/>
      <c r="AD124" s="208"/>
      <c r="AE124" s="208"/>
      <c r="AF124" s="208"/>
      <c r="AG124" s="208"/>
      <c r="AH124" s="208"/>
      <c r="AI124" s="208"/>
      <c r="AJ124" s="208"/>
      <c r="AK124" s="208"/>
      <c r="AL124" s="208"/>
      <c r="AM124" s="208"/>
      <c r="AN124" s="208"/>
      <c r="AO124" s="208"/>
      <c r="AP124" s="208"/>
      <c r="AQ124" s="208"/>
      <c r="AR124" s="208"/>
      <c r="AS124" s="208"/>
      <c r="AT124" s="208"/>
      <c r="AU124" s="208"/>
      <c r="AV124" s="208"/>
      <c r="AW124" s="148"/>
      <c r="AX124" s="208"/>
      <c r="AY124" s="208"/>
      <c r="AZ124" s="208"/>
      <c r="BA124" s="208"/>
    </row>
    <row r="125" spans="1:53" s="70" customFormat="1" x14ac:dyDescent="0.3">
      <c r="L125" s="142"/>
      <c r="M125" s="142"/>
      <c r="N125" s="142"/>
      <c r="O125" s="144"/>
      <c r="P125" s="144"/>
      <c r="R125" s="208"/>
      <c r="S125" s="208"/>
      <c r="T125" s="208"/>
      <c r="U125" s="208"/>
      <c r="V125" s="208"/>
      <c r="W125" s="208"/>
      <c r="X125" s="208"/>
      <c r="Y125" s="208"/>
      <c r="Z125" s="208"/>
      <c r="AA125" s="208"/>
      <c r="AB125" s="208"/>
      <c r="AC125" s="208"/>
      <c r="AD125" s="208"/>
      <c r="AE125" s="208"/>
      <c r="AF125" s="208"/>
      <c r="AG125" s="208"/>
      <c r="AH125" s="208"/>
      <c r="AI125" s="208"/>
      <c r="AJ125" s="208"/>
      <c r="AK125" s="208"/>
      <c r="AL125" s="208"/>
      <c r="AM125" s="208"/>
      <c r="AN125" s="208"/>
      <c r="AO125" s="208"/>
      <c r="AP125" s="208"/>
      <c r="AQ125" s="208"/>
      <c r="AR125" s="208"/>
      <c r="AS125" s="208"/>
      <c r="AT125" s="208"/>
      <c r="AU125" s="208"/>
      <c r="AV125" s="208"/>
      <c r="AW125" s="148"/>
      <c r="AX125" s="208"/>
      <c r="AY125" s="208"/>
      <c r="AZ125" s="208"/>
      <c r="BA125" s="208"/>
    </row>
    <row r="126" spans="1:53" s="70" customFormat="1" x14ac:dyDescent="0.3">
      <c r="L126" s="142"/>
      <c r="M126" s="142"/>
      <c r="N126" s="142"/>
      <c r="O126" s="144"/>
      <c r="P126" s="144"/>
      <c r="R126" s="208"/>
      <c r="S126" s="208"/>
      <c r="T126" s="208"/>
      <c r="U126" s="208"/>
      <c r="V126" s="208"/>
      <c r="W126" s="208"/>
      <c r="X126" s="208"/>
      <c r="Y126" s="208"/>
      <c r="Z126" s="208"/>
      <c r="AA126" s="208"/>
      <c r="AB126" s="208"/>
      <c r="AC126" s="208"/>
      <c r="AD126" s="208"/>
      <c r="AE126" s="208"/>
      <c r="AF126" s="208"/>
      <c r="AG126" s="208"/>
      <c r="AH126" s="208"/>
      <c r="AI126" s="208"/>
      <c r="AJ126" s="208"/>
      <c r="AK126" s="208"/>
      <c r="AL126" s="208"/>
      <c r="AM126" s="208"/>
      <c r="AN126" s="208"/>
      <c r="AO126" s="208"/>
      <c r="AP126" s="208"/>
      <c r="AQ126" s="208"/>
      <c r="AR126" s="208"/>
      <c r="AS126" s="208"/>
      <c r="AT126" s="208"/>
      <c r="AU126" s="208"/>
      <c r="AV126" s="208"/>
      <c r="AW126" s="148"/>
      <c r="AX126" s="208"/>
      <c r="AY126" s="208"/>
      <c r="AZ126" s="208"/>
      <c r="BA126" s="208"/>
    </row>
    <row r="127" spans="1:53" s="70" customFormat="1" x14ac:dyDescent="0.3">
      <c r="L127" s="142"/>
      <c r="M127" s="142"/>
      <c r="N127" s="142"/>
      <c r="O127" s="144"/>
      <c r="P127" s="144"/>
      <c r="R127" s="208"/>
      <c r="S127" s="208"/>
      <c r="T127" s="208"/>
      <c r="U127" s="208"/>
      <c r="V127" s="208"/>
      <c r="W127" s="208"/>
      <c r="X127" s="208"/>
      <c r="Y127" s="208"/>
      <c r="Z127" s="208"/>
      <c r="AA127" s="208"/>
      <c r="AB127" s="208"/>
      <c r="AC127" s="208"/>
      <c r="AD127" s="208"/>
      <c r="AE127" s="208"/>
      <c r="AF127" s="208"/>
      <c r="AG127" s="208"/>
      <c r="AH127" s="208"/>
      <c r="AI127" s="208"/>
      <c r="AJ127" s="208"/>
      <c r="AK127" s="208"/>
      <c r="AL127" s="208"/>
      <c r="AM127" s="208"/>
      <c r="AN127" s="208"/>
      <c r="AO127" s="208"/>
      <c r="AP127" s="208"/>
      <c r="AQ127" s="208"/>
      <c r="AR127" s="208"/>
      <c r="AS127" s="208"/>
      <c r="AT127" s="208"/>
      <c r="AU127" s="208"/>
      <c r="AV127" s="208"/>
      <c r="AW127" s="148"/>
      <c r="AX127" s="208"/>
      <c r="AY127" s="208"/>
      <c r="AZ127" s="208"/>
      <c r="BA127" s="208"/>
    </row>
    <row r="128" spans="1:53" s="70" customFormat="1" x14ac:dyDescent="0.3">
      <c r="L128" s="142"/>
      <c r="M128" s="142"/>
      <c r="N128" s="142"/>
      <c r="O128" s="144"/>
      <c r="P128" s="144"/>
      <c r="R128" s="208"/>
      <c r="S128" s="208"/>
      <c r="T128" s="208"/>
      <c r="U128" s="208"/>
      <c r="V128" s="208"/>
      <c r="W128" s="208"/>
      <c r="X128" s="208"/>
      <c r="Y128" s="208"/>
      <c r="Z128" s="208"/>
      <c r="AA128" s="208"/>
      <c r="AB128" s="208"/>
      <c r="AC128" s="208"/>
      <c r="AD128" s="208"/>
      <c r="AE128" s="208"/>
      <c r="AF128" s="208"/>
      <c r="AG128" s="208"/>
      <c r="AH128" s="208"/>
      <c r="AI128" s="208"/>
      <c r="AJ128" s="208"/>
      <c r="AK128" s="208"/>
      <c r="AL128" s="208"/>
      <c r="AM128" s="208"/>
      <c r="AN128" s="208"/>
      <c r="AO128" s="208"/>
      <c r="AP128" s="208"/>
      <c r="AQ128" s="208"/>
      <c r="AR128" s="208"/>
      <c r="AS128" s="208"/>
      <c r="AT128" s="208"/>
      <c r="AU128" s="208"/>
      <c r="AV128" s="208"/>
      <c r="AW128" s="148"/>
      <c r="AX128" s="208"/>
      <c r="AY128" s="208"/>
      <c r="AZ128" s="208"/>
      <c r="BA128" s="208"/>
    </row>
    <row r="129" spans="12:53" s="70" customFormat="1" x14ac:dyDescent="0.3">
      <c r="L129" s="142"/>
      <c r="M129" s="142"/>
      <c r="N129" s="142"/>
      <c r="O129" s="144"/>
      <c r="P129" s="144"/>
      <c r="R129" s="208"/>
      <c r="S129" s="208"/>
      <c r="T129" s="208"/>
      <c r="U129" s="208"/>
      <c r="V129" s="208"/>
      <c r="W129" s="208"/>
      <c r="X129" s="208"/>
      <c r="Y129" s="208"/>
      <c r="Z129" s="208"/>
      <c r="AA129" s="208"/>
      <c r="AB129" s="208"/>
      <c r="AC129" s="208"/>
      <c r="AD129" s="208"/>
      <c r="AE129" s="208"/>
      <c r="AF129" s="208"/>
      <c r="AG129" s="208"/>
      <c r="AH129" s="208"/>
      <c r="AI129" s="208"/>
      <c r="AJ129" s="208"/>
      <c r="AK129" s="208"/>
      <c r="AL129" s="208"/>
      <c r="AM129" s="208"/>
      <c r="AN129" s="208"/>
      <c r="AO129" s="208"/>
      <c r="AP129" s="208"/>
      <c r="AQ129" s="208"/>
      <c r="AR129" s="208"/>
      <c r="AS129" s="208"/>
      <c r="AT129" s="208"/>
      <c r="AU129" s="208"/>
      <c r="AV129" s="208"/>
      <c r="AW129" s="148"/>
      <c r="AX129" s="208"/>
      <c r="AY129" s="208"/>
      <c r="AZ129" s="208"/>
      <c r="BA129" s="208"/>
    </row>
    <row r="130" spans="12:53" s="70" customFormat="1" x14ac:dyDescent="0.3">
      <c r="L130" s="142"/>
      <c r="M130" s="142"/>
      <c r="N130" s="142"/>
      <c r="O130" s="144"/>
      <c r="P130" s="144"/>
      <c r="R130" s="208"/>
      <c r="S130" s="208"/>
      <c r="T130" s="208"/>
      <c r="U130" s="208"/>
      <c r="V130" s="208"/>
      <c r="W130" s="208"/>
      <c r="X130" s="208"/>
      <c r="Y130" s="208"/>
      <c r="Z130" s="208"/>
      <c r="AA130" s="208"/>
      <c r="AB130" s="208"/>
      <c r="AC130" s="208"/>
      <c r="AD130" s="208"/>
      <c r="AE130" s="208"/>
      <c r="AF130" s="208"/>
      <c r="AG130" s="208"/>
      <c r="AH130" s="208"/>
      <c r="AI130" s="208"/>
      <c r="AJ130" s="208"/>
      <c r="AK130" s="208"/>
      <c r="AL130" s="208"/>
      <c r="AM130" s="208"/>
      <c r="AN130" s="208"/>
      <c r="AO130" s="208"/>
      <c r="AP130" s="208"/>
      <c r="AQ130" s="208"/>
      <c r="AR130" s="208"/>
      <c r="AS130" s="208"/>
      <c r="AT130" s="208"/>
      <c r="AU130" s="208"/>
      <c r="AV130" s="208"/>
      <c r="AW130" s="148"/>
      <c r="AX130" s="208"/>
      <c r="AY130" s="208"/>
      <c r="AZ130" s="208"/>
      <c r="BA130" s="208"/>
    </row>
    <row r="131" spans="12:53" s="70" customFormat="1" x14ac:dyDescent="0.3">
      <c r="L131" s="142"/>
      <c r="M131" s="142"/>
      <c r="N131" s="142"/>
      <c r="O131" s="144"/>
      <c r="P131" s="144"/>
      <c r="R131" s="208"/>
      <c r="S131" s="208"/>
      <c r="T131" s="208"/>
      <c r="U131" s="208"/>
      <c r="V131" s="208"/>
      <c r="W131" s="208"/>
      <c r="X131" s="208"/>
      <c r="Y131" s="208"/>
      <c r="Z131" s="208"/>
      <c r="AA131" s="208"/>
      <c r="AB131" s="208"/>
      <c r="AC131" s="208"/>
      <c r="AD131" s="208"/>
      <c r="AE131" s="208"/>
      <c r="AF131" s="208"/>
      <c r="AG131" s="208"/>
      <c r="AH131" s="208"/>
      <c r="AI131" s="208"/>
      <c r="AJ131" s="208"/>
      <c r="AK131" s="208"/>
      <c r="AL131" s="208"/>
      <c r="AM131" s="208"/>
      <c r="AN131" s="208"/>
      <c r="AO131" s="208"/>
      <c r="AP131" s="208"/>
      <c r="AQ131" s="208"/>
      <c r="AR131" s="208"/>
      <c r="AS131" s="208"/>
      <c r="AT131" s="208"/>
      <c r="AU131" s="208"/>
      <c r="AV131" s="208"/>
      <c r="AW131" s="148"/>
      <c r="AX131" s="208"/>
      <c r="AY131" s="208"/>
      <c r="AZ131" s="208"/>
      <c r="BA131" s="208"/>
    </row>
    <row r="132" spans="12:53" s="70" customFormat="1" x14ac:dyDescent="0.3">
      <c r="L132" s="142"/>
      <c r="M132" s="142"/>
      <c r="N132" s="142"/>
      <c r="O132" s="144"/>
      <c r="P132" s="144"/>
      <c r="R132" s="208"/>
      <c r="S132" s="208"/>
      <c r="T132" s="208"/>
      <c r="U132" s="208"/>
      <c r="V132" s="208"/>
      <c r="W132" s="208"/>
      <c r="X132" s="208"/>
      <c r="Y132" s="208"/>
      <c r="Z132" s="208"/>
      <c r="AA132" s="208"/>
      <c r="AB132" s="208"/>
      <c r="AC132" s="208"/>
      <c r="AD132" s="208"/>
      <c r="AE132" s="208"/>
      <c r="AF132" s="208"/>
      <c r="AG132" s="208"/>
      <c r="AH132" s="208"/>
      <c r="AI132" s="208"/>
      <c r="AJ132" s="208"/>
      <c r="AK132" s="208"/>
      <c r="AL132" s="208"/>
      <c r="AM132" s="208"/>
      <c r="AN132" s="208"/>
      <c r="AO132" s="208"/>
      <c r="AP132" s="208"/>
      <c r="AQ132" s="208"/>
      <c r="AR132" s="208"/>
      <c r="AS132" s="208"/>
      <c r="AT132" s="208"/>
      <c r="AU132" s="208"/>
      <c r="AV132" s="208"/>
      <c r="AW132" s="148"/>
      <c r="AX132" s="208"/>
      <c r="AY132" s="208"/>
      <c r="AZ132" s="208"/>
      <c r="BA132" s="208"/>
    </row>
    <row r="133" spans="12:53" s="70" customFormat="1" x14ac:dyDescent="0.3">
      <c r="L133" s="142"/>
      <c r="M133" s="142"/>
      <c r="N133" s="142"/>
      <c r="O133" s="144"/>
      <c r="P133" s="144"/>
      <c r="R133" s="208"/>
      <c r="S133" s="208"/>
      <c r="T133" s="208"/>
      <c r="U133" s="208"/>
      <c r="V133" s="208"/>
      <c r="W133" s="208"/>
      <c r="X133" s="208"/>
      <c r="Y133" s="208"/>
      <c r="Z133" s="208"/>
      <c r="AA133" s="208"/>
      <c r="AB133" s="208"/>
      <c r="AC133" s="208"/>
      <c r="AD133" s="208"/>
      <c r="AE133" s="208"/>
      <c r="AF133" s="208"/>
      <c r="AG133" s="208"/>
      <c r="AH133" s="208"/>
      <c r="AI133" s="208"/>
      <c r="AJ133" s="208"/>
      <c r="AK133" s="208"/>
      <c r="AL133" s="208"/>
      <c r="AM133" s="208"/>
      <c r="AN133" s="208"/>
      <c r="AO133" s="208"/>
      <c r="AP133" s="208"/>
      <c r="AQ133" s="208"/>
      <c r="AR133" s="208"/>
      <c r="AS133" s="208"/>
      <c r="AT133" s="208"/>
      <c r="AU133" s="208"/>
      <c r="AV133" s="208"/>
      <c r="AW133" s="148"/>
      <c r="AX133" s="208"/>
      <c r="AY133" s="208"/>
      <c r="AZ133" s="208"/>
      <c r="BA133" s="208"/>
    </row>
    <row r="134" spans="12:53" s="70" customFormat="1" x14ac:dyDescent="0.3">
      <c r="L134" s="142"/>
      <c r="M134" s="142"/>
      <c r="N134" s="142"/>
      <c r="O134" s="144"/>
      <c r="P134" s="144"/>
      <c r="R134" s="208"/>
      <c r="S134" s="208"/>
      <c r="T134" s="208"/>
      <c r="U134" s="208"/>
      <c r="V134" s="208"/>
      <c r="W134" s="208"/>
      <c r="X134" s="208"/>
      <c r="Y134" s="208"/>
      <c r="Z134" s="208"/>
      <c r="AA134" s="208"/>
      <c r="AB134" s="208"/>
      <c r="AC134" s="208"/>
      <c r="AD134" s="208"/>
      <c r="AE134" s="208"/>
      <c r="AF134" s="208"/>
      <c r="AG134" s="208"/>
      <c r="AH134" s="208"/>
      <c r="AI134" s="208"/>
      <c r="AJ134" s="208"/>
      <c r="AK134" s="208"/>
      <c r="AL134" s="208"/>
      <c r="AM134" s="208"/>
      <c r="AN134" s="208"/>
      <c r="AO134" s="208"/>
      <c r="AP134" s="208"/>
      <c r="AQ134" s="208"/>
      <c r="AR134" s="208"/>
      <c r="AS134" s="208"/>
      <c r="AT134" s="208"/>
      <c r="AU134" s="208"/>
      <c r="AV134" s="208"/>
      <c r="AW134" s="148"/>
      <c r="AX134" s="208"/>
      <c r="AY134" s="208"/>
      <c r="AZ134" s="208"/>
      <c r="BA134" s="208"/>
    </row>
    <row r="135" spans="12:53" s="70" customFormat="1" x14ac:dyDescent="0.3">
      <c r="L135" s="142"/>
      <c r="M135" s="142"/>
      <c r="N135" s="142"/>
      <c r="O135" s="144"/>
      <c r="P135" s="144"/>
      <c r="R135" s="208"/>
      <c r="S135" s="208"/>
      <c r="T135" s="208"/>
      <c r="U135" s="208"/>
      <c r="V135" s="208"/>
      <c r="W135" s="208"/>
      <c r="X135" s="208"/>
      <c r="Y135" s="208"/>
      <c r="Z135" s="208"/>
      <c r="AA135" s="208"/>
      <c r="AB135" s="208"/>
      <c r="AC135" s="208"/>
      <c r="AD135" s="208"/>
      <c r="AE135" s="208"/>
      <c r="AF135" s="208"/>
      <c r="AG135" s="208"/>
      <c r="AH135" s="208"/>
      <c r="AI135" s="208"/>
      <c r="AJ135" s="208"/>
      <c r="AK135" s="208"/>
      <c r="AL135" s="208"/>
      <c r="AM135" s="208"/>
      <c r="AN135" s="208"/>
      <c r="AO135" s="208"/>
      <c r="AP135" s="208"/>
      <c r="AQ135" s="208"/>
      <c r="AR135" s="208"/>
      <c r="AS135" s="208"/>
      <c r="AT135" s="208"/>
      <c r="AU135" s="208"/>
      <c r="AV135" s="208"/>
      <c r="AW135" s="148"/>
      <c r="AX135" s="208"/>
      <c r="AY135" s="208"/>
      <c r="AZ135" s="208"/>
      <c r="BA135" s="208"/>
    </row>
    <row r="136" spans="12:53" s="70" customFormat="1" x14ac:dyDescent="0.3">
      <c r="L136" s="142"/>
      <c r="M136" s="142"/>
      <c r="N136" s="142"/>
      <c r="O136" s="144"/>
      <c r="P136" s="144"/>
      <c r="R136" s="208"/>
      <c r="S136" s="208"/>
      <c r="T136" s="208"/>
      <c r="U136" s="208"/>
      <c r="V136" s="208"/>
      <c r="W136" s="208"/>
      <c r="X136" s="208"/>
      <c r="Y136" s="208"/>
      <c r="Z136" s="208"/>
      <c r="AA136" s="208"/>
      <c r="AB136" s="208"/>
      <c r="AC136" s="208"/>
      <c r="AD136" s="208"/>
      <c r="AE136" s="208"/>
      <c r="AF136" s="208"/>
      <c r="AG136" s="208"/>
      <c r="AH136" s="208"/>
      <c r="AI136" s="208"/>
      <c r="AJ136" s="208"/>
      <c r="AK136" s="208"/>
      <c r="AL136" s="208"/>
      <c r="AM136" s="208"/>
      <c r="AN136" s="208"/>
      <c r="AO136" s="208"/>
      <c r="AP136" s="208"/>
      <c r="AQ136" s="208"/>
      <c r="AR136" s="208"/>
      <c r="AS136" s="208"/>
      <c r="AT136" s="208"/>
      <c r="AU136" s="208"/>
      <c r="AV136" s="208"/>
      <c r="AW136" s="148"/>
      <c r="AX136" s="208"/>
      <c r="AY136" s="208"/>
      <c r="AZ136" s="208"/>
      <c r="BA136" s="208"/>
    </row>
    <row r="137" spans="12:53" s="70" customFormat="1" x14ac:dyDescent="0.3">
      <c r="L137" s="142"/>
      <c r="M137" s="142"/>
      <c r="N137" s="142"/>
      <c r="O137" s="144"/>
      <c r="P137" s="144"/>
      <c r="R137" s="208"/>
      <c r="S137" s="208"/>
      <c r="T137" s="208"/>
      <c r="U137" s="208"/>
      <c r="V137" s="208"/>
      <c r="W137" s="208"/>
      <c r="X137" s="208"/>
      <c r="Y137" s="208"/>
      <c r="Z137" s="208"/>
      <c r="AA137" s="208"/>
      <c r="AB137" s="208"/>
      <c r="AC137" s="208"/>
      <c r="AD137" s="208"/>
      <c r="AE137" s="208"/>
      <c r="AF137" s="208"/>
      <c r="AG137" s="208"/>
      <c r="AH137" s="208"/>
      <c r="AI137" s="208"/>
      <c r="AJ137" s="208"/>
      <c r="AK137" s="208"/>
      <c r="AL137" s="208"/>
      <c r="AM137" s="208"/>
      <c r="AN137" s="208"/>
      <c r="AO137" s="208"/>
      <c r="AP137" s="208"/>
      <c r="AQ137" s="208"/>
      <c r="AR137" s="208"/>
      <c r="AS137" s="208"/>
      <c r="AT137" s="208"/>
      <c r="AU137" s="208"/>
      <c r="AV137" s="208"/>
      <c r="AW137" s="148"/>
      <c r="AX137" s="208"/>
      <c r="AY137" s="208"/>
      <c r="AZ137" s="208"/>
      <c r="BA137" s="208"/>
    </row>
    <row r="138" spans="12:53" s="70" customFormat="1" x14ac:dyDescent="0.3">
      <c r="L138" s="142"/>
      <c r="M138" s="142"/>
      <c r="N138" s="142"/>
      <c r="O138" s="144"/>
      <c r="P138" s="144"/>
      <c r="R138" s="208"/>
      <c r="S138" s="208"/>
      <c r="T138" s="208"/>
      <c r="U138" s="208"/>
      <c r="V138" s="208"/>
      <c r="W138" s="208"/>
      <c r="X138" s="208"/>
      <c r="Y138" s="208"/>
      <c r="Z138" s="208"/>
      <c r="AA138" s="208"/>
      <c r="AB138" s="208"/>
      <c r="AC138" s="208"/>
      <c r="AD138" s="208"/>
      <c r="AE138" s="208"/>
      <c r="AF138" s="208"/>
      <c r="AG138" s="208"/>
      <c r="AH138" s="208"/>
      <c r="AI138" s="208"/>
      <c r="AJ138" s="208"/>
      <c r="AK138" s="208"/>
      <c r="AL138" s="208"/>
      <c r="AM138" s="208"/>
      <c r="AN138" s="208"/>
      <c r="AO138" s="208"/>
      <c r="AP138" s="208"/>
      <c r="AQ138" s="208"/>
      <c r="AR138" s="208"/>
      <c r="AS138" s="208"/>
      <c r="AT138" s="208"/>
      <c r="AU138" s="208"/>
      <c r="AV138" s="208"/>
      <c r="AW138" s="148"/>
      <c r="AX138" s="208"/>
      <c r="AY138" s="208"/>
      <c r="AZ138" s="208"/>
      <c r="BA138" s="208"/>
    </row>
    <row r="139" spans="12:53" s="70" customFormat="1" x14ac:dyDescent="0.3">
      <c r="L139" s="142"/>
      <c r="M139" s="142"/>
      <c r="N139" s="142"/>
      <c r="O139" s="144"/>
      <c r="P139" s="144"/>
      <c r="R139" s="208"/>
      <c r="S139" s="208"/>
      <c r="T139" s="208"/>
      <c r="U139" s="208"/>
      <c r="V139" s="208"/>
      <c r="W139" s="208"/>
      <c r="X139" s="208"/>
      <c r="Y139" s="208"/>
      <c r="Z139" s="208"/>
      <c r="AA139" s="208"/>
      <c r="AB139" s="208"/>
      <c r="AC139" s="208"/>
      <c r="AD139" s="208"/>
      <c r="AE139" s="208"/>
      <c r="AF139" s="208"/>
      <c r="AG139" s="208"/>
      <c r="AH139" s="208"/>
      <c r="AI139" s="208"/>
      <c r="AJ139" s="208"/>
      <c r="AK139" s="208"/>
      <c r="AL139" s="208"/>
      <c r="AM139" s="208"/>
      <c r="AN139" s="208"/>
      <c r="AO139" s="208"/>
      <c r="AP139" s="208"/>
      <c r="AQ139" s="208"/>
      <c r="AR139" s="208"/>
      <c r="AS139" s="208"/>
      <c r="AT139" s="208"/>
      <c r="AU139" s="208"/>
      <c r="AV139" s="208"/>
      <c r="AW139" s="148"/>
      <c r="AX139" s="208"/>
      <c r="AY139" s="208"/>
      <c r="AZ139" s="208"/>
      <c r="BA139" s="208"/>
    </row>
    <row r="140" spans="12:53" s="70" customFormat="1" x14ac:dyDescent="0.3">
      <c r="L140" s="142"/>
      <c r="M140" s="142"/>
      <c r="N140" s="142"/>
      <c r="O140" s="144"/>
      <c r="P140" s="144"/>
      <c r="R140" s="208"/>
      <c r="S140" s="208"/>
      <c r="T140" s="208"/>
      <c r="U140" s="208"/>
      <c r="V140" s="208"/>
      <c r="W140" s="208"/>
      <c r="X140" s="208"/>
      <c r="Y140" s="208"/>
      <c r="Z140" s="208"/>
      <c r="AA140" s="208"/>
      <c r="AB140" s="208"/>
      <c r="AC140" s="208"/>
      <c r="AD140" s="208"/>
      <c r="AE140" s="208"/>
      <c r="AF140" s="208"/>
      <c r="AG140" s="208"/>
      <c r="AH140" s="208"/>
      <c r="AI140" s="208"/>
      <c r="AJ140" s="208"/>
      <c r="AK140" s="208"/>
      <c r="AL140" s="208"/>
      <c r="AM140" s="208"/>
      <c r="AN140" s="208"/>
      <c r="AO140" s="208"/>
      <c r="AP140" s="208"/>
      <c r="AQ140" s="208"/>
      <c r="AR140" s="208"/>
      <c r="AS140" s="208"/>
      <c r="AT140" s="208"/>
      <c r="AU140" s="208"/>
      <c r="AV140" s="208"/>
      <c r="AW140" s="148"/>
      <c r="AX140" s="208"/>
      <c r="AY140" s="208"/>
      <c r="AZ140" s="208"/>
      <c r="BA140" s="208"/>
    </row>
    <row r="141" spans="12:53" s="70" customFormat="1" x14ac:dyDescent="0.3">
      <c r="L141" s="142"/>
      <c r="M141" s="142"/>
      <c r="N141" s="142"/>
      <c r="O141" s="144"/>
      <c r="P141" s="144"/>
      <c r="R141" s="208"/>
      <c r="S141" s="208"/>
      <c r="T141" s="208"/>
      <c r="U141" s="208"/>
      <c r="V141" s="208"/>
      <c r="W141" s="208"/>
      <c r="X141" s="208"/>
      <c r="Y141" s="208"/>
      <c r="Z141" s="208"/>
      <c r="AA141" s="208"/>
      <c r="AB141" s="208"/>
      <c r="AC141" s="208"/>
      <c r="AD141" s="208"/>
      <c r="AE141" s="208"/>
      <c r="AF141" s="208"/>
      <c r="AG141" s="208"/>
      <c r="AH141" s="208"/>
      <c r="AI141" s="208"/>
      <c r="AJ141" s="208"/>
      <c r="AK141" s="208"/>
      <c r="AL141" s="208"/>
      <c r="AM141" s="208"/>
      <c r="AN141" s="208"/>
      <c r="AO141" s="208"/>
      <c r="AP141" s="208"/>
      <c r="AQ141" s="208"/>
      <c r="AR141" s="208"/>
      <c r="AS141" s="208"/>
      <c r="AT141" s="208"/>
      <c r="AU141" s="208"/>
      <c r="AV141" s="208"/>
      <c r="AW141" s="148"/>
      <c r="AX141" s="208"/>
      <c r="AY141" s="208"/>
      <c r="AZ141" s="208"/>
      <c r="BA141" s="208"/>
    </row>
    <row r="142" spans="12:53" s="70" customFormat="1" x14ac:dyDescent="0.3">
      <c r="L142" s="142"/>
      <c r="M142" s="142"/>
      <c r="N142" s="142"/>
      <c r="O142" s="144"/>
      <c r="P142" s="144"/>
      <c r="R142" s="208"/>
      <c r="S142" s="208"/>
      <c r="T142" s="208"/>
      <c r="U142" s="208"/>
      <c r="V142" s="208"/>
      <c r="W142" s="208"/>
      <c r="X142" s="208"/>
      <c r="Y142" s="208"/>
      <c r="Z142" s="208"/>
      <c r="AA142" s="208"/>
      <c r="AB142" s="208"/>
      <c r="AC142" s="208"/>
      <c r="AD142" s="208"/>
      <c r="AE142" s="208"/>
      <c r="AF142" s="208"/>
      <c r="AG142" s="208"/>
      <c r="AH142" s="208"/>
      <c r="AI142" s="208"/>
      <c r="AJ142" s="208"/>
      <c r="AK142" s="208"/>
      <c r="AL142" s="208"/>
      <c r="AM142" s="208"/>
      <c r="AN142" s="208"/>
      <c r="AO142" s="208"/>
      <c r="AP142" s="208"/>
      <c r="AQ142" s="208"/>
      <c r="AR142" s="208"/>
      <c r="AS142" s="208"/>
      <c r="AT142" s="208"/>
      <c r="AU142" s="208"/>
      <c r="AV142" s="208"/>
      <c r="AW142" s="148"/>
      <c r="AX142" s="208"/>
      <c r="AY142" s="208"/>
      <c r="AZ142" s="208"/>
      <c r="BA142" s="208"/>
    </row>
    <row r="143" spans="12:53" s="70" customFormat="1" x14ac:dyDescent="0.3">
      <c r="L143" s="142"/>
      <c r="M143" s="142"/>
      <c r="N143" s="142"/>
      <c r="O143" s="144"/>
      <c r="P143" s="144"/>
      <c r="R143" s="208"/>
      <c r="S143" s="208"/>
      <c r="T143" s="208"/>
      <c r="U143" s="208"/>
      <c r="V143" s="208"/>
      <c r="W143" s="208"/>
      <c r="X143" s="208"/>
      <c r="Y143" s="208"/>
      <c r="Z143" s="208"/>
      <c r="AA143" s="208"/>
      <c r="AB143" s="208"/>
      <c r="AC143" s="208"/>
      <c r="AD143" s="208"/>
      <c r="AE143" s="208"/>
      <c r="AF143" s="208"/>
      <c r="AG143" s="208"/>
      <c r="AH143" s="208"/>
      <c r="AI143" s="208"/>
      <c r="AJ143" s="208"/>
      <c r="AK143" s="208"/>
      <c r="AL143" s="208"/>
      <c r="AM143" s="208"/>
      <c r="AN143" s="208"/>
      <c r="AO143" s="208"/>
      <c r="AP143" s="208"/>
      <c r="AQ143" s="208"/>
      <c r="AR143" s="208"/>
      <c r="AS143" s="208"/>
      <c r="AT143" s="208"/>
      <c r="AU143" s="208"/>
      <c r="AV143" s="208"/>
      <c r="AW143" s="148"/>
      <c r="AX143" s="208"/>
      <c r="AY143" s="208"/>
      <c r="AZ143" s="208"/>
      <c r="BA143" s="208"/>
    </row>
    <row r="144" spans="12:53" s="70" customFormat="1" x14ac:dyDescent="0.3">
      <c r="L144" s="142"/>
      <c r="M144" s="142"/>
      <c r="N144" s="142"/>
      <c r="O144" s="144"/>
      <c r="P144" s="144"/>
      <c r="R144" s="208"/>
      <c r="S144" s="208"/>
      <c r="T144" s="208"/>
      <c r="U144" s="208"/>
      <c r="V144" s="208"/>
      <c r="W144" s="208"/>
      <c r="X144" s="208"/>
      <c r="Y144" s="208"/>
      <c r="Z144" s="208"/>
      <c r="AA144" s="208"/>
      <c r="AB144" s="208"/>
      <c r="AC144" s="208"/>
      <c r="AD144" s="208"/>
      <c r="AE144" s="208"/>
      <c r="AF144" s="208"/>
      <c r="AG144" s="208"/>
      <c r="AH144" s="208"/>
      <c r="AI144" s="208"/>
      <c r="AJ144" s="208"/>
      <c r="AK144" s="208"/>
      <c r="AL144" s="208"/>
      <c r="AM144" s="208"/>
      <c r="AN144" s="208"/>
      <c r="AO144" s="208"/>
      <c r="AP144" s="208"/>
      <c r="AQ144" s="208"/>
      <c r="AR144" s="208"/>
      <c r="AS144" s="208"/>
      <c r="AT144" s="208"/>
      <c r="AU144" s="208"/>
      <c r="AV144" s="208"/>
      <c r="AW144" s="148"/>
      <c r="AX144" s="208"/>
      <c r="AY144" s="208"/>
      <c r="AZ144" s="208"/>
      <c r="BA144" s="208"/>
    </row>
    <row r="145" spans="12:53" s="70" customFormat="1" x14ac:dyDescent="0.3">
      <c r="L145" s="142"/>
      <c r="M145" s="142"/>
      <c r="N145" s="142"/>
      <c r="O145" s="144"/>
      <c r="P145" s="144"/>
      <c r="R145" s="208"/>
      <c r="S145" s="208"/>
      <c r="T145" s="208"/>
      <c r="U145" s="208"/>
      <c r="V145" s="208"/>
      <c r="W145" s="208"/>
      <c r="X145" s="208"/>
      <c r="Y145" s="208"/>
      <c r="Z145" s="208"/>
      <c r="AA145" s="208"/>
      <c r="AB145" s="208"/>
      <c r="AC145" s="208"/>
      <c r="AD145" s="208"/>
      <c r="AE145" s="208"/>
      <c r="AF145" s="208"/>
      <c r="AG145" s="208"/>
      <c r="AH145" s="208"/>
      <c r="AI145" s="208"/>
      <c r="AJ145" s="208"/>
      <c r="AK145" s="208"/>
      <c r="AL145" s="208"/>
      <c r="AM145" s="208"/>
      <c r="AN145" s="208"/>
      <c r="AO145" s="208"/>
      <c r="AP145" s="208"/>
      <c r="AQ145" s="208"/>
      <c r="AR145" s="208"/>
      <c r="AS145" s="208"/>
      <c r="AT145" s="208"/>
      <c r="AU145" s="208"/>
      <c r="AV145" s="208"/>
      <c r="AW145" s="148"/>
      <c r="AX145" s="208"/>
      <c r="AY145" s="208"/>
      <c r="AZ145" s="208"/>
      <c r="BA145" s="208"/>
    </row>
    <row r="146" spans="12:53" s="70" customFormat="1" x14ac:dyDescent="0.3">
      <c r="L146" s="142"/>
      <c r="M146" s="142"/>
      <c r="N146" s="142"/>
      <c r="O146" s="144"/>
      <c r="P146" s="144"/>
      <c r="R146" s="208"/>
      <c r="S146" s="208"/>
      <c r="T146" s="208"/>
      <c r="U146" s="208"/>
      <c r="V146" s="208"/>
      <c r="W146" s="208"/>
      <c r="X146" s="208"/>
      <c r="Y146" s="208"/>
      <c r="Z146" s="208"/>
      <c r="AA146" s="208"/>
      <c r="AB146" s="208"/>
      <c r="AC146" s="208"/>
      <c r="AD146" s="208"/>
      <c r="AE146" s="208"/>
      <c r="AF146" s="208"/>
      <c r="AG146" s="208"/>
      <c r="AH146" s="208"/>
      <c r="AI146" s="208"/>
      <c r="AJ146" s="208"/>
      <c r="AK146" s="208"/>
      <c r="AL146" s="208"/>
      <c r="AM146" s="208"/>
      <c r="AN146" s="208"/>
      <c r="AO146" s="208"/>
      <c r="AP146" s="208"/>
      <c r="AQ146" s="208"/>
      <c r="AR146" s="208"/>
      <c r="AS146" s="208"/>
      <c r="AT146" s="208"/>
      <c r="AU146" s="208"/>
      <c r="AV146" s="208"/>
      <c r="AW146" s="148"/>
      <c r="AX146" s="208"/>
      <c r="AY146" s="208"/>
      <c r="AZ146" s="208"/>
      <c r="BA146" s="208"/>
    </row>
    <row r="147" spans="12:53" s="70" customFormat="1" x14ac:dyDescent="0.3">
      <c r="L147" s="142"/>
      <c r="M147" s="142"/>
      <c r="N147" s="142"/>
      <c r="O147" s="144"/>
      <c r="P147" s="144"/>
      <c r="R147" s="208"/>
      <c r="S147" s="208"/>
      <c r="T147" s="208"/>
      <c r="U147" s="208"/>
      <c r="V147" s="208"/>
      <c r="W147" s="208"/>
      <c r="X147" s="208"/>
      <c r="Y147" s="208"/>
      <c r="Z147" s="208"/>
      <c r="AA147" s="208"/>
      <c r="AB147" s="208"/>
      <c r="AC147" s="208"/>
      <c r="AD147" s="208"/>
      <c r="AE147" s="208"/>
      <c r="AF147" s="208"/>
      <c r="AG147" s="208"/>
      <c r="AH147" s="208"/>
      <c r="AI147" s="208"/>
      <c r="AJ147" s="208"/>
      <c r="AK147" s="208"/>
      <c r="AL147" s="208"/>
      <c r="AM147" s="208"/>
      <c r="AN147" s="208"/>
      <c r="AO147" s="208"/>
      <c r="AP147" s="208"/>
      <c r="AQ147" s="208"/>
      <c r="AR147" s="208"/>
      <c r="AS147" s="208"/>
      <c r="AT147" s="208"/>
      <c r="AU147" s="208"/>
      <c r="AV147" s="208"/>
      <c r="AW147" s="148"/>
      <c r="AX147" s="208"/>
      <c r="AY147" s="208"/>
      <c r="AZ147" s="208"/>
      <c r="BA147" s="208"/>
    </row>
    <row r="148" spans="12:53" s="70" customFormat="1" x14ac:dyDescent="0.3">
      <c r="L148" s="142"/>
      <c r="M148" s="142"/>
      <c r="N148" s="142"/>
      <c r="O148" s="144"/>
      <c r="P148" s="144"/>
      <c r="R148" s="208"/>
      <c r="S148" s="208"/>
      <c r="T148" s="208"/>
      <c r="U148" s="208"/>
      <c r="V148" s="208"/>
      <c r="W148" s="208"/>
      <c r="X148" s="208"/>
      <c r="Y148" s="208"/>
      <c r="Z148" s="208"/>
      <c r="AA148" s="208"/>
      <c r="AB148" s="208"/>
      <c r="AC148" s="208"/>
      <c r="AD148" s="208"/>
      <c r="AE148" s="208"/>
      <c r="AF148" s="208"/>
      <c r="AG148" s="208"/>
      <c r="AH148" s="208"/>
      <c r="AI148" s="208"/>
      <c r="AJ148" s="208"/>
      <c r="AK148" s="208"/>
      <c r="AL148" s="208"/>
      <c r="AM148" s="208"/>
      <c r="AN148" s="208"/>
      <c r="AO148" s="208"/>
      <c r="AP148" s="208"/>
      <c r="AQ148" s="208"/>
      <c r="AR148" s="208"/>
      <c r="AS148" s="208"/>
      <c r="AT148" s="208"/>
      <c r="AU148" s="208"/>
      <c r="AV148" s="208"/>
      <c r="AW148" s="148"/>
      <c r="AX148" s="208"/>
      <c r="AY148" s="208"/>
      <c r="AZ148" s="208"/>
      <c r="BA148" s="208"/>
    </row>
    <row r="149" spans="12:53" s="70" customFormat="1" x14ac:dyDescent="0.3">
      <c r="L149" s="142"/>
      <c r="M149" s="142"/>
      <c r="N149" s="142"/>
      <c r="O149" s="144"/>
      <c r="P149" s="144"/>
      <c r="R149" s="208"/>
      <c r="S149" s="208"/>
      <c r="T149" s="208"/>
      <c r="U149" s="208"/>
      <c r="V149" s="208"/>
      <c r="W149" s="208"/>
      <c r="X149" s="208"/>
      <c r="Y149" s="208"/>
      <c r="Z149" s="208"/>
      <c r="AA149" s="208"/>
      <c r="AB149" s="208"/>
      <c r="AC149" s="208"/>
      <c r="AD149" s="208"/>
      <c r="AE149" s="208"/>
      <c r="AF149" s="208"/>
      <c r="AG149" s="208"/>
      <c r="AH149" s="208"/>
      <c r="AI149" s="208"/>
      <c r="AJ149" s="208"/>
      <c r="AK149" s="208"/>
      <c r="AL149" s="208"/>
      <c r="AM149" s="208"/>
      <c r="AN149" s="208"/>
      <c r="AO149" s="208"/>
      <c r="AP149" s="208"/>
      <c r="AQ149" s="208"/>
      <c r="AR149" s="208"/>
      <c r="AS149" s="208"/>
      <c r="AT149" s="208"/>
      <c r="AU149" s="208"/>
      <c r="AV149" s="208"/>
      <c r="AW149" s="148"/>
      <c r="AX149" s="208"/>
      <c r="AY149" s="208"/>
      <c r="AZ149" s="208"/>
      <c r="BA149" s="208"/>
    </row>
    <row r="150" spans="12:53" s="70" customFormat="1" x14ac:dyDescent="0.3">
      <c r="L150" s="142"/>
      <c r="M150" s="142"/>
      <c r="N150" s="142"/>
      <c r="O150" s="144"/>
      <c r="P150" s="144"/>
      <c r="R150" s="208"/>
      <c r="S150" s="208"/>
      <c r="T150" s="208"/>
      <c r="U150" s="208"/>
      <c r="V150" s="208"/>
      <c r="W150" s="208"/>
      <c r="X150" s="208"/>
      <c r="Y150" s="208"/>
      <c r="Z150" s="208"/>
      <c r="AA150" s="208"/>
      <c r="AB150" s="208"/>
      <c r="AC150" s="208"/>
      <c r="AD150" s="208"/>
      <c r="AE150" s="208"/>
      <c r="AF150" s="208"/>
      <c r="AG150" s="208"/>
      <c r="AH150" s="208"/>
      <c r="AI150" s="208"/>
      <c r="AJ150" s="208"/>
      <c r="AK150" s="208"/>
      <c r="AL150" s="208"/>
      <c r="AM150" s="208"/>
      <c r="AN150" s="208"/>
      <c r="AO150" s="208"/>
      <c r="AP150" s="208"/>
      <c r="AQ150" s="208"/>
      <c r="AR150" s="208"/>
      <c r="AS150" s="208"/>
      <c r="AT150" s="208"/>
      <c r="AU150" s="208"/>
      <c r="AV150" s="208"/>
      <c r="AW150" s="148"/>
      <c r="AX150" s="208"/>
      <c r="AY150" s="208"/>
      <c r="AZ150" s="208"/>
      <c r="BA150" s="208"/>
    </row>
    <row r="151" spans="12:53" s="70" customFormat="1" x14ac:dyDescent="0.3">
      <c r="L151" s="142"/>
      <c r="M151" s="142"/>
      <c r="N151" s="142"/>
      <c r="O151" s="144"/>
      <c r="P151" s="144"/>
      <c r="R151" s="208"/>
      <c r="S151" s="208"/>
      <c r="T151" s="208"/>
      <c r="U151" s="208"/>
      <c r="V151" s="208"/>
      <c r="W151" s="208"/>
      <c r="X151" s="208"/>
      <c r="Y151" s="208"/>
      <c r="Z151" s="208"/>
      <c r="AA151" s="208"/>
      <c r="AB151" s="208"/>
      <c r="AC151" s="208"/>
      <c r="AD151" s="208"/>
      <c r="AE151" s="208"/>
      <c r="AF151" s="208"/>
      <c r="AG151" s="208"/>
      <c r="AH151" s="208"/>
      <c r="AI151" s="208"/>
      <c r="AJ151" s="208"/>
      <c r="AK151" s="208"/>
      <c r="AL151" s="208"/>
      <c r="AM151" s="208"/>
      <c r="AN151" s="208"/>
      <c r="AO151" s="208"/>
      <c r="AP151" s="208"/>
      <c r="AQ151" s="208"/>
      <c r="AR151" s="208"/>
      <c r="AS151" s="208"/>
      <c r="AT151" s="208"/>
      <c r="AU151" s="208"/>
      <c r="AV151" s="208"/>
      <c r="AW151" s="148"/>
      <c r="AX151" s="208"/>
      <c r="AY151" s="208"/>
      <c r="AZ151" s="208"/>
      <c r="BA151" s="208"/>
    </row>
    <row r="152" spans="12:53" s="70" customFormat="1" x14ac:dyDescent="0.3">
      <c r="L152" s="142"/>
      <c r="M152" s="142"/>
      <c r="N152" s="142"/>
      <c r="O152" s="144"/>
      <c r="P152" s="144"/>
      <c r="R152" s="208"/>
      <c r="S152" s="208"/>
      <c r="T152" s="208"/>
      <c r="U152" s="208"/>
      <c r="V152" s="208"/>
      <c r="W152" s="208"/>
      <c r="X152" s="208"/>
      <c r="Y152" s="208"/>
      <c r="Z152" s="208"/>
      <c r="AA152" s="208"/>
      <c r="AB152" s="208"/>
      <c r="AC152" s="208"/>
      <c r="AD152" s="208"/>
      <c r="AE152" s="208"/>
      <c r="AF152" s="208"/>
      <c r="AG152" s="208"/>
      <c r="AH152" s="208"/>
      <c r="AI152" s="208"/>
      <c r="AJ152" s="208"/>
      <c r="AK152" s="208"/>
      <c r="AL152" s="208"/>
      <c r="AM152" s="208"/>
      <c r="AN152" s="208"/>
      <c r="AO152" s="208"/>
      <c r="AP152" s="208"/>
      <c r="AQ152" s="208"/>
      <c r="AR152" s="208"/>
      <c r="AS152" s="208"/>
      <c r="AT152" s="208"/>
      <c r="AU152" s="208"/>
      <c r="AV152" s="208"/>
      <c r="AW152" s="148"/>
      <c r="AX152" s="208"/>
      <c r="AY152" s="208"/>
      <c r="AZ152" s="208"/>
      <c r="BA152" s="208"/>
    </row>
    <row r="153" spans="12:53" s="70" customFormat="1" x14ac:dyDescent="0.3">
      <c r="L153" s="142"/>
      <c r="M153" s="142"/>
      <c r="N153" s="142"/>
      <c r="O153" s="144"/>
      <c r="P153" s="144"/>
      <c r="R153" s="208"/>
      <c r="S153" s="208"/>
      <c r="T153" s="208"/>
      <c r="U153" s="208"/>
      <c r="V153" s="208"/>
      <c r="W153" s="208"/>
      <c r="X153" s="208"/>
      <c r="Y153" s="208"/>
      <c r="Z153" s="208"/>
      <c r="AA153" s="208"/>
      <c r="AB153" s="208"/>
      <c r="AC153" s="208"/>
      <c r="AD153" s="208"/>
      <c r="AE153" s="208"/>
      <c r="AF153" s="208"/>
      <c r="AG153" s="208"/>
      <c r="AH153" s="208"/>
      <c r="AI153" s="208"/>
      <c r="AJ153" s="208"/>
      <c r="AK153" s="208"/>
      <c r="AL153" s="208"/>
      <c r="AM153" s="208"/>
      <c r="AN153" s="208"/>
      <c r="AO153" s="208"/>
      <c r="AP153" s="208"/>
      <c r="AQ153" s="208"/>
      <c r="AR153" s="208"/>
      <c r="AS153" s="208"/>
      <c r="AT153" s="208"/>
      <c r="AU153" s="208"/>
      <c r="AV153" s="208"/>
      <c r="AW153" s="148"/>
      <c r="AX153" s="208"/>
      <c r="AY153" s="208"/>
      <c r="AZ153" s="208"/>
      <c r="BA153" s="208"/>
    </row>
    <row r="154" spans="12:53" s="70" customFormat="1" x14ac:dyDescent="0.3">
      <c r="L154" s="142"/>
      <c r="M154" s="142"/>
      <c r="N154" s="142"/>
      <c r="O154" s="144"/>
      <c r="P154" s="144"/>
      <c r="R154" s="208"/>
      <c r="S154" s="208"/>
      <c r="T154" s="208"/>
      <c r="U154" s="208"/>
      <c r="V154" s="208"/>
      <c r="W154" s="208"/>
      <c r="X154" s="208"/>
      <c r="Y154" s="208"/>
      <c r="Z154" s="208"/>
      <c r="AA154" s="208"/>
      <c r="AB154" s="208"/>
      <c r="AC154" s="208"/>
      <c r="AD154" s="208"/>
      <c r="AE154" s="208"/>
      <c r="AF154" s="208"/>
      <c r="AG154" s="208"/>
      <c r="AH154" s="208"/>
      <c r="AI154" s="208"/>
      <c r="AJ154" s="208"/>
      <c r="AK154" s="208"/>
      <c r="AL154" s="208"/>
      <c r="AM154" s="208"/>
      <c r="AN154" s="208"/>
      <c r="AO154" s="208"/>
      <c r="AP154" s="208"/>
      <c r="AQ154" s="208"/>
      <c r="AR154" s="208"/>
      <c r="AS154" s="208"/>
      <c r="AT154" s="208"/>
      <c r="AU154" s="208"/>
      <c r="AV154" s="208"/>
      <c r="AW154" s="148"/>
      <c r="AX154" s="208"/>
      <c r="AY154" s="208"/>
      <c r="AZ154" s="208"/>
      <c r="BA154" s="208"/>
    </row>
    <row r="155" spans="12:53" s="70" customFormat="1" x14ac:dyDescent="0.3">
      <c r="L155" s="142"/>
      <c r="M155" s="142"/>
      <c r="N155" s="142"/>
      <c r="O155" s="144"/>
      <c r="P155" s="144"/>
      <c r="R155" s="208"/>
      <c r="S155" s="208"/>
      <c r="T155" s="208"/>
      <c r="U155" s="208"/>
      <c r="V155" s="208"/>
      <c r="W155" s="208"/>
      <c r="X155" s="208"/>
      <c r="Y155" s="208"/>
      <c r="Z155" s="208"/>
      <c r="AA155" s="208"/>
      <c r="AB155" s="208"/>
      <c r="AC155" s="208"/>
      <c r="AD155" s="208"/>
      <c r="AE155" s="208"/>
      <c r="AF155" s="208"/>
      <c r="AG155" s="208"/>
      <c r="AH155" s="208"/>
      <c r="AI155" s="208"/>
      <c r="AJ155" s="208"/>
      <c r="AK155" s="208"/>
      <c r="AL155" s="208"/>
      <c r="AM155" s="208"/>
      <c r="AN155" s="208"/>
      <c r="AO155" s="208"/>
      <c r="AP155" s="208"/>
      <c r="AQ155" s="208"/>
      <c r="AR155" s="208"/>
      <c r="AS155" s="208"/>
      <c r="AT155" s="208"/>
      <c r="AU155" s="208"/>
      <c r="AV155" s="208"/>
      <c r="AW155" s="148"/>
      <c r="AX155" s="208"/>
      <c r="AY155" s="208"/>
      <c r="AZ155" s="208"/>
      <c r="BA155" s="208"/>
    </row>
    <row r="156" spans="12:53" s="70" customFormat="1" x14ac:dyDescent="0.3">
      <c r="L156" s="142"/>
      <c r="M156" s="142"/>
      <c r="N156" s="142"/>
      <c r="O156" s="144"/>
      <c r="P156" s="144"/>
      <c r="R156" s="208"/>
      <c r="S156" s="208"/>
      <c r="T156" s="208"/>
      <c r="U156" s="208"/>
      <c r="V156" s="208"/>
      <c r="W156" s="208"/>
      <c r="X156" s="208"/>
      <c r="Y156" s="208"/>
      <c r="Z156" s="208"/>
      <c r="AA156" s="208"/>
      <c r="AB156" s="208"/>
      <c r="AC156" s="208"/>
      <c r="AD156" s="208"/>
      <c r="AE156" s="208"/>
      <c r="AF156" s="208"/>
      <c r="AG156" s="208"/>
      <c r="AH156" s="208"/>
      <c r="AI156" s="208"/>
      <c r="AJ156" s="208"/>
      <c r="AK156" s="208"/>
      <c r="AL156" s="208"/>
      <c r="AM156" s="208"/>
      <c r="AN156" s="208"/>
      <c r="AO156" s="208"/>
      <c r="AP156" s="208"/>
      <c r="AQ156" s="208"/>
      <c r="AR156" s="208"/>
      <c r="AS156" s="208"/>
      <c r="AT156" s="208"/>
      <c r="AU156" s="208"/>
      <c r="AV156" s="208"/>
      <c r="AW156" s="148"/>
      <c r="AX156" s="208"/>
      <c r="AY156" s="208"/>
      <c r="AZ156" s="208"/>
      <c r="BA156" s="208"/>
    </row>
    <row r="157" spans="12:53" s="70" customFormat="1" x14ac:dyDescent="0.3">
      <c r="L157" s="142"/>
      <c r="M157" s="142"/>
      <c r="N157" s="142"/>
      <c r="O157" s="144"/>
      <c r="P157" s="144"/>
      <c r="R157" s="208"/>
      <c r="S157" s="208"/>
      <c r="T157" s="208"/>
      <c r="U157" s="208"/>
      <c r="V157" s="208"/>
      <c r="W157" s="208"/>
      <c r="X157" s="208"/>
      <c r="Y157" s="208"/>
      <c r="Z157" s="208"/>
      <c r="AA157" s="208"/>
      <c r="AB157" s="208"/>
      <c r="AC157" s="208"/>
      <c r="AD157" s="208"/>
      <c r="AE157" s="208"/>
      <c r="AF157" s="208"/>
      <c r="AG157" s="208"/>
      <c r="AH157" s="208"/>
      <c r="AI157" s="208"/>
      <c r="AJ157" s="208"/>
      <c r="AK157" s="208"/>
      <c r="AL157" s="208"/>
      <c r="AM157" s="208"/>
      <c r="AN157" s="208"/>
      <c r="AO157" s="208"/>
      <c r="AP157" s="208"/>
      <c r="AQ157" s="208"/>
      <c r="AR157" s="208"/>
      <c r="AS157" s="208"/>
      <c r="AT157" s="208"/>
      <c r="AU157" s="208"/>
      <c r="AV157" s="208"/>
      <c r="AW157" s="148"/>
      <c r="AX157" s="208"/>
      <c r="AY157" s="208"/>
      <c r="AZ157" s="208"/>
      <c r="BA157" s="208"/>
    </row>
    <row r="158" spans="12:53" s="70" customFormat="1" x14ac:dyDescent="0.3">
      <c r="L158" s="142"/>
      <c r="M158" s="142"/>
      <c r="N158" s="142"/>
      <c r="O158" s="144"/>
      <c r="P158" s="144"/>
      <c r="R158" s="208"/>
      <c r="S158" s="208"/>
      <c r="T158" s="208"/>
      <c r="U158" s="208"/>
      <c r="V158" s="208"/>
      <c r="W158" s="208"/>
      <c r="X158" s="208"/>
      <c r="Y158" s="208"/>
      <c r="Z158" s="208"/>
      <c r="AA158" s="208"/>
      <c r="AB158" s="208"/>
      <c r="AC158" s="208"/>
      <c r="AD158" s="208"/>
      <c r="AE158" s="208"/>
      <c r="AF158" s="208"/>
      <c r="AG158" s="208"/>
      <c r="AH158" s="208"/>
      <c r="AI158" s="208"/>
      <c r="AJ158" s="208"/>
      <c r="AK158" s="208"/>
      <c r="AL158" s="208"/>
      <c r="AM158" s="208"/>
      <c r="AN158" s="208"/>
      <c r="AO158" s="208"/>
      <c r="AP158" s="208"/>
      <c r="AQ158" s="208"/>
      <c r="AR158" s="208"/>
      <c r="AS158" s="208"/>
      <c r="AT158" s="208"/>
      <c r="AU158" s="208"/>
      <c r="AV158" s="208"/>
      <c r="AW158" s="148"/>
      <c r="AX158" s="208"/>
      <c r="AY158" s="208"/>
      <c r="AZ158" s="208"/>
      <c r="BA158" s="208"/>
    </row>
    <row r="159" spans="12:53" s="70" customFormat="1" x14ac:dyDescent="0.3">
      <c r="L159" s="142"/>
      <c r="M159" s="142"/>
      <c r="N159" s="142"/>
      <c r="O159" s="144"/>
      <c r="P159" s="144"/>
      <c r="R159" s="208"/>
      <c r="S159" s="208"/>
      <c r="T159" s="208"/>
      <c r="U159" s="208"/>
      <c r="V159" s="208"/>
      <c r="W159" s="208"/>
      <c r="X159" s="208"/>
      <c r="Y159" s="208"/>
      <c r="Z159" s="208"/>
      <c r="AA159" s="208"/>
      <c r="AB159" s="208"/>
      <c r="AC159" s="208"/>
      <c r="AD159" s="208"/>
      <c r="AE159" s="208"/>
      <c r="AF159" s="208"/>
      <c r="AG159" s="208"/>
      <c r="AH159" s="208"/>
      <c r="AI159" s="208"/>
      <c r="AJ159" s="208"/>
      <c r="AK159" s="208"/>
      <c r="AL159" s="208"/>
      <c r="AM159" s="208"/>
      <c r="AN159" s="208"/>
      <c r="AO159" s="208"/>
      <c r="AP159" s="208"/>
      <c r="AQ159" s="208"/>
      <c r="AR159" s="208"/>
      <c r="AS159" s="208"/>
      <c r="AT159" s="208"/>
      <c r="AU159" s="208"/>
      <c r="AV159" s="208"/>
      <c r="AW159" s="148"/>
      <c r="AX159" s="208"/>
      <c r="AY159" s="208"/>
      <c r="AZ159" s="208"/>
      <c r="BA159" s="208"/>
    </row>
    <row r="160" spans="12:53" s="70" customFormat="1" x14ac:dyDescent="0.3">
      <c r="L160" s="142"/>
      <c r="M160" s="142"/>
      <c r="N160" s="142"/>
      <c r="O160" s="144"/>
      <c r="P160" s="144"/>
      <c r="R160" s="208"/>
      <c r="S160" s="208"/>
      <c r="T160" s="208"/>
      <c r="U160" s="208"/>
      <c r="V160" s="208"/>
      <c r="W160" s="208"/>
      <c r="X160" s="208"/>
      <c r="Y160" s="208"/>
      <c r="Z160" s="208"/>
      <c r="AA160" s="208"/>
      <c r="AB160" s="208"/>
      <c r="AC160" s="208"/>
      <c r="AD160" s="208"/>
      <c r="AE160" s="208"/>
      <c r="AF160" s="208"/>
      <c r="AG160" s="208"/>
      <c r="AH160" s="208"/>
      <c r="AI160" s="208"/>
      <c r="AJ160" s="208"/>
      <c r="AK160" s="208"/>
      <c r="AL160" s="208"/>
      <c r="AM160" s="208"/>
      <c r="AN160" s="208"/>
      <c r="AO160" s="208"/>
      <c r="AP160" s="208"/>
      <c r="AQ160" s="208"/>
      <c r="AR160" s="208"/>
      <c r="AS160" s="208"/>
      <c r="AT160" s="208"/>
      <c r="AU160" s="208"/>
      <c r="AV160" s="208"/>
      <c r="AW160" s="148"/>
      <c r="AX160" s="208"/>
      <c r="AY160" s="208"/>
      <c r="AZ160" s="208"/>
      <c r="BA160" s="208"/>
    </row>
    <row r="161" spans="1:53" s="70" customFormat="1" x14ac:dyDescent="0.3">
      <c r="L161" s="142"/>
      <c r="M161" s="142"/>
      <c r="N161" s="142"/>
      <c r="O161" s="144"/>
      <c r="P161" s="144"/>
      <c r="R161" s="208"/>
      <c r="S161" s="208"/>
      <c r="T161" s="208"/>
      <c r="U161" s="208"/>
      <c r="V161" s="208"/>
      <c r="W161" s="208"/>
      <c r="X161" s="208"/>
      <c r="Y161" s="208"/>
      <c r="Z161" s="208"/>
      <c r="AA161" s="208"/>
      <c r="AB161" s="208"/>
      <c r="AC161" s="208"/>
      <c r="AD161" s="208"/>
      <c r="AE161" s="208"/>
      <c r="AF161" s="208"/>
      <c r="AG161" s="208"/>
      <c r="AH161" s="208"/>
      <c r="AI161" s="208"/>
      <c r="AJ161" s="208"/>
      <c r="AK161" s="208"/>
      <c r="AL161" s="208"/>
      <c r="AM161" s="208"/>
      <c r="AN161" s="208"/>
      <c r="AO161" s="208"/>
      <c r="AP161" s="208"/>
      <c r="AQ161" s="208"/>
      <c r="AR161" s="208"/>
      <c r="AS161" s="208"/>
      <c r="AT161" s="208"/>
      <c r="AU161" s="208"/>
      <c r="AV161" s="208"/>
      <c r="AW161" s="148"/>
      <c r="AX161" s="208"/>
      <c r="AY161" s="208"/>
      <c r="AZ161" s="208"/>
      <c r="BA161" s="208"/>
    </row>
    <row r="162" spans="1:53" s="70" customFormat="1" x14ac:dyDescent="0.3">
      <c r="L162" s="142"/>
      <c r="M162" s="142"/>
      <c r="N162" s="142"/>
      <c r="O162" s="144"/>
      <c r="P162" s="144"/>
      <c r="R162" s="208"/>
      <c r="S162" s="208"/>
      <c r="T162" s="208"/>
      <c r="U162" s="208"/>
      <c r="V162" s="208"/>
      <c r="W162" s="208"/>
      <c r="X162" s="208"/>
      <c r="Y162" s="208"/>
      <c r="Z162" s="208"/>
      <c r="AA162" s="208"/>
      <c r="AB162" s="208"/>
      <c r="AC162" s="208"/>
      <c r="AD162" s="208"/>
      <c r="AE162" s="208"/>
      <c r="AF162" s="208"/>
      <c r="AG162" s="208"/>
      <c r="AH162" s="208"/>
      <c r="AI162" s="208"/>
      <c r="AJ162" s="208"/>
      <c r="AK162" s="208"/>
      <c r="AL162" s="208"/>
      <c r="AM162" s="208"/>
      <c r="AN162" s="208"/>
      <c r="AO162" s="208"/>
      <c r="AP162" s="208"/>
      <c r="AQ162" s="208"/>
      <c r="AR162" s="208"/>
      <c r="AS162" s="208"/>
      <c r="AT162" s="208"/>
      <c r="AU162" s="208"/>
      <c r="AV162" s="208"/>
      <c r="AW162" s="148"/>
      <c r="AX162" s="208"/>
      <c r="AY162" s="208"/>
      <c r="AZ162" s="208"/>
      <c r="BA162" s="208"/>
    </row>
    <row r="163" spans="1:53" s="70" customFormat="1" x14ac:dyDescent="0.3">
      <c r="L163" s="142"/>
      <c r="M163" s="142"/>
      <c r="N163" s="142"/>
      <c r="O163" s="144"/>
      <c r="P163" s="144"/>
      <c r="R163" s="208"/>
      <c r="S163" s="208"/>
      <c r="T163" s="208"/>
      <c r="U163" s="208"/>
      <c r="V163" s="208"/>
      <c r="W163" s="208"/>
      <c r="X163" s="208"/>
      <c r="Y163" s="208"/>
      <c r="Z163" s="208"/>
      <c r="AA163" s="208"/>
      <c r="AB163" s="208"/>
      <c r="AC163" s="208"/>
      <c r="AD163" s="208"/>
      <c r="AE163" s="208"/>
      <c r="AF163" s="208"/>
      <c r="AG163" s="208"/>
      <c r="AH163" s="208"/>
      <c r="AI163" s="208"/>
      <c r="AJ163" s="208"/>
      <c r="AK163" s="208"/>
      <c r="AL163" s="208"/>
      <c r="AM163" s="208"/>
      <c r="AN163" s="208"/>
      <c r="AO163" s="208"/>
      <c r="AP163" s="208"/>
      <c r="AQ163" s="208"/>
      <c r="AR163" s="208"/>
      <c r="AS163" s="208"/>
      <c r="AT163" s="208"/>
      <c r="AU163" s="208"/>
      <c r="AV163" s="208"/>
      <c r="AW163" s="148"/>
      <c r="AX163" s="208"/>
      <c r="AY163" s="208"/>
      <c r="AZ163" s="208"/>
      <c r="BA163" s="208"/>
    </row>
    <row r="164" spans="1:53" s="70" customFormat="1" x14ac:dyDescent="0.3">
      <c r="L164" s="142"/>
      <c r="M164" s="142"/>
      <c r="N164" s="142"/>
      <c r="O164" s="144"/>
      <c r="P164" s="144"/>
      <c r="R164" s="208"/>
      <c r="S164" s="208"/>
      <c r="T164" s="208"/>
      <c r="U164" s="208"/>
      <c r="V164" s="208"/>
      <c r="W164" s="208"/>
      <c r="X164" s="208"/>
      <c r="Y164" s="208"/>
      <c r="Z164" s="208"/>
      <c r="AA164" s="208"/>
      <c r="AB164" s="208"/>
      <c r="AC164" s="208"/>
      <c r="AD164" s="208"/>
      <c r="AE164" s="208"/>
      <c r="AF164" s="208"/>
      <c r="AG164" s="208"/>
      <c r="AH164" s="208"/>
      <c r="AI164" s="208"/>
      <c r="AJ164" s="208"/>
      <c r="AK164" s="208"/>
      <c r="AL164" s="208"/>
      <c r="AM164" s="208"/>
      <c r="AN164" s="208"/>
      <c r="AO164" s="208"/>
      <c r="AP164" s="208"/>
      <c r="AQ164" s="208"/>
      <c r="AR164" s="208"/>
      <c r="AS164" s="208"/>
      <c r="AT164" s="208"/>
      <c r="AU164" s="208"/>
      <c r="AV164" s="208"/>
      <c r="AW164" s="148"/>
      <c r="AX164" s="208"/>
      <c r="AY164" s="208"/>
      <c r="AZ164" s="208"/>
      <c r="BA164" s="208"/>
    </row>
    <row r="165" spans="1:53" s="70" customFormat="1" x14ac:dyDescent="0.3">
      <c r="L165" s="142"/>
      <c r="M165" s="142"/>
      <c r="N165" s="142"/>
      <c r="O165" s="144"/>
      <c r="P165" s="144"/>
      <c r="R165" s="208"/>
      <c r="S165" s="208"/>
      <c r="T165" s="208"/>
      <c r="U165" s="208"/>
      <c r="V165" s="208"/>
      <c r="W165" s="208"/>
      <c r="X165" s="208"/>
      <c r="Y165" s="208"/>
      <c r="Z165" s="208"/>
      <c r="AA165" s="208"/>
      <c r="AB165" s="208"/>
      <c r="AC165" s="208"/>
      <c r="AD165" s="208"/>
      <c r="AE165" s="208"/>
      <c r="AF165" s="208"/>
      <c r="AG165" s="208"/>
      <c r="AH165" s="208"/>
      <c r="AI165" s="208"/>
      <c r="AJ165" s="208"/>
      <c r="AK165" s="208"/>
      <c r="AL165" s="208"/>
      <c r="AM165" s="208"/>
      <c r="AN165" s="208"/>
      <c r="AO165" s="208"/>
      <c r="AP165" s="208"/>
      <c r="AQ165" s="208"/>
      <c r="AR165" s="208"/>
      <c r="AS165" s="208"/>
      <c r="AT165" s="208"/>
      <c r="AU165" s="208"/>
      <c r="AV165" s="208"/>
      <c r="AW165" s="148"/>
      <c r="AX165" s="208"/>
      <c r="AY165" s="208"/>
      <c r="AZ165" s="208"/>
      <c r="BA165" s="208"/>
    </row>
    <row r="166" spans="1:53" s="70" customFormat="1" x14ac:dyDescent="0.3">
      <c r="L166" s="142"/>
      <c r="M166" s="142"/>
      <c r="N166" s="142"/>
      <c r="O166" s="144"/>
      <c r="P166" s="144"/>
      <c r="R166" s="208"/>
      <c r="S166" s="208"/>
      <c r="T166" s="208"/>
      <c r="U166" s="208"/>
      <c r="V166" s="208"/>
      <c r="W166" s="208"/>
      <c r="X166" s="208"/>
      <c r="Y166" s="208"/>
      <c r="Z166" s="208"/>
      <c r="AA166" s="208"/>
      <c r="AB166" s="208"/>
      <c r="AC166" s="208"/>
      <c r="AD166" s="208"/>
      <c r="AE166" s="208"/>
      <c r="AF166" s="208"/>
      <c r="AG166" s="208"/>
      <c r="AH166" s="208"/>
      <c r="AI166" s="208"/>
      <c r="AJ166" s="208"/>
      <c r="AK166" s="208"/>
      <c r="AL166" s="208"/>
      <c r="AM166" s="208"/>
      <c r="AN166" s="208"/>
      <c r="AO166" s="208"/>
      <c r="AP166" s="208"/>
      <c r="AQ166" s="208"/>
      <c r="AR166" s="208"/>
      <c r="AS166" s="208"/>
      <c r="AT166" s="208"/>
      <c r="AU166" s="208"/>
      <c r="AV166" s="208"/>
      <c r="AW166" s="148"/>
      <c r="AX166" s="208"/>
      <c r="AY166" s="208"/>
      <c r="AZ166" s="208"/>
      <c r="BA166" s="208"/>
    </row>
    <row r="167" spans="1:53" s="70" customFormat="1" x14ac:dyDescent="0.3">
      <c r="L167" s="142"/>
      <c r="M167" s="142"/>
      <c r="N167" s="142"/>
      <c r="O167" s="144"/>
      <c r="P167" s="144"/>
      <c r="R167" s="208"/>
      <c r="S167" s="208"/>
      <c r="T167" s="208"/>
      <c r="U167" s="208"/>
      <c r="V167" s="208"/>
      <c r="W167" s="208"/>
      <c r="X167" s="208"/>
      <c r="Y167" s="208"/>
      <c r="Z167" s="208"/>
      <c r="AA167" s="208"/>
      <c r="AB167" s="208"/>
      <c r="AC167" s="208"/>
      <c r="AD167" s="208"/>
      <c r="AE167" s="208"/>
      <c r="AF167" s="208"/>
      <c r="AG167" s="208"/>
      <c r="AH167" s="208"/>
      <c r="AI167" s="208"/>
      <c r="AJ167" s="208"/>
      <c r="AK167" s="208"/>
      <c r="AL167" s="208"/>
      <c r="AM167" s="208"/>
      <c r="AN167" s="208"/>
      <c r="AO167" s="208"/>
      <c r="AP167" s="208"/>
      <c r="AQ167" s="208"/>
      <c r="AR167" s="208"/>
      <c r="AS167" s="208"/>
      <c r="AT167" s="208"/>
      <c r="AU167" s="208"/>
      <c r="AV167" s="208"/>
      <c r="AW167" s="148"/>
      <c r="AX167" s="208"/>
      <c r="AY167" s="208"/>
      <c r="AZ167" s="208"/>
      <c r="BA167" s="208"/>
    </row>
    <row r="168" spans="1:53" s="70" customFormat="1" x14ac:dyDescent="0.3">
      <c r="L168" s="142"/>
      <c r="M168" s="142"/>
      <c r="N168" s="142"/>
      <c r="O168" s="144"/>
      <c r="P168" s="144"/>
      <c r="R168" s="208"/>
      <c r="S168" s="208"/>
      <c r="T168" s="208"/>
      <c r="U168" s="208"/>
      <c r="V168" s="208"/>
      <c r="W168" s="208"/>
      <c r="X168" s="208"/>
      <c r="Y168" s="208"/>
      <c r="Z168" s="208"/>
      <c r="AA168" s="208"/>
      <c r="AB168" s="208"/>
      <c r="AC168" s="208"/>
      <c r="AD168" s="208"/>
      <c r="AE168" s="208"/>
      <c r="AF168" s="208"/>
      <c r="AG168" s="208"/>
      <c r="AH168" s="208"/>
      <c r="AI168" s="208"/>
      <c r="AJ168" s="208"/>
      <c r="AK168" s="208"/>
      <c r="AL168" s="208"/>
      <c r="AM168" s="208"/>
      <c r="AN168" s="208"/>
      <c r="AO168" s="208"/>
      <c r="AP168" s="208"/>
      <c r="AQ168" s="208"/>
      <c r="AR168" s="208"/>
      <c r="AS168" s="208"/>
      <c r="AT168" s="208"/>
      <c r="AU168" s="208"/>
      <c r="AV168" s="208"/>
      <c r="AW168" s="148"/>
      <c r="AX168" s="208"/>
      <c r="AY168" s="208"/>
      <c r="AZ168" s="208"/>
      <c r="BA168" s="208"/>
    </row>
    <row r="169" spans="1:53" s="70" customFormat="1" x14ac:dyDescent="0.3">
      <c r="L169" s="142"/>
      <c r="M169" s="142"/>
      <c r="N169" s="142"/>
      <c r="O169" s="144"/>
      <c r="P169" s="144"/>
      <c r="R169" s="208"/>
      <c r="S169" s="208"/>
      <c r="T169" s="208"/>
      <c r="U169" s="208"/>
      <c r="V169" s="208"/>
      <c r="W169" s="208"/>
      <c r="X169" s="208"/>
      <c r="Y169" s="208"/>
      <c r="Z169" s="208"/>
      <c r="AA169" s="208"/>
      <c r="AB169" s="208"/>
      <c r="AC169" s="208"/>
      <c r="AD169" s="208"/>
      <c r="AE169" s="208"/>
      <c r="AF169" s="208"/>
      <c r="AG169" s="208"/>
      <c r="AH169" s="208"/>
      <c r="AI169" s="208"/>
      <c r="AJ169" s="208"/>
      <c r="AK169" s="208"/>
      <c r="AL169" s="208"/>
      <c r="AM169" s="208"/>
      <c r="AN169" s="208"/>
      <c r="AO169" s="208"/>
      <c r="AP169" s="208"/>
      <c r="AQ169" s="208"/>
      <c r="AR169" s="208"/>
      <c r="AS169" s="208"/>
      <c r="AT169" s="208"/>
      <c r="AU169" s="208"/>
      <c r="AV169" s="208"/>
      <c r="AW169" s="148"/>
      <c r="AX169" s="208"/>
      <c r="AY169" s="208"/>
      <c r="AZ169" s="208"/>
      <c r="BA169" s="208"/>
    </row>
    <row r="170" spans="1:53" s="70" customFormat="1" x14ac:dyDescent="0.3">
      <c r="L170" s="142"/>
      <c r="M170" s="142"/>
      <c r="N170" s="142"/>
      <c r="O170" s="144"/>
      <c r="P170" s="144"/>
      <c r="R170" s="208"/>
      <c r="S170" s="208"/>
      <c r="T170" s="208"/>
      <c r="U170" s="208"/>
      <c r="V170" s="208"/>
      <c r="W170" s="208"/>
      <c r="X170" s="208"/>
      <c r="Y170" s="208"/>
      <c r="Z170" s="208"/>
      <c r="AA170" s="208"/>
      <c r="AB170" s="208"/>
      <c r="AC170" s="208"/>
      <c r="AD170" s="208"/>
      <c r="AE170" s="208"/>
      <c r="AF170" s="208"/>
      <c r="AG170" s="208"/>
      <c r="AH170" s="208"/>
      <c r="AI170" s="208"/>
      <c r="AJ170" s="208"/>
      <c r="AK170" s="208"/>
      <c r="AL170" s="208"/>
      <c r="AM170" s="208"/>
      <c r="AN170" s="208"/>
      <c r="AO170" s="208"/>
      <c r="AP170" s="208"/>
      <c r="AQ170" s="208"/>
      <c r="AR170" s="208"/>
      <c r="AS170" s="208"/>
      <c r="AT170" s="208"/>
      <c r="AU170" s="208"/>
      <c r="AV170" s="208"/>
      <c r="AW170" s="148"/>
      <c r="AX170" s="208"/>
      <c r="AY170" s="208"/>
      <c r="AZ170" s="208"/>
      <c r="BA170" s="208"/>
    </row>
    <row r="171" spans="1:53" s="145" customFormat="1" x14ac:dyDescent="0.3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142"/>
      <c r="M171" s="142"/>
      <c r="N171" s="142"/>
      <c r="O171" s="144"/>
      <c r="P171" s="144"/>
      <c r="Q171" s="70"/>
      <c r="R171" s="208"/>
      <c r="S171" s="208"/>
      <c r="T171" s="208"/>
      <c r="U171" s="208"/>
      <c r="V171" s="208"/>
      <c r="W171" s="208"/>
      <c r="X171" s="208"/>
      <c r="Y171" s="208"/>
      <c r="Z171" s="208"/>
      <c r="AA171" s="208"/>
      <c r="AB171" s="208"/>
      <c r="AC171" s="208"/>
      <c r="AD171" s="208"/>
      <c r="AE171" s="208"/>
      <c r="AF171" s="208"/>
      <c r="AG171" s="208"/>
      <c r="AH171" s="208"/>
      <c r="AI171" s="208"/>
      <c r="AJ171" s="208"/>
      <c r="AK171" s="208"/>
      <c r="AL171" s="208"/>
      <c r="AM171" s="208"/>
      <c r="AN171" s="208"/>
      <c r="AO171" s="208"/>
      <c r="AP171" s="208"/>
      <c r="AQ171" s="208"/>
      <c r="AR171" s="208"/>
      <c r="AS171" s="208"/>
      <c r="AT171" s="208"/>
      <c r="AU171" s="208"/>
      <c r="AV171" s="208"/>
      <c r="AW171" s="148"/>
      <c r="AX171" s="208"/>
      <c r="AY171" s="208"/>
      <c r="AZ171" s="208"/>
      <c r="BA171" s="208"/>
    </row>
    <row r="172" spans="1:53" s="145" customFormat="1" x14ac:dyDescent="0.3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142"/>
      <c r="M172" s="142"/>
      <c r="N172" s="142"/>
      <c r="O172" s="144"/>
      <c r="P172" s="144"/>
      <c r="Q172" s="70"/>
      <c r="R172" s="208"/>
      <c r="S172" s="208"/>
      <c r="T172" s="208"/>
      <c r="U172" s="208"/>
      <c r="V172" s="208"/>
      <c r="W172" s="208"/>
      <c r="X172" s="208"/>
      <c r="Y172" s="208"/>
      <c r="Z172" s="208"/>
      <c r="AA172" s="208"/>
      <c r="AB172" s="208"/>
      <c r="AC172" s="208"/>
      <c r="AD172" s="208"/>
      <c r="AE172" s="208"/>
      <c r="AF172" s="208"/>
      <c r="AG172" s="208"/>
      <c r="AH172" s="208"/>
      <c r="AI172" s="208"/>
      <c r="AJ172" s="208"/>
      <c r="AK172" s="208"/>
      <c r="AL172" s="208"/>
      <c r="AM172" s="208"/>
      <c r="AN172" s="208"/>
      <c r="AO172" s="208"/>
      <c r="AP172" s="208"/>
      <c r="AQ172" s="208"/>
      <c r="AR172" s="208"/>
      <c r="AS172" s="208"/>
      <c r="AT172" s="208"/>
      <c r="AU172" s="208"/>
      <c r="AV172" s="208"/>
      <c r="AW172" s="148"/>
      <c r="AX172" s="208"/>
      <c r="AY172" s="208"/>
      <c r="AZ172" s="208"/>
      <c r="BA172" s="208"/>
    </row>
    <row r="173" spans="1:53" s="145" customFormat="1" x14ac:dyDescent="0.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142"/>
      <c r="M173" s="142"/>
      <c r="N173" s="142"/>
      <c r="O173" s="144"/>
      <c r="P173" s="144"/>
      <c r="Q173" s="70"/>
      <c r="R173" s="208"/>
      <c r="S173" s="208"/>
      <c r="T173" s="208"/>
      <c r="U173" s="208"/>
      <c r="V173" s="208"/>
      <c r="W173" s="208"/>
      <c r="X173" s="208"/>
      <c r="Y173" s="208"/>
      <c r="Z173" s="208"/>
      <c r="AA173" s="208"/>
      <c r="AB173" s="208"/>
      <c r="AC173" s="208"/>
      <c r="AD173" s="208"/>
      <c r="AE173" s="208"/>
      <c r="AF173" s="208"/>
      <c r="AG173" s="208"/>
      <c r="AH173" s="208"/>
      <c r="AI173" s="208"/>
      <c r="AJ173" s="208"/>
      <c r="AK173" s="208"/>
      <c r="AL173" s="208"/>
      <c r="AM173" s="208"/>
      <c r="AN173" s="208"/>
      <c r="AO173" s="208"/>
      <c r="AP173" s="208"/>
      <c r="AQ173" s="208"/>
      <c r="AR173" s="208"/>
      <c r="AS173" s="208"/>
      <c r="AT173" s="208"/>
      <c r="AU173" s="208"/>
      <c r="AV173" s="208"/>
      <c r="AW173" s="148"/>
      <c r="AX173" s="208"/>
      <c r="AY173" s="208"/>
      <c r="AZ173" s="208"/>
      <c r="BA173" s="208"/>
    </row>
    <row r="174" spans="1:53" s="145" customFormat="1" x14ac:dyDescent="0.3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142"/>
      <c r="M174" s="142"/>
      <c r="N174" s="142"/>
      <c r="O174" s="144"/>
      <c r="P174" s="144"/>
      <c r="Q174" s="70"/>
      <c r="R174" s="208"/>
      <c r="S174" s="208"/>
      <c r="T174" s="208"/>
      <c r="U174" s="208"/>
      <c r="V174" s="208"/>
      <c r="W174" s="208"/>
      <c r="X174" s="208"/>
      <c r="Y174" s="208"/>
      <c r="Z174" s="208"/>
      <c r="AA174" s="208"/>
      <c r="AB174" s="208"/>
      <c r="AC174" s="208"/>
      <c r="AD174" s="208"/>
      <c r="AE174" s="208"/>
      <c r="AF174" s="208"/>
      <c r="AG174" s="208"/>
      <c r="AH174" s="208"/>
      <c r="AI174" s="208"/>
      <c r="AJ174" s="208"/>
      <c r="AK174" s="208"/>
      <c r="AL174" s="208"/>
      <c r="AM174" s="208"/>
      <c r="AN174" s="208"/>
      <c r="AO174" s="208"/>
      <c r="AP174" s="208"/>
      <c r="AQ174" s="208"/>
      <c r="AR174" s="208"/>
      <c r="AS174" s="208"/>
      <c r="AT174" s="208"/>
      <c r="AU174" s="208"/>
      <c r="AV174" s="208"/>
      <c r="AW174" s="148"/>
      <c r="AX174" s="208"/>
      <c r="AY174" s="208"/>
      <c r="AZ174" s="208"/>
      <c r="BA174" s="208"/>
    </row>
    <row r="175" spans="1:53" s="145" customFormat="1" x14ac:dyDescent="0.3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142"/>
      <c r="M175" s="142"/>
      <c r="N175" s="142"/>
      <c r="O175" s="147"/>
      <c r="P175" s="144"/>
      <c r="Q175" s="70"/>
      <c r="R175" s="208"/>
      <c r="S175" s="208"/>
      <c r="T175" s="208"/>
      <c r="U175" s="208"/>
      <c r="V175" s="208"/>
      <c r="W175" s="208"/>
      <c r="X175" s="208"/>
      <c r="Y175" s="208"/>
      <c r="Z175" s="208"/>
      <c r="AA175" s="208"/>
      <c r="AB175" s="208"/>
      <c r="AC175" s="208"/>
      <c r="AD175" s="208"/>
      <c r="AE175" s="208"/>
      <c r="AF175" s="208"/>
      <c r="AG175" s="208"/>
      <c r="AH175" s="208"/>
      <c r="AI175" s="208"/>
      <c r="AJ175" s="208"/>
      <c r="AK175" s="208"/>
      <c r="AL175" s="208"/>
      <c r="AM175" s="208"/>
      <c r="AN175" s="208"/>
      <c r="AO175" s="208"/>
      <c r="AP175" s="208"/>
      <c r="AQ175" s="208"/>
      <c r="AR175" s="208"/>
      <c r="AS175" s="208"/>
      <c r="AT175" s="208"/>
      <c r="AU175" s="208"/>
      <c r="AV175" s="208"/>
      <c r="AW175" s="148"/>
      <c r="AX175" s="208"/>
      <c r="AY175" s="208"/>
      <c r="AZ175" s="208"/>
      <c r="BA175" s="208"/>
    </row>
    <row r="176" spans="1:53" s="145" customFormat="1" x14ac:dyDescent="0.3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142"/>
      <c r="M176" s="142"/>
      <c r="N176" s="142"/>
      <c r="O176" s="147"/>
      <c r="P176" s="144"/>
      <c r="Q176" s="70"/>
      <c r="R176" s="208"/>
      <c r="S176" s="208"/>
      <c r="T176" s="208"/>
      <c r="U176" s="208"/>
      <c r="V176" s="208"/>
      <c r="W176" s="208"/>
      <c r="X176" s="208"/>
      <c r="Y176" s="208"/>
      <c r="Z176" s="208"/>
      <c r="AA176" s="208"/>
      <c r="AB176" s="208"/>
      <c r="AC176" s="208"/>
      <c r="AD176" s="208"/>
      <c r="AE176" s="208"/>
      <c r="AF176" s="208"/>
      <c r="AG176" s="208"/>
      <c r="AH176" s="208"/>
      <c r="AI176" s="208"/>
      <c r="AJ176" s="208"/>
      <c r="AK176" s="208"/>
      <c r="AL176" s="208"/>
      <c r="AM176" s="208"/>
      <c r="AN176" s="208"/>
      <c r="AO176" s="208"/>
      <c r="AP176" s="208"/>
      <c r="AQ176" s="208"/>
      <c r="AR176" s="208"/>
      <c r="AS176" s="208"/>
      <c r="AT176" s="208"/>
      <c r="AU176" s="208"/>
      <c r="AV176" s="208"/>
      <c r="AW176" s="148"/>
      <c r="AX176" s="208"/>
      <c r="AY176" s="208"/>
      <c r="AZ176" s="208"/>
      <c r="BA176" s="208"/>
    </row>
    <row r="177" spans="1:53" s="145" customFormat="1" x14ac:dyDescent="0.3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142"/>
      <c r="M177" s="142"/>
      <c r="N177" s="142"/>
      <c r="O177" s="147"/>
      <c r="P177" s="144"/>
      <c r="Q177" s="70"/>
      <c r="R177" s="208"/>
      <c r="S177" s="208"/>
      <c r="T177" s="208"/>
      <c r="U177" s="208"/>
      <c r="V177" s="208"/>
      <c r="W177" s="208"/>
      <c r="X177" s="208"/>
      <c r="Y177" s="208"/>
      <c r="Z177" s="208"/>
      <c r="AA177" s="208"/>
      <c r="AB177" s="208"/>
      <c r="AC177" s="208"/>
      <c r="AD177" s="208"/>
      <c r="AE177" s="208"/>
      <c r="AF177" s="208"/>
      <c r="AG177" s="208"/>
      <c r="AH177" s="208"/>
      <c r="AI177" s="208"/>
      <c r="AJ177" s="208"/>
      <c r="AK177" s="208"/>
      <c r="AL177" s="208"/>
      <c r="AM177" s="208"/>
      <c r="AN177" s="208"/>
      <c r="AO177" s="208"/>
      <c r="AP177" s="208"/>
      <c r="AQ177" s="208"/>
      <c r="AR177" s="208"/>
      <c r="AS177" s="208"/>
      <c r="AT177" s="208"/>
      <c r="AU177" s="208"/>
      <c r="AV177" s="208"/>
      <c r="AW177" s="148"/>
      <c r="AX177" s="208"/>
      <c r="AY177" s="208"/>
      <c r="AZ177" s="208"/>
      <c r="BA177" s="208"/>
    </row>
    <row r="178" spans="1:53" s="145" customFormat="1" x14ac:dyDescent="0.3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142"/>
      <c r="M178" s="142"/>
      <c r="N178" s="142"/>
      <c r="O178" s="147"/>
      <c r="P178" s="144"/>
      <c r="Q178" s="149"/>
      <c r="R178" s="208"/>
      <c r="S178" s="208"/>
      <c r="T178" s="208"/>
      <c r="U178" s="208"/>
      <c r="V178" s="208"/>
      <c r="W178" s="208"/>
      <c r="X178" s="208"/>
      <c r="Y178" s="208"/>
      <c r="Z178" s="208"/>
      <c r="AA178" s="208"/>
      <c r="AB178" s="208"/>
      <c r="AC178" s="208"/>
      <c r="AD178" s="208"/>
      <c r="AE178" s="208"/>
      <c r="AF178" s="208"/>
      <c r="AG178" s="208"/>
      <c r="AH178" s="208"/>
      <c r="AI178" s="208"/>
      <c r="AJ178" s="208"/>
      <c r="AK178" s="208"/>
      <c r="AL178" s="208"/>
      <c r="AM178" s="208"/>
      <c r="AN178" s="208"/>
      <c r="AO178" s="208"/>
      <c r="AP178" s="208"/>
      <c r="AQ178" s="208"/>
      <c r="AR178" s="208"/>
      <c r="AS178" s="208"/>
      <c r="AT178" s="208"/>
      <c r="AU178" s="208"/>
      <c r="AV178" s="208"/>
      <c r="AW178" s="148"/>
      <c r="AX178" s="208"/>
      <c r="AY178" s="208"/>
      <c r="AZ178" s="208"/>
      <c r="BA178" s="208"/>
    </row>
    <row r="179" spans="1:53" s="145" customFormat="1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142"/>
      <c r="M179" s="142"/>
      <c r="N179" s="142"/>
      <c r="O179" s="147"/>
      <c r="P179" s="144"/>
      <c r="Q179" s="149"/>
      <c r="R179" s="208"/>
      <c r="S179" s="208"/>
      <c r="T179" s="208"/>
      <c r="U179" s="208"/>
      <c r="V179" s="208"/>
      <c r="W179" s="208"/>
      <c r="X179" s="208"/>
      <c r="Y179" s="208"/>
      <c r="Z179" s="208"/>
      <c r="AA179" s="208"/>
      <c r="AB179" s="208"/>
      <c r="AC179" s="208"/>
      <c r="AD179" s="208"/>
      <c r="AE179" s="208"/>
      <c r="AF179" s="208"/>
      <c r="AG179" s="208"/>
      <c r="AH179" s="208"/>
      <c r="AI179" s="208"/>
      <c r="AJ179" s="208"/>
      <c r="AK179" s="208"/>
      <c r="AL179" s="208"/>
      <c r="AM179" s="208"/>
      <c r="AN179" s="208"/>
      <c r="AO179" s="208"/>
      <c r="AP179" s="208"/>
      <c r="AQ179" s="208"/>
      <c r="AR179" s="208"/>
      <c r="AS179" s="208"/>
      <c r="AT179" s="208"/>
      <c r="AU179" s="208"/>
      <c r="AV179" s="208"/>
      <c r="AW179" s="148"/>
      <c r="AX179" s="208"/>
      <c r="AY179" s="208"/>
      <c r="AZ179" s="208"/>
      <c r="BA179" s="208"/>
    </row>
    <row r="180" spans="1:53" s="145" customFormat="1" x14ac:dyDescent="0.3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142"/>
      <c r="M180" s="142"/>
      <c r="N180" s="142"/>
      <c r="O180" s="147"/>
      <c r="P180" s="147"/>
      <c r="Q180" s="149"/>
      <c r="R180" s="208"/>
      <c r="S180" s="208"/>
      <c r="T180" s="208"/>
      <c r="U180" s="208"/>
      <c r="V180" s="208"/>
      <c r="W180" s="208"/>
      <c r="X180" s="208"/>
      <c r="Y180" s="208"/>
      <c r="Z180" s="208"/>
      <c r="AA180" s="208"/>
      <c r="AB180" s="208"/>
      <c r="AC180" s="208"/>
      <c r="AD180" s="208"/>
      <c r="AE180" s="208"/>
      <c r="AF180" s="208"/>
      <c r="AG180" s="208"/>
      <c r="AH180" s="208"/>
      <c r="AI180" s="208"/>
      <c r="AJ180" s="208"/>
      <c r="AK180" s="208"/>
      <c r="AL180" s="208"/>
      <c r="AM180" s="208"/>
      <c r="AN180" s="208"/>
      <c r="AO180" s="208"/>
      <c r="AP180" s="208"/>
      <c r="AQ180" s="208"/>
      <c r="AR180" s="208"/>
      <c r="AS180" s="208"/>
      <c r="AT180" s="208"/>
      <c r="AU180" s="208"/>
      <c r="AV180" s="208"/>
      <c r="AW180" s="148"/>
      <c r="AX180" s="208"/>
      <c r="AY180" s="208"/>
      <c r="AZ180" s="208"/>
      <c r="BA180" s="208"/>
    </row>
    <row r="181" spans="1:53" s="145" customFormat="1" x14ac:dyDescent="0.3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142"/>
      <c r="M181" s="142"/>
      <c r="N181" s="142"/>
      <c r="O181" s="147"/>
      <c r="P181" s="147"/>
      <c r="Q181" s="149"/>
      <c r="R181" s="208"/>
      <c r="S181" s="208"/>
      <c r="T181" s="208"/>
      <c r="U181" s="208"/>
      <c r="V181" s="208"/>
      <c r="W181" s="208"/>
      <c r="X181" s="208"/>
      <c r="Y181" s="208"/>
      <c r="Z181" s="208"/>
      <c r="AA181" s="208"/>
      <c r="AB181" s="208"/>
      <c r="AC181" s="208"/>
      <c r="AD181" s="208"/>
      <c r="AE181" s="208"/>
      <c r="AF181" s="208"/>
      <c r="AG181" s="208"/>
      <c r="AH181" s="208"/>
      <c r="AI181" s="208"/>
      <c r="AJ181" s="208"/>
      <c r="AK181" s="208"/>
      <c r="AL181" s="208"/>
      <c r="AM181" s="208"/>
      <c r="AN181" s="208"/>
      <c r="AO181" s="208"/>
      <c r="AP181" s="208"/>
      <c r="AQ181" s="208"/>
      <c r="AR181" s="208"/>
      <c r="AS181" s="208"/>
      <c r="AT181" s="208"/>
      <c r="AU181" s="208"/>
      <c r="AV181" s="208"/>
      <c r="AW181" s="148"/>
      <c r="AX181" s="208"/>
      <c r="AY181" s="208"/>
      <c r="AZ181" s="208"/>
      <c r="BA181" s="208"/>
    </row>
    <row r="182" spans="1:53" s="145" customFormat="1" x14ac:dyDescent="0.3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142"/>
      <c r="M182" s="142"/>
      <c r="N182" s="142"/>
      <c r="O182" s="147"/>
      <c r="P182" s="147"/>
      <c r="Q182" s="149"/>
      <c r="R182" s="208"/>
      <c r="S182" s="208"/>
      <c r="T182" s="208"/>
      <c r="U182" s="208"/>
      <c r="V182" s="208"/>
      <c r="W182" s="208"/>
      <c r="X182" s="208"/>
      <c r="Y182" s="208"/>
      <c r="Z182" s="208"/>
      <c r="AA182" s="208"/>
      <c r="AB182" s="208"/>
      <c r="AC182" s="208"/>
      <c r="AD182" s="208"/>
      <c r="AE182" s="208"/>
      <c r="AF182" s="208"/>
      <c r="AG182" s="208"/>
      <c r="AH182" s="208"/>
      <c r="AI182" s="208"/>
      <c r="AJ182" s="208"/>
      <c r="AK182" s="208"/>
      <c r="AL182" s="208"/>
      <c r="AM182" s="208"/>
      <c r="AN182" s="208"/>
      <c r="AO182" s="208"/>
      <c r="AP182" s="208"/>
      <c r="AQ182" s="208"/>
      <c r="AR182" s="208"/>
      <c r="AS182" s="208"/>
      <c r="AT182" s="208"/>
      <c r="AU182" s="208"/>
      <c r="AV182" s="208"/>
      <c r="AW182" s="148"/>
      <c r="AX182" s="208"/>
      <c r="AY182" s="208"/>
      <c r="AZ182" s="208"/>
      <c r="BA182" s="208"/>
    </row>
    <row r="183" spans="1:53" s="145" customFormat="1" x14ac:dyDescent="0.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146"/>
      <c r="M183" s="146"/>
      <c r="N183" s="146"/>
      <c r="O183" s="147"/>
      <c r="P183" s="147"/>
      <c r="Q183" s="149"/>
      <c r="R183" s="208"/>
      <c r="S183" s="208"/>
      <c r="T183" s="208"/>
      <c r="U183" s="208"/>
      <c r="V183" s="208"/>
      <c r="W183" s="208"/>
      <c r="X183" s="208"/>
      <c r="Y183" s="208"/>
      <c r="Z183" s="208"/>
      <c r="AA183" s="208"/>
      <c r="AB183" s="208"/>
      <c r="AC183" s="208"/>
      <c r="AD183" s="208"/>
      <c r="AE183" s="208"/>
      <c r="AF183" s="208"/>
      <c r="AG183" s="208"/>
      <c r="AH183" s="208"/>
      <c r="AI183" s="208"/>
      <c r="AJ183" s="208"/>
      <c r="AK183" s="208"/>
      <c r="AL183" s="208"/>
      <c r="AM183" s="208"/>
      <c r="AN183" s="208"/>
      <c r="AO183" s="208"/>
      <c r="AP183" s="208"/>
      <c r="AQ183" s="208"/>
      <c r="AR183" s="208"/>
      <c r="AS183" s="208"/>
      <c r="AT183" s="208"/>
      <c r="AU183" s="208"/>
      <c r="AV183" s="208"/>
      <c r="AW183" s="148"/>
      <c r="AX183" s="208"/>
      <c r="AY183" s="208"/>
      <c r="AZ183" s="208"/>
      <c r="BA183" s="208"/>
    </row>
    <row r="184" spans="1:53" s="145" customFormat="1" x14ac:dyDescent="0.3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146"/>
      <c r="M184" s="146"/>
      <c r="N184" s="146"/>
      <c r="O184" s="147"/>
      <c r="P184" s="147"/>
      <c r="Q184" s="149"/>
      <c r="R184" s="208"/>
      <c r="S184" s="208"/>
      <c r="T184" s="208"/>
      <c r="U184" s="208"/>
      <c r="V184" s="208"/>
      <c r="W184" s="208"/>
      <c r="X184" s="208"/>
      <c r="Y184" s="208"/>
      <c r="Z184" s="208"/>
      <c r="AA184" s="208"/>
      <c r="AB184" s="208"/>
      <c r="AC184" s="208"/>
      <c r="AD184" s="208"/>
      <c r="AE184" s="208"/>
      <c r="AF184" s="208"/>
      <c r="AG184" s="208"/>
      <c r="AH184" s="208"/>
      <c r="AI184" s="208"/>
      <c r="AJ184" s="208"/>
      <c r="AK184" s="208"/>
      <c r="AL184" s="208"/>
      <c r="AM184" s="208"/>
      <c r="AN184" s="208"/>
      <c r="AO184" s="208"/>
      <c r="AP184" s="208"/>
      <c r="AQ184" s="208"/>
      <c r="AR184" s="208"/>
      <c r="AS184" s="208"/>
      <c r="AT184" s="208"/>
      <c r="AU184" s="208"/>
      <c r="AV184" s="208"/>
      <c r="AW184" s="148"/>
      <c r="AX184" s="208"/>
      <c r="AY184" s="208"/>
      <c r="AZ184" s="208"/>
      <c r="BA184" s="208"/>
    </row>
    <row r="185" spans="1:53" s="145" customFormat="1" x14ac:dyDescent="0.3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146"/>
      <c r="M185" s="146"/>
      <c r="N185" s="146"/>
      <c r="O185" s="147"/>
      <c r="P185" s="147"/>
      <c r="Q185" s="149"/>
      <c r="R185" s="208"/>
      <c r="S185" s="208"/>
      <c r="T185" s="208"/>
      <c r="U185" s="208"/>
      <c r="V185" s="208"/>
      <c r="W185" s="208"/>
      <c r="X185" s="208"/>
      <c r="Y185" s="208"/>
      <c r="Z185" s="208"/>
      <c r="AA185" s="208"/>
      <c r="AB185" s="208"/>
      <c r="AC185" s="208"/>
      <c r="AD185" s="208"/>
      <c r="AE185" s="208"/>
      <c r="AF185" s="208"/>
      <c r="AG185" s="208"/>
      <c r="AH185" s="208"/>
      <c r="AI185" s="208"/>
      <c r="AJ185" s="208"/>
      <c r="AK185" s="208"/>
      <c r="AL185" s="208"/>
      <c r="AM185" s="208"/>
      <c r="AN185" s="208"/>
      <c r="AO185" s="208"/>
      <c r="AP185" s="208"/>
      <c r="AQ185" s="208"/>
      <c r="AR185" s="208"/>
      <c r="AS185" s="208"/>
      <c r="AT185" s="208"/>
      <c r="AU185" s="208"/>
      <c r="AV185" s="208"/>
      <c r="AW185" s="148"/>
      <c r="AX185" s="208"/>
      <c r="AY185" s="208"/>
      <c r="AZ185" s="208"/>
      <c r="BA185" s="208"/>
    </row>
    <row r="186" spans="1:53" s="145" customFormat="1" x14ac:dyDescent="0.3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146"/>
      <c r="M186" s="146"/>
      <c r="N186" s="146"/>
      <c r="O186" s="147"/>
      <c r="P186" s="147"/>
      <c r="Q186" s="149"/>
      <c r="R186" s="208"/>
      <c r="S186" s="208"/>
      <c r="T186" s="208"/>
      <c r="U186" s="208"/>
      <c r="V186" s="208"/>
      <c r="W186" s="208"/>
      <c r="X186" s="208"/>
      <c r="Y186" s="208"/>
      <c r="Z186" s="208"/>
      <c r="AA186" s="208"/>
      <c r="AB186" s="208"/>
      <c r="AC186" s="208"/>
      <c r="AD186" s="208"/>
      <c r="AE186" s="208"/>
      <c r="AF186" s="208"/>
      <c r="AG186" s="208"/>
      <c r="AH186" s="208"/>
      <c r="AI186" s="208"/>
      <c r="AJ186" s="208"/>
      <c r="AK186" s="208"/>
      <c r="AL186" s="208"/>
      <c r="AM186" s="208"/>
      <c r="AN186" s="208"/>
      <c r="AO186" s="208"/>
      <c r="AP186" s="208"/>
      <c r="AQ186" s="208"/>
      <c r="AR186" s="208"/>
      <c r="AS186" s="208"/>
      <c r="AT186" s="208"/>
      <c r="AU186" s="208"/>
      <c r="AV186" s="208"/>
      <c r="AW186" s="148"/>
      <c r="AX186" s="208"/>
      <c r="AY186" s="208"/>
      <c r="AZ186" s="208"/>
      <c r="BA186" s="208"/>
    </row>
    <row r="187" spans="1:53" s="145" customFormat="1" x14ac:dyDescent="0.3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146"/>
      <c r="M187" s="146"/>
      <c r="N187" s="146"/>
      <c r="O187" s="147"/>
      <c r="P187" s="147"/>
      <c r="Q187" s="149"/>
      <c r="R187" s="208"/>
      <c r="S187" s="208"/>
      <c r="T187" s="208"/>
      <c r="U187" s="208"/>
      <c r="V187" s="208"/>
      <c r="W187" s="208"/>
      <c r="X187" s="208"/>
      <c r="Y187" s="208"/>
      <c r="Z187" s="208"/>
      <c r="AA187" s="208"/>
      <c r="AB187" s="208"/>
      <c r="AC187" s="208"/>
      <c r="AD187" s="208"/>
      <c r="AE187" s="208"/>
      <c r="AF187" s="208"/>
      <c r="AG187" s="208"/>
      <c r="AH187" s="208"/>
      <c r="AI187" s="208"/>
      <c r="AJ187" s="208"/>
      <c r="AK187" s="208"/>
      <c r="AL187" s="208"/>
      <c r="AM187" s="208"/>
      <c r="AN187" s="208"/>
      <c r="AO187" s="208"/>
      <c r="AP187" s="208"/>
      <c r="AQ187" s="208"/>
      <c r="AR187" s="208"/>
      <c r="AS187" s="208"/>
      <c r="AT187" s="208"/>
      <c r="AU187" s="208"/>
      <c r="AV187" s="208"/>
      <c r="AW187" s="148"/>
      <c r="AX187" s="208"/>
      <c r="AY187" s="208"/>
      <c r="AZ187" s="208"/>
      <c r="BA187" s="208"/>
    </row>
    <row r="188" spans="1:53" x14ac:dyDescent="0.3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146"/>
      <c r="M188" s="146"/>
      <c r="N188" s="146"/>
      <c r="O188" s="147"/>
      <c r="P188" s="147"/>
      <c r="Q188" s="149"/>
    </row>
    <row r="189" spans="1:53" x14ac:dyDescent="0.3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146"/>
      <c r="M189" s="146"/>
      <c r="N189" s="146"/>
      <c r="O189" s="147"/>
      <c r="P189" s="147"/>
      <c r="Q189" s="149"/>
    </row>
    <row r="190" spans="1:53" x14ac:dyDescent="0.3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146"/>
      <c r="M190" s="146"/>
      <c r="N190" s="146"/>
      <c r="O190" s="147"/>
      <c r="P190" s="147"/>
    </row>
    <row r="191" spans="1:53" x14ac:dyDescent="0.3">
      <c r="A191" s="149"/>
      <c r="B191" s="149"/>
      <c r="C191" s="149"/>
      <c r="D191" s="149"/>
      <c r="E191" s="149"/>
      <c r="F191" s="70"/>
      <c r="G191" s="70"/>
      <c r="H191" s="70"/>
      <c r="I191" s="70"/>
      <c r="J191" s="70"/>
      <c r="K191" s="70"/>
      <c r="L191" s="146"/>
      <c r="M191" s="146"/>
      <c r="N191" s="146"/>
      <c r="O191" s="147"/>
      <c r="P191" s="147"/>
    </row>
    <row r="192" spans="1:53" x14ac:dyDescent="0.3">
      <c r="A192" s="149"/>
      <c r="B192" s="149"/>
      <c r="C192" s="149"/>
      <c r="D192" s="149"/>
      <c r="E192" s="149"/>
      <c r="F192" s="149"/>
      <c r="G192" s="149"/>
      <c r="H192" s="149"/>
      <c r="I192" s="70"/>
      <c r="J192" s="70"/>
      <c r="K192" s="70"/>
      <c r="L192" s="146"/>
      <c r="M192" s="146"/>
      <c r="N192" s="146"/>
      <c r="P192" s="147"/>
    </row>
    <row r="193" spans="1:48" x14ac:dyDescent="0.3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6"/>
      <c r="M193" s="146"/>
      <c r="N193" s="146"/>
      <c r="P193" s="147"/>
    </row>
    <row r="194" spans="1:48" x14ac:dyDescent="0.3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6"/>
      <c r="M194" s="146"/>
      <c r="N194" s="146"/>
      <c r="P194" s="147"/>
    </row>
    <row r="195" spans="1:48" x14ac:dyDescent="0.3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6"/>
      <c r="M195" s="146"/>
      <c r="N195" s="146"/>
      <c r="P195" s="147"/>
    </row>
    <row r="196" spans="1:48" x14ac:dyDescent="0.3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L196" s="146"/>
      <c r="M196" s="146"/>
      <c r="N196" s="146"/>
      <c r="O196" s="148"/>
      <c r="P196" s="147"/>
    </row>
    <row r="197" spans="1:48" x14ac:dyDescent="0.3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L197" s="146"/>
      <c r="M197" s="146"/>
      <c r="N197" s="146"/>
    </row>
    <row r="198" spans="1:48" x14ac:dyDescent="0.3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L198" s="146"/>
      <c r="M198" s="146"/>
      <c r="N198" s="146"/>
    </row>
    <row r="199" spans="1:48" x14ac:dyDescent="0.3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L199" s="146"/>
      <c r="M199" s="146"/>
      <c r="N199" s="146"/>
    </row>
    <row r="200" spans="1:48" x14ac:dyDescent="0.3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</row>
    <row r="201" spans="1:48" x14ac:dyDescent="0.3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  <c r="R201" s="148"/>
      <c r="S201" s="148"/>
      <c r="T201" s="148"/>
      <c r="U201" s="148"/>
      <c r="V201" s="148"/>
      <c r="W201" s="148"/>
      <c r="X201" s="148"/>
      <c r="Y201" s="148"/>
      <c r="Z201" s="148"/>
      <c r="AA201" s="148"/>
      <c r="AB201" s="148"/>
      <c r="AC201" s="148"/>
      <c r="AD201" s="148"/>
      <c r="AE201" s="148"/>
      <c r="AF201" s="148"/>
      <c r="AG201" s="148"/>
      <c r="AH201" s="148"/>
      <c r="AI201" s="148"/>
      <c r="AJ201" s="148"/>
      <c r="AK201" s="148"/>
      <c r="AL201" s="148"/>
      <c r="AM201" s="148"/>
      <c r="AN201" s="148"/>
      <c r="AO201" s="148"/>
      <c r="AP201" s="148"/>
      <c r="AQ201" s="148"/>
      <c r="AR201" s="148"/>
      <c r="AS201" s="148"/>
      <c r="AT201" s="148"/>
      <c r="AU201" s="148"/>
      <c r="AV201" s="148"/>
    </row>
    <row r="202" spans="1:48" x14ac:dyDescent="0.3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</row>
    <row r="203" spans="1:48" x14ac:dyDescent="0.3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</row>
    <row r="204" spans="1:48" x14ac:dyDescent="0.3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  <c r="K204" s="149"/>
    </row>
    <row r="205" spans="1:48" x14ac:dyDescent="0.3">
      <c r="A205" s="149"/>
      <c r="B205" s="149"/>
      <c r="C205" s="149"/>
      <c r="D205" s="149"/>
      <c r="E205" s="149"/>
      <c r="F205" s="149"/>
      <c r="G205" s="149"/>
      <c r="H205" s="149"/>
      <c r="I205" s="149"/>
      <c r="J205" s="149"/>
      <c r="K205" s="149"/>
    </row>
    <row r="206" spans="1:48" x14ac:dyDescent="0.3">
      <c r="A206" s="149"/>
      <c r="B206" s="149"/>
      <c r="C206" s="149"/>
      <c r="D206" s="149"/>
      <c r="E206" s="149"/>
      <c r="F206" s="149"/>
      <c r="G206" s="149"/>
      <c r="H206" s="149"/>
      <c r="I206" s="149"/>
      <c r="J206" s="149"/>
      <c r="K206" s="149"/>
    </row>
    <row r="207" spans="1:48" x14ac:dyDescent="0.3">
      <c r="A207" s="149"/>
      <c r="B207" s="149"/>
      <c r="C207" s="149"/>
      <c r="D207" s="149"/>
      <c r="E207" s="149"/>
      <c r="F207" s="149"/>
      <c r="G207" s="149"/>
      <c r="H207" s="149"/>
      <c r="I207" s="149"/>
      <c r="J207" s="149"/>
      <c r="K207" s="149"/>
    </row>
    <row r="208" spans="1:48" x14ac:dyDescent="0.3">
      <c r="F208" s="149"/>
      <c r="G208" s="149"/>
      <c r="H208" s="149"/>
      <c r="I208" s="149"/>
      <c r="J208" s="149"/>
      <c r="K208" s="149"/>
    </row>
    <row r="209" spans="9:14" x14ac:dyDescent="0.3">
      <c r="I209" s="149"/>
      <c r="J209" s="149"/>
      <c r="K209" s="149"/>
    </row>
    <row r="213" spans="9:14" x14ac:dyDescent="0.3">
      <c r="L213" s="148"/>
      <c r="M213" s="148"/>
      <c r="N213" s="148"/>
    </row>
    <row r="1048534" spans="17:17" x14ac:dyDescent="0.3">
      <c r="Q1048534" s="57"/>
    </row>
    <row r="1048545" spans="1:61" s="70" customFormat="1" x14ac:dyDescent="0.3">
      <c r="A1048545" s="148"/>
      <c r="B1048545" s="148"/>
      <c r="C1048545" s="148"/>
      <c r="D1048545" s="148"/>
      <c r="E1048545" s="148"/>
      <c r="F1048545" s="148"/>
      <c r="G1048545" s="148"/>
      <c r="H1048545" s="148"/>
      <c r="I1048545" s="148"/>
      <c r="J1048545" s="148"/>
      <c r="K1048545" s="148"/>
      <c r="L1048545" s="150"/>
      <c r="M1048545" s="150"/>
      <c r="N1048545" s="150"/>
      <c r="O1048545" s="150"/>
      <c r="P1048545" s="150"/>
      <c r="Q1048545" s="148"/>
      <c r="R1048545" s="208"/>
      <c r="S1048545" s="208"/>
      <c r="T1048545" s="208"/>
      <c r="U1048545" s="208"/>
      <c r="V1048545" s="208"/>
      <c r="W1048545" s="208"/>
      <c r="X1048545" s="208"/>
      <c r="Y1048545" s="208"/>
      <c r="Z1048545" s="208"/>
      <c r="AA1048545" s="208"/>
      <c r="AB1048545" s="208"/>
      <c r="AC1048545" s="208"/>
      <c r="AD1048545" s="208"/>
      <c r="AE1048545" s="208"/>
      <c r="AF1048545" s="208"/>
      <c r="AG1048545" s="208"/>
      <c r="AH1048545" s="208"/>
      <c r="AI1048545" s="208"/>
      <c r="AJ1048545" s="208"/>
      <c r="AK1048545" s="208"/>
      <c r="AL1048545" s="208"/>
      <c r="AM1048545" s="208"/>
      <c r="AN1048545" s="208"/>
      <c r="AO1048545" s="208"/>
      <c r="AP1048545" s="208"/>
      <c r="AQ1048545" s="208"/>
      <c r="AR1048545" s="208"/>
      <c r="AS1048545" s="208"/>
      <c r="AT1048545" s="208"/>
      <c r="AU1048545" s="208"/>
      <c r="AV1048545" s="208"/>
      <c r="AW1048545" s="148"/>
      <c r="AX1048545" s="148"/>
      <c r="AY1048545" s="148"/>
      <c r="AZ1048545" s="148"/>
      <c r="BA1048545" s="148"/>
      <c r="BB1048545" s="148"/>
      <c r="BC1048545" s="148"/>
      <c r="BD1048545" s="148"/>
      <c r="BE1048545" s="148"/>
      <c r="BF1048545" s="148"/>
      <c r="BG1048545" s="148"/>
      <c r="BH1048545" s="148"/>
      <c r="BI1048545" s="148"/>
    </row>
  </sheetData>
  <mergeCells count="41">
    <mergeCell ref="A42:Q42"/>
    <mergeCell ref="A1:Q1"/>
    <mergeCell ref="A2:Q2"/>
    <mergeCell ref="A6:B6"/>
    <mergeCell ref="A7:Q7"/>
    <mergeCell ref="A36:B36"/>
    <mergeCell ref="A37:Q37"/>
    <mergeCell ref="E38:K38"/>
    <mergeCell ref="E39:K39"/>
    <mergeCell ref="A40:K40"/>
    <mergeCell ref="O40:Q40"/>
    <mergeCell ref="A41:O41"/>
    <mergeCell ref="O54:Q54"/>
    <mergeCell ref="E43:K43"/>
    <mergeCell ref="E44:K44"/>
    <mergeCell ref="E45:K45"/>
    <mergeCell ref="E46:K46"/>
    <mergeCell ref="E47:K47"/>
    <mergeCell ref="E48:K48"/>
    <mergeCell ref="E49:K49"/>
    <mergeCell ref="E50:K50"/>
    <mergeCell ref="E51:K51"/>
    <mergeCell ref="A52:K52"/>
    <mergeCell ref="A54:E54"/>
    <mergeCell ref="O67:P67"/>
    <mergeCell ref="O55:P55"/>
    <mergeCell ref="O56:P56"/>
    <mergeCell ref="O57:Q58"/>
    <mergeCell ref="O59:Q59"/>
    <mergeCell ref="O60:P60"/>
    <mergeCell ref="O61:P61"/>
    <mergeCell ref="O62:P62"/>
    <mergeCell ref="O63:P63"/>
    <mergeCell ref="O64:P64"/>
    <mergeCell ref="O65:P65"/>
    <mergeCell ref="O66:P66"/>
    <mergeCell ref="O68:P68"/>
    <mergeCell ref="O69:P69"/>
    <mergeCell ref="O70:P70"/>
    <mergeCell ref="O71:Q71"/>
    <mergeCell ref="O72:P72"/>
  </mergeCells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9BE37-7F61-4C59-B364-9A7005BFB210}">
  <dimension ref="A1:BH1048547"/>
  <sheetViews>
    <sheetView zoomScale="70" zoomScaleNormal="70" workbookViewId="0">
      <selection sqref="A1:XFD1048576"/>
    </sheetView>
  </sheetViews>
  <sheetFormatPr defaultColWidth="9.109375" defaultRowHeight="13.8" x14ac:dyDescent="0.3"/>
  <cols>
    <col min="1" max="1" width="50.6640625" style="148" bestFit="1" customWidth="1"/>
    <col min="2" max="2" width="8.33203125" style="148" bestFit="1" customWidth="1"/>
    <col min="3" max="3" width="13.44140625" style="148" bestFit="1" customWidth="1"/>
    <col min="4" max="4" width="14.33203125" style="148" bestFit="1" customWidth="1"/>
    <col min="5" max="5" width="13.44140625" style="148" bestFit="1" customWidth="1"/>
    <col min="6" max="6" width="14.5546875" style="148" bestFit="1" customWidth="1"/>
    <col min="7" max="7" width="13.5546875" style="148" bestFit="1" customWidth="1"/>
    <col min="8" max="8" width="13.21875" style="148" bestFit="1" customWidth="1"/>
    <col min="9" max="9" width="12.109375" style="148" bestFit="1" customWidth="1"/>
    <col min="10" max="10" width="11.33203125" style="148" bestFit="1" customWidth="1"/>
    <col min="11" max="11" width="14.33203125" style="150" bestFit="1" customWidth="1"/>
    <col min="12" max="12" width="13.21875" style="150" bestFit="1" customWidth="1"/>
    <col min="13" max="13" width="14.33203125" style="150" bestFit="1" customWidth="1"/>
    <col min="14" max="14" width="138.6640625" style="150" customWidth="1"/>
    <col min="15" max="15" width="7.33203125" style="150" bestFit="1" customWidth="1"/>
    <col min="16" max="16" width="14.33203125" style="148" bestFit="1" customWidth="1"/>
    <col min="17" max="18" width="13.109375" style="70" bestFit="1" customWidth="1"/>
    <col min="19" max="47" width="9.109375" style="70"/>
    <col min="48" max="49" width="9.109375" style="69"/>
    <col min="50" max="16384" width="9.109375" style="148"/>
  </cols>
  <sheetData>
    <row r="1" spans="1:42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</row>
    <row r="2" spans="1:42" s="10" customFormat="1" ht="28.5" customHeight="1" x14ac:dyDescent="0.3">
      <c r="A2" s="571" t="s">
        <v>1098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3"/>
    </row>
    <row r="3" spans="1:42" s="10" customFormat="1" ht="28.8" customHeight="1" x14ac:dyDescent="0.3">
      <c r="A3" s="83" t="s">
        <v>3</v>
      </c>
      <c r="B3" s="83" t="s">
        <v>0</v>
      </c>
      <c r="C3" s="83" t="s">
        <v>821</v>
      </c>
      <c r="D3" s="84" t="s">
        <v>1</v>
      </c>
      <c r="E3" s="84" t="s">
        <v>68</v>
      </c>
      <c r="F3" s="84" t="s">
        <v>69</v>
      </c>
      <c r="G3" s="85" t="s">
        <v>2</v>
      </c>
      <c r="H3" s="85" t="s">
        <v>592</v>
      </c>
      <c r="I3" s="84" t="s">
        <v>6</v>
      </c>
      <c r="J3" s="84" t="s">
        <v>7</v>
      </c>
      <c r="K3" s="84" t="s">
        <v>4</v>
      </c>
      <c r="L3" s="84" t="s">
        <v>5</v>
      </c>
      <c r="M3" s="84" t="s">
        <v>70</v>
      </c>
      <c r="N3" s="83" t="s">
        <v>59</v>
      </c>
      <c r="O3" s="86" t="s">
        <v>8</v>
      </c>
      <c r="P3" s="86" t="s">
        <v>10</v>
      </c>
    </row>
    <row r="4" spans="1:42" s="203" customFormat="1" ht="15.6" customHeight="1" x14ac:dyDescent="0.3">
      <c r="A4" s="195" t="s">
        <v>1079</v>
      </c>
      <c r="B4" s="193">
        <v>1</v>
      </c>
      <c r="C4" s="193" t="s">
        <v>830</v>
      </c>
      <c r="D4" s="196">
        <f>'[2]GERAL 2024'!G42</f>
        <v>610</v>
      </c>
      <c r="E4" s="192">
        <v>0</v>
      </c>
      <c r="F4" s="192">
        <f t="shared" ref="F4:F6" si="0">D4-E4</f>
        <v>610</v>
      </c>
      <c r="G4" s="196">
        <f>50</f>
        <v>50</v>
      </c>
      <c r="H4" s="192">
        <f>(1665.9/27)</f>
        <v>61.7</v>
      </c>
      <c r="I4" s="192">
        <f>'[2]GERAL 2025'!I3</f>
        <v>1.3720449172576832</v>
      </c>
      <c r="J4" s="192">
        <v>0</v>
      </c>
      <c r="K4" s="191">
        <f>SUM(F4:J4)</f>
        <v>723.0720449172577</v>
      </c>
      <c r="L4" s="192">
        <f>60%*(D4+G4)</f>
        <v>396</v>
      </c>
      <c r="M4" s="192">
        <f>K4-L4</f>
        <v>327.0720449172577</v>
      </c>
      <c r="N4" s="196" t="s">
        <v>1099</v>
      </c>
      <c r="O4" s="197">
        <v>10</v>
      </c>
      <c r="P4" s="197">
        <v>11</v>
      </c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1"/>
      <c r="AM4" s="202"/>
      <c r="AN4" s="202"/>
      <c r="AO4" s="202"/>
      <c r="AP4" s="202"/>
    </row>
    <row r="5" spans="1:42" s="206" customFormat="1" x14ac:dyDescent="0.3">
      <c r="A5" s="193" t="s">
        <v>1085</v>
      </c>
      <c r="B5" s="193">
        <v>8</v>
      </c>
      <c r="C5" s="193" t="s">
        <v>830</v>
      </c>
      <c r="D5" s="196">
        <f>'[2]GERAL 2024'!G48</f>
        <v>640</v>
      </c>
      <c r="E5" s="192">
        <v>0</v>
      </c>
      <c r="F5" s="196">
        <f t="shared" si="0"/>
        <v>640</v>
      </c>
      <c r="G5" s="192">
        <f>25</f>
        <v>25</v>
      </c>
      <c r="H5" s="192">
        <f>(1665.9/27)</f>
        <v>61.7</v>
      </c>
      <c r="I5" s="192">
        <f>'[2]GERAL 2025'!I10</f>
        <v>1.3720449172576832</v>
      </c>
      <c r="J5" s="192">
        <v>0</v>
      </c>
      <c r="K5" s="191">
        <f>SUM(F5:J5)</f>
        <v>728.0720449172577</v>
      </c>
      <c r="L5" s="192">
        <f>60%*(D5+G5)</f>
        <v>399</v>
      </c>
      <c r="M5" s="192">
        <f>K5-L5</f>
        <v>329.0720449172577</v>
      </c>
      <c r="N5" s="196" t="s">
        <v>1100</v>
      </c>
      <c r="O5" s="197">
        <v>10</v>
      </c>
      <c r="P5" s="197">
        <v>11</v>
      </c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</row>
    <row r="6" spans="1:42" s="206" customFormat="1" x14ac:dyDescent="0.3">
      <c r="A6" s="193" t="s">
        <v>1087</v>
      </c>
      <c r="B6" s="193">
        <v>12</v>
      </c>
      <c r="C6" s="193" t="s">
        <v>830</v>
      </c>
      <c r="D6" s="196">
        <f>'[2]GERAL 2024'!G49</f>
        <v>610</v>
      </c>
      <c r="E6" s="192">
        <v>0</v>
      </c>
      <c r="F6" s="196">
        <f t="shared" si="0"/>
        <v>610</v>
      </c>
      <c r="G6" s="196">
        <f>50</f>
        <v>50</v>
      </c>
      <c r="H6" s="192">
        <f>(1665.9/27)</f>
        <v>61.7</v>
      </c>
      <c r="I6" s="192">
        <f>'[2]GERAL 2025'!I14</f>
        <v>1.3720449172576832</v>
      </c>
      <c r="J6" s="196">
        <v>0</v>
      </c>
      <c r="K6" s="191">
        <f>SUM(F6:J6)</f>
        <v>723.0720449172577</v>
      </c>
      <c r="L6" s="192">
        <f>60%*(D6+G6)</f>
        <v>396</v>
      </c>
      <c r="M6" s="192">
        <f>K6-L6</f>
        <v>327.0720449172577</v>
      </c>
      <c r="N6" s="196" t="s">
        <v>1101</v>
      </c>
      <c r="O6" s="197"/>
      <c r="P6" s="197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  <c r="AD6" s="205"/>
      <c r="AE6" s="205"/>
      <c r="AF6" s="205"/>
      <c r="AG6" s="205"/>
      <c r="AH6" s="205"/>
      <c r="AI6" s="205"/>
      <c r="AJ6" s="205"/>
      <c r="AK6" s="205"/>
      <c r="AL6" s="205"/>
      <c r="AM6" s="205"/>
      <c r="AN6" s="205"/>
      <c r="AO6" s="205"/>
      <c r="AP6" s="205"/>
    </row>
    <row r="7" spans="1:42" s="10" customFormat="1" x14ac:dyDescent="0.3">
      <c r="A7" s="518" t="s">
        <v>4</v>
      </c>
      <c r="B7" s="518"/>
      <c r="C7" s="95"/>
      <c r="D7" s="109">
        <f>SUM(D4:D6)</f>
        <v>1860</v>
      </c>
      <c r="E7" s="109">
        <f t="shared" ref="E7:J7" si="1">SUM(E4:E6)</f>
        <v>0</v>
      </c>
      <c r="F7" s="109">
        <f t="shared" si="1"/>
        <v>1860</v>
      </c>
      <c r="G7" s="109">
        <f t="shared" si="1"/>
        <v>125</v>
      </c>
      <c r="H7" s="109">
        <f t="shared" si="1"/>
        <v>185.10000000000002</v>
      </c>
      <c r="I7" s="109">
        <f t="shared" si="1"/>
        <v>4.1161347517730498</v>
      </c>
      <c r="J7" s="109">
        <f t="shared" si="1"/>
        <v>0</v>
      </c>
      <c r="K7" s="109">
        <f>SUM(K4:K6)</f>
        <v>2174.2161347517731</v>
      </c>
      <c r="L7" s="109">
        <f>SUM(L4:L6)</f>
        <v>1191</v>
      </c>
      <c r="M7" s="109">
        <f>SUM(M4:M6)</f>
        <v>983.2161347517731</v>
      </c>
      <c r="N7" s="90"/>
      <c r="O7" s="3"/>
      <c r="P7" s="3"/>
    </row>
    <row r="8" spans="1:42" s="10" customFormat="1" ht="28.5" customHeight="1" x14ac:dyDescent="0.3">
      <c r="A8" s="571" t="s">
        <v>1102</v>
      </c>
      <c r="B8" s="572"/>
      <c r="C8" s="572"/>
      <c r="D8" s="572"/>
      <c r="E8" s="572"/>
      <c r="F8" s="572"/>
      <c r="G8" s="572"/>
      <c r="H8" s="572"/>
      <c r="I8" s="572"/>
      <c r="J8" s="572"/>
      <c r="K8" s="572"/>
      <c r="L8" s="572"/>
      <c r="M8" s="572"/>
      <c r="N8" s="572"/>
      <c r="O8" s="572"/>
      <c r="P8" s="573"/>
    </row>
    <row r="9" spans="1:42" s="11" customFormat="1" ht="34.5" customHeight="1" x14ac:dyDescent="0.3">
      <c r="A9" s="83" t="s">
        <v>3</v>
      </c>
      <c r="B9" s="83" t="s">
        <v>0</v>
      </c>
      <c r="C9" s="83" t="s">
        <v>821</v>
      </c>
      <c r="D9" s="84" t="s">
        <v>1</v>
      </c>
      <c r="E9" s="84" t="s">
        <v>68</v>
      </c>
      <c r="F9" s="84" t="s">
        <v>69</v>
      </c>
      <c r="G9" s="85" t="s">
        <v>2</v>
      </c>
      <c r="H9" s="85" t="s">
        <v>592</v>
      </c>
      <c r="I9" s="84" t="s">
        <v>6</v>
      </c>
      <c r="J9" s="84" t="s">
        <v>7</v>
      </c>
      <c r="K9" s="84" t="s">
        <v>4</v>
      </c>
      <c r="L9" s="84" t="s">
        <v>5</v>
      </c>
      <c r="M9" s="84" t="s">
        <v>70</v>
      </c>
      <c r="N9" s="83" t="s">
        <v>59</v>
      </c>
      <c r="O9" s="86" t="s">
        <v>8</v>
      </c>
      <c r="P9" s="86" t="s">
        <v>10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</row>
    <row r="10" spans="1:42" s="199" customFormat="1" ht="14.4" customHeight="1" x14ac:dyDescent="0.3">
      <c r="A10" s="195" t="s">
        <v>1079</v>
      </c>
      <c r="B10" s="193">
        <v>1</v>
      </c>
      <c r="C10" s="193" t="s">
        <v>830</v>
      </c>
      <c r="D10" s="196">
        <v>0</v>
      </c>
      <c r="E10" s="192">
        <v>0</v>
      </c>
      <c r="F10" s="192">
        <f t="shared" ref="F10:F26" si="2">D10-E10</f>
        <v>0</v>
      </c>
      <c r="G10" s="196">
        <v>0</v>
      </c>
      <c r="H10" s="192">
        <v>0</v>
      </c>
      <c r="I10" s="192">
        <v>0</v>
      </c>
      <c r="J10" s="192">
        <v>0</v>
      </c>
      <c r="K10" s="191">
        <f t="shared" ref="K10:K36" si="3">SUM(F10:J10)</f>
        <v>0</v>
      </c>
      <c r="L10" s="192">
        <f>7%*K10</f>
        <v>0</v>
      </c>
      <c r="M10" s="192">
        <f>K10-L10</f>
        <v>0</v>
      </c>
      <c r="N10" s="196" t="s">
        <v>108</v>
      </c>
      <c r="O10" s="197">
        <v>10</v>
      </c>
      <c r="P10" s="197">
        <v>11</v>
      </c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</row>
    <row r="11" spans="1:42" s="203" customFormat="1" x14ac:dyDescent="0.3">
      <c r="A11" s="193" t="s">
        <v>1004</v>
      </c>
      <c r="B11" s="194">
        <v>2</v>
      </c>
      <c r="C11" s="193" t="s">
        <v>822</v>
      </c>
      <c r="D11" s="196">
        <f>'[2]GERAL 2024'!G41</f>
        <v>610</v>
      </c>
      <c r="E11" s="196">
        <v>0</v>
      </c>
      <c r="F11" s="196">
        <f t="shared" si="2"/>
        <v>610</v>
      </c>
      <c r="G11" s="196">
        <v>0</v>
      </c>
      <c r="H11" s="192">
        <f t="shared" ref="H11:H16" si="4">(1665.9/27)</f>
        <v>61.7</v>
      </c>
      <c r="I11" s="192">
        <f>'[2]GERAL 2025'!I4</f>
        <v>1.3720449172576832</v>
      </c>
      <c r="J11" s="196">
        <v>0</v>
      </c>
      <c r="K11" s="191">
        <f t="shared" si="3"/>
        <v>673.0720449172577</v>
      </c>
      <c r="L11" s="192">
        <f>7%*K11</f>
        <v>47.115043144208045</v>
      </c>
      <c r="M11" s="192">
        <f t="shared" ref="M11:M35" si="5">K11-L11</f>
        <v>625.95700177304968</v>
      </c>
      <c r="N11" s="193" t="s">
        <v>618</v>
      </c>
      <c r="O11" s="197">
        <v>10</v>
      </c>
      <c r="P11" s="197">
        <v>11</v>
      </c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1"/>
      <c r="AM11" s="202"/>
      <c r="AN11" s="202"/>
      <c r="AO11" s="202"/>
      <c r="AP11" s="202"/>
    </row>
    <row r="12" spans="1:42" s="204" customFormat="1" x14ac:dyDescent="0.3">
      <c r="A12" s="193" t="s">
        <v>1005</v>
      </c>
      <c r="B12" s="194">
        <v>3</v>
      </c>
      <c r="C12" s="193" t="s">
        <v>822</v>
      </c>
      <c r="D12" s="196">
        <f>'[2]GERAL 2024'!G42</f>
        <v>610</v>
      </c>
      <c r="E12" s="196">
        <v>0</v>
      </c>
      <c r="F12" s="196">
        <f t="shared" si="2"/>
        <v>610</v>
      </c>
      <c r="G12" s="196">
        <v>0</v>
      </c>
      <c r="H12" s="192">
        <f t="shared" si="4"/>
        <v>61.7</v>
      </c>
      <c r="I12" s="192">
        <f>'[2]GERAL 2025'!I5</f>
        <v>1.3720449172576832</v>
      </c>
      <c r="J12" s="196">
        <v>0</v>
      </c>
      <c r="K12" s="191">
        <f t="shared" si="3"/>
        <v>673.0720449172577</v>
      </c>
      <c r="L12" s="192">
        <f>7%*K12</f>
        <v>47.115043144208045</v>
      </c>
      <c r="M12" s="192">
        <f t="shared" si="5"/>
        <v>625.95700177304968</v>
      </c>
      <c r="N12" s="193" t="s">
        <v>618</v>
      </c>
      <c r="O12" s="197">
        <v>10</v>
      </c>
      <c r="P12" s="197">
        <v>11</v>
      </c>
      <c r="Q12" s="200"/>
      <c r="R12" s="200"/>
      <c r="S12" s="200"/>
      <c r="T12" s="200"/>
      <c r="U12" s="200"/>
      <c r="V12" s="200"/>
      <c r="W12" s="200"/>
      <c r="X12" s="200"/>
      <c r="Y12" s="200"/>
      <c r="Z12" s="200"/>
      <c r="AA12" s="200"/>
      <c r="AB12" s="200"/>
      <c r="AC12" s="200"/>
      <c r="AD12" s="200"/>
      <c r="AE12" s="200"/>
      <c r="AF12" s="200"/>
      <c r="AG12" s="200"/>
      <c r="AH12" s="200"/>
      <c r="AI12" s="200"/>
      <c r="AJ12" s="200"/>
      <c r="AK12" s="200"/>
      <c r="AL12" s="200"/>
      <c r="AM12" s="200"/>
      <c r="AN12" s="200"/>
      <c r="AO12" s="200"/>
      <c r="AP12" s="200"/>
    </row>
    <row r="13" spans="1:42" s="199" customFormat="1" ht="14.4" customHeight="1" x14ac:dyDescent="0.3">
      <c r="A13" s="193"/>
      <c r="B13" s="193">
        <v>4</v>
      </c>
      <c r="C13" s="193"/>
      <c r="D13" s="196">
        <v>0</v>
      </c>
      <c r="E13" s="196">
        <v>0</v>
      </c>
      <c r="F13" s="196">
        <f t="shared" si="2"/>
        <v>0</v>
      </c>
      <c r="G13" s="192">
        <v>0</v>
      </c>
      <c r="H13" s="192">
        <v>0</v>
      </c>
      <c r="I13" s="192">
        <v>0</v>
      </c>
      <c r="J13" s="192">
        <v>0</v>
      </c>
      <c r="K13" s="191">
        <f t="shared" si="3"/>
        <v>0</v>
      </c>
      <c r="L13" s="192">
        <f>7%*K13</f>
        <v>0</v>
      </c>
      <c r="M13" s="192">
        <f t="shared" si="5"/>
        <v>0</v>
      </c>
      <c r="N13" s="193" t="s">
        <v>525</v>
      </c>
      <c r="O13" s="197">
        <v>10</v>
      </c>
      <c r="P13" s="194">
        <v>11</v>
      </c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</row>
    <row r="14" spans="1:42" s="199" customFormat="1" x14ac:dyDescent="0.3">
      <c r="A14" s="193" t="s">
        <v>744</v>
      </c>
      <c r="B14" s="193">
        <v>5</v>
      </c>
      <c r="C14" s="209" t="s">
        <v>823</v>
      </c>
      <c r="D14" s="196">
        <f>'[2]GERAL 2023'!G7+(6.53784 %*580)</f>
        <v>617.91947200000004</v>
      </c>
      <c r="E14" s="192">
        <v>0</v>
      </c>
      <c r="F14" s="192">
        <f t="shared" si="2"/>
        <v>617.91947200000004</v>
      </c>
      <c r="G14" s="192">
        <f>50</f>
        <v>50</v>
      </c>
      <c r="H14" s="192">
        <f t="shared" si="4"/>
        <v>61.7</v>
      </c>
      <c r="I14" s="192">
        <f>'[2]GERAL 2025'!I7</f>
        <v>1.3720449172576832</v>
      </c>
      <c r="J14" s="192">
        <v>126.44</v>
      </c>
      <c r="K14" s="191">
        <f t="shared" si="3"/>
        <v>857.4315169172578</v>
      </c>
      <c r="L14" s="192">
        <f>7%*K14</f>
        <v>60.02020618420805</v>
      </c>
      <c r="M14" s="192">
        <f t="shared" si="5"/>
        <v>797.41131073304973</v>
      </c>
      <c r="N14" s="193" t="s">
        <v>1103</v>
      </c>
      <c r="O14" s="197">
        <v>10</v>
      </c>
      <c r="P14" s="197">
        <v>11</v>
      </c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</row>
    <row r="15" spans="1:42" s="206" customFormat="1" x14ac:dyDescent="0.3">
      <c r="A15" s="193" t="s">
        <v>745</v>
      </c>
      <c r="B15" s="193">
        <v>6</v>
      </c>
      <c r="C15" s="209" t="s">
        <v>823</v>
      </c>
      <c r="D15" s="196">
        <f>'[2]GERAL 2023'!G8+(6.53784%*680)</f>
        <v>724.457312</v>
      </c>
      <c r="E15" s="196">
        <v>0</v>
      </c>
      <c r="F15" s="192">
        <f t="shared" si="2"/>
        <v>724.457312</v>
      </c>
      <c r="G15" s="192">
        <v>50</v>
      </c>
      <c r="H15" s="192">
        <f t="shared" si="4"/>
        <v>61.7</v>
      </c>
      <c r="I15" s="192">
        <f>'[2]GERAL 2025'!I8</f>
        <v>1.9208628841607567</v>
      </c>
      <c r="J15" s="192">
        <v>127.71</v>
      </c>
      <c r="K15" s="191">
        <f t="shared" si="3"/>
        <v>965.78817488416087</v>
      </c>
      <c r="L15" s="192">
        <f t="shared" ref="L15:L36" si="6">7%*K15</f>
        <v>67.605172241891268</v>
      </c>
      <c r="M15" s="192">
        <f>K15-L15</f>
        <v>898.18300264226957</v>
      </c>
      <c r="N15" s="193" t="s">
        <v>1103</v>
      </c>
      <c r="O15" s="197">
        <v>10</v>
      </c>
      <c r="P15" s="197">
        <v>11</v>
      </c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205"/>
      <c r="AC15" s="205"/>
      <c r="AD15" s="205"/>
      <c r="AE15" s="205"/>
      <c r="AF15" s="205"/>
      <c r="AG15" s="205"/>
      <c r="AH15" s="205"/>
      <c r="AI15" s="205"/>
      <c r="AJ15" s="205"/>
      <c r="AK15" s="205"/>
      <c r="AL15" s="205"/>
      <c r="AM15" s="205"/>
      <c r="AN15" s="205"/>
      <c r="AO15" s="205"/>
      <c r="AP15" s="205"/>
    </row>
    <row r="16" spans="1:42" s="199" customFormat="1" x14ac:dyDescent="0.3">
      <c r="A16" s="193" t="s">
        <v>791</v>
      </c>
      <c r="B16" s="193">
        <v>7</v>
      </c>
      <c r="C16" s="193" t="s">
        <v>822</v>
      </c>
      <c r="D16" s="196">
        <f>'[2]GERAL 2023'!G35+(2.45026%*610)</f>
        <v>624.94658600000002</v>
      </c>
      <c r="E16" s="192">
        <v>0</v>
      </c>
      <c r="F16" s="196">
        <f t="shared" si="2"/>
        <v>624.94658600000002</v>
      </c>
      <c r="G16" s="192">
        <v>50</v>
      </c>
      <c r="H16" s="192">
        <f t="shared" si="4"/>
        <v>61.7</v>
      </c>
      <c r="I16" s="192">
        <f>'[2]GERAL 2025'!I9</f>
        <v>1.3720449172576832</v>
      </c>
      <c r="J16" s="192">
        <v>0</v>
      </c>
      <c r="K16" s="191">
        <f t="shared" si="3"/>
        <v>738.01863091725772</v>
      </c>
      <c r="L16" s="192">
        <f t="shared" si="6"/>
        <v>51.661304164208047</v>
      </c>
      <c r="M16" s="192">
        <f t="shared" si="5"/>
        <v>686.35732675304962</v>
      </c>
      <c r="N16" s="193" t="s">
        <v>1101</v>
      </c>
      <c r="O16" s="197">
        <v>10</v>
      </c>
      <c r="P16" s="197">
        <v>11</v>
      </c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</row>
    <row r="17" spans="1:47" s="199" customFormat="1" x14ac:dyDescent="0.3">
      <c r="A17" s="193" t="s">
        <v>1085</v>
      </c>
      <c r="B17" s="193">
        <v>8</v>
      </c>
      <c r="C17" s="193" t="s">
        <v>830</v>
      </c>
      <c r="D17" s="196">
        <v>0</v>
      </c>
      <c r="E17" s="192">
        <v>0</v>
      </c>
      <c r="F17" s="196">
        <f t="shared" si="2"/>
        <v>0</v>
      </c>
      <c r="G17" s="192">
        <v>0</v>
      </c>
      <c r="H17" s="192">
        <v>0</v>
      </c>
      <c r="I17" s="192">
        <v>0</v>
      </c>
      <c r="J17" s="192">
        <v>0</v>
      </c>
      <c r="K17" s="191">
        <f t="shared" si="3"/>
        <v>0</v>
      </c>
      <c r="L17" s="192">
        <f>7%*K17</f>
        <v>0</v>
      </c>
      <c r="M17" s="192">
        <f>K17-L17</f>
        <v>0</v>
      </c>
      <c r="N17" s="196" t="s">
        <v>108</v>
      </c>
      <c r="O17" s="197">
        <v>10</v>
      </c>
      <c r="P17" s="197">
        <v>11</v>
      </c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</row>
    <row r="18" spans="1:47" s="199" customFormat="1" x14ac:dyDescent="0.3">
      <c r="A18" s="193" t="s">
        <v>852</v>
      </c>
      <c r="B18" s="193">
        <v>9</v>
      </c>
      <c r="C18" s="193" t="s">
        <v>828</v>
      </c>
      <c r="D18" s="196">
        <f>640+(5.59268%*640)</f>
        <v>675.79315199999996</v>
      </c>
      <c r="E18" s="192">
        <v>0</v>
      </c>
      <c r="F18" s="196">
        <f t="shared" si="2"/>
        <v>675.79315199999996</v>
      </c>
      <c r="G18" s="192">
        <v>0</v>
      </c>
      <c r="H18" s="192">
        <f>(1665.9/27)</f>
        <v>61.7</v>
      </c>
      <c r="I18" s="192">
        <f>'[2]GERAL 2025'!I11</f>
        <v>1.3720449172576832</v>
      </c>
      <c r="J18" s="192">
        <v>0</v>
      </c>
      <c r="K18" s="191">
        <f t="shared" si="3"/>
        <v>738.86519691725766</v>
      </c>
      <c r="L18" s="192">
        <f>7%*K18</f>
        <v>51.720563784208039</v>
      </c>
      <c r="M18" s="192">
        <f>K18-L18</f>
        <v>687.14463313304964</v>
      </c>
      <c r="N18" s="193" t="s">
        <v>618</v>
      </c>
      <c r="O18" s="207">
        <v>10</v>
      </c>
      <c r="P18" s="197">
        <v>11</v>
      </c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</row>
    <row r="19" spans="1:47" s="148" customFormat="1" x14ac:dyDescent="0.3">
      <c r="A19" s="194" t="s">
        <v>739</v>
      </c>
      <c r="B19" s="194">
        <v>10</v>
      </c>
      <c r="C19" s="194" t="s">
        <v>825</v>
      </c>
      <c r="D19" s="196">
        <v>0</v>
      </c>
      <c r="E19" s="192">
        <v>0</v>
      </c>
      <c r="F19" s="196">
        <f t="shared" si="2"/>
        <v>0</v>
      </c>
      <c r="G19" s="192">
        <v>0</v>
      </c>
      <c r="H19" s="192">
        <v>0</v>
      </c>
      <c r="I19" s="192">
        <v>0</v>
      </c>
      <c r="J19" s="192">
        <v>0</v>
      </c>
      <c r="K19" s="191">
        <f>SUM(F19:J19)</f>
        <v>0</v>
      </c>
      <c r="L19" s="192">
        <f t="shared" si="6"/>
        <v>0</v>
      </c>
      <c r="M19" s="192">
        <f t="shared" si="5"/>
        <v>0</v>
      </c>
      <c r="N19" s="193" t="s">
        <v>179</v>
      </c>
      <c r="O19" s="197">
        <v>10</v>
      </c>
      <c r="P19" s="194">
        <v>11</v>
      </c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8"/>
      <c r="AR19" s="208"/>
      <c r="AS19" s="208"/>
      <c r="AT19" s="208"/>
      <c r="AU19" s="208"/>
    </row>
    <row r="20" spans="1:47" s="148" customFormat="1" ht="15.6" customHeight="1" x14ac:dyDescent="0.3">
      <c r="A20" s="194" t="s">
        <v>965</v>
      </c>
      <c r="B20" s="194">
        <v>11</v>
      </c>
      <c r="C20" s="194" t="s">
        <v>827</v>
      </c>
      <c r="D20" s="192">
        <f>'[2]GERAL 2024'!G39</f>
        <v>610</v>
      </c>
      <c r="E20" s="192">
        <v>0</v>
      </c>
      <c r="F20" s="196">
        <f t="shared" si="2"/>
        <v>610</v>
      </c>
      <c r="G20" s="192">
        <v>0</v>
      </c>
      <c r="H20" s="192">
        <f t="shared" ref="H20:H36" si="7">(1665.9/27)</f>
        <v>61.7</v>
      </c>
      <c r="I20" s="192">
        <f>'[2]GERAL 2025'!I13</f>
        <v>1.3720449172576832</v>
      </c>
      <c r="J20" s="192">
        <v>0</v>
      </c>
      <c r="K20" s="191">
        <f t="shared" si="3"/>
        <v>673.0720449172577</v>
      </c>
      <c r="L20" s="192">
        <f>7%*K20</f>
        <v>47.115043144208045</v>
      </c>
      <c r="M20" s="192">
        <f t="shared" si="5"/>
        <v>625.95700177304968</v>
      </c>
      <c r="N20" s="193" t="s">
        <v>618</v>
      </c>
      <c r="O20" s="197">
        <v>10</v>
      </c>
      <c r="P20" s="194">
        <v>11</v>
      </c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208"/>
      <c r="AC20" s="208"/>
      <c r="AD20" s="208"/>
      <c r="AE20" s="208"/>
      <c r="AF20" s="208"/>
      <c r="AG20" s="208"/>
      <c r="AH20" s="208"/>
      <c r="AI20" s="208"/>
      <c r="AJ20" s="208"/>
      <c r="AK20" s="208"/>
      <c r="AL20" s="208"/>
      <c r="AM20" s="208"/>
      <c r="AN20" s="208"/>
      <c r="AO20" s="208"/>
      <c r="AP20" s="208"/>
      <c r="AQ20" s="208"/>
      <c r="AR20" s="208"/>
      <c r="AS20" s="208"/>
      <c r="AT20" s="208"/>
      <c r="AU20" s="208"/>
    </row>
    <row r="21" spans="1:47" s="199" customFormat="1" x14ac:dyDescent="0.3">
      <c r="A21" s="193" t="s">
        <v>1087</v>
      </c>
      <c r="B21" s="193">
        <v>12</v>
      </c>
      <c r="C21" s="193" t="s">
        <v>830</v>
      </c>
      <c r="D21" s="196">
        <v>0</v>
      </c>
      <c r="E21" s="192">
        <v>0</v>
      </c>
      <c r="F21" s="196">
        <f t="shared" si="2"/>
        <v>0</v>
      </c>
      <c r="G21" s="196">
        <v>0</v>
      </c>
      <c r="H21" s="192">
        <v>0</v>
      </c>
      <c r="I21" s="192">
        <v>0</v>
      </c>
      <c r="J21" s="196">
        <v>0</v>
      </c>
      <c r="K21" s="191">
        <f t="shared" si="3"/>
        <v>0</v>
      </c>
      <c r="L21" s="192">
        <f t="shared" si="6"/>
        <v>0</v>
      </c>
      <c r="M21" s="192">
        <f t="shared" si="5"/>
        <v>0</v>
      </c>
      <c r="N21" s="196" t="s">
        <v>108</v>
      </c>
      <c r="O21" s="197">
        <v>10</v>
      </c>
      <c r="P21" s="197">
        <v>11</v>
      </c>
      <c r="Q21" s="198"/>
      <c r="R21" s="198"/>
      <c r="S21" s="198"/>
      <c r="T21" s="198"/>
      <c r="U21" s="198"/>
      <c r="V21" s="198"/>
      <c r="W21" s="198"/>
      <c r="X21" s="198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  <c r="AK21" s="198"/>
      <c r="AL21" s="198"/>
      <c r="AM21" s="198"/>
      <c r="AN21" s="198"/>
      <c r="AO21" s="198"/>
      <c r="AP21" s="198"/>
    </row>
    <row r="22" spans="1:47" s="206" customFormat="1" ht="16.2" customHeight="1" x14ac:dyDescent="0.3">
      <c r="A22" s="193" t="s">
        <v>756</v>
      </c>
      <c r="B22" s="193">
        <v>13</v>
      </c>
      <c r="C22" s="193" t="s">
        <v>827</v>
      </c>
      <c r="D22" s="196">
        <f>'[2]GERAL 2022'!G15</f>
        <v>550</v>
      </c>
      <c r="E22" s="196">
        <v>0</v>
      </c>
      <c r="F22" s="196">
        <f t="shared" si="2"/>
        <v>550</v>
      </c>
      <c r="G22" s="192">
        <v>0</v>
      </c>
      <c r="H22" s="192">
        <f t="shared" si="7"/>
        <v>61.7</v>
      </c>
      <c r="I22" s="192">
        <f>'[2]GERAL 2025'!I15</f>
        <v>1.3720449172576832</v>
      </c>
      <c r="J22" s="192">
        <v>0</v>
      </c>
      <c r="K22" s="191">
        <f t="shared" si="3"/>
        <v>613.0720449172577</v>
      </c>
      <c r="L22" s="192">
        <f t="shared" si="6"/>
        <v>42.915043144208042</v>
      </c>
      <c r="M22" s="192">
        <f t="shared" si="5"/>
        <v>570.15700177304961</v>
      </c>
      <c r="N22" s="193" t="s">
        <v>618</v>
      </c>
      <c r="O22" s="197">
        <v>10</v>
      </c>
      <c r="P22" s="197">
        <v>11</v>
      </c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205"/>
      <c r="AG22" s="205"/>
      <c r="AH22" s="205"/>
      <c r="AI22" s="205"/>
      <c r="AJ22" s="205"/>
      <c r="AK22" s="205"/>
      <c r="AL22" s="205"/>
      <c r="AM22" s="205"/>
      <c r="AN22" s="205"/>
      <c r="AO22" s="205"/>
      <c r="AP22" s="205"/>
    </row>
    <row r="23" spans="1:47" s="148" customFormat="1" ht="16.2" customHeight="1" x14ac:dyDescent="0.3">
      <c r="A23" s="194" t="s">
        <v>747</v>
      </c>
      <c r="B23" s="194">
        <v>14</v>
      </c>
      <c r="C23" s="193" t="s">
        <v>832</v>
      </c>
      <c r="D23" s="196">
        <f>580+(4.52806%*580)</f>
        <v>606.26274799999999</v>
      </c>
      <c r="E23" s="192">
        <v>0</v>
      </c>
      <c r="F23" s="196">
        <f t="shared" si="2"/>
        <v>606.26274799999999</v>
      </c>
      <c r="G23" s="192">
        <f>50</f>
        <v>50</v>
      </c>
      <c r="H23" s="192">
        <f t="shared" si="7"/>
        <v>61.7</v>
      </c>
      <c r="I23" s="192">
        <f>'[2]GERAL 2025'!I16</f>
        <v>1.3720449172576832</v>
      </c>
      <c r="J23" s="192">
        <v>0</v>
      </c>
      <c r="K23" s="191">
        <f t="shared" si="3"/>
        <v>719.33479291725769</v>
      </c>
      <c r="L23" s="192">
        <f t="shared" si="6"/>
        <v>50.353435504208043</v>
      </c>
      <c r="M23" s="192">
        <f t="shared" si="5"/>
        <v>668.98135741304964</v>
      </c>
      <c r="N23" s="193" t="s">
        <v>1101</v>
      </c>
      <c r="O23" s="197">
        <v>10</v>
      </c>
      <c r="P23" s="194">
        <v>11</v>
      </c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  <c r="AD23" s="208"/>
      <c r="AE23" s="208"/>
      <c r="AF23" s="208"/>
      <c r="AG23" s="208"/>
      <c r="AH23" s="208"/>
      <c r="AI23" s="208"/>
      <c r="AJ23" s="208"/>
      <c r="AK23" s="208"/>
      <c r="AL23" s="208"/>
      <c r="AM23" s="208"/>
      <c r="AN23" s="208"/>
      <c r="AO23" s="208"/>
      <c r="AP23" s="208"/>
      <c r="AQ23" s="208"/>
      <c r="AR23" s="208"/>
      <c r="AS23" s="208"/>
      <c r="AT23" s="208"/>
      <c r="AU23" s="208"/>
    </row>
    <row r="24" spans="1:47" s="204" customFormat="1" ht="16.2" customHeight="1" x14ac:dyDescent="0.3">
      <c r="A24" s="193" t="s">
        <v>748</v>
      </c>
      <c r="B24" s="193">
        <v>15</v>
      </c>
      <c r="C24" s="193" t="s">
        <v>827</v>
      </c>
      <c r="D24" s="196">
        <f>'[2]GERAL 2023'!G36</f>
        <v>680</v>
      </c>
      <c r="E24" s="192">
        <v>0</v>
      </c>
      <c r="F24" s="196">
        <f t="shared" si="2"/>
        <v>680</v>
      </c>
      <c r="G24" s="192">
        <v>25</v>
      </c>
      <c r="H24" s="192">
        <f t="shared" si="7"/>
        <v>61.7</v>
      </c>
      <c r="I24" s="192">
        <f>'[2]GERAL 2025'!I17</f>
        <v>1.9208628841607567</v>
      </c>
      <c r="J24" s="192">
        <v>0</v>
      </c>
      <c r="K24" s="191">
        <f t="shared" si="3"/>
        <v>768.62086288416083</v>
      </c>
      <c r="L24" s="192">
        <f t="shared" si="6"/>
        <v>53.803460401891265</v>
      </c>
      <c r="M24" s="192">
        <f t="shared" si="5"/>
        <v>714.81740248226959</v>
      </c>
      <c r="N24" s="193" t="s">
        <v>1100</v>
      </c>
      <c r="O24" s="197">
        <v>10</v>
      </c>
      <c r="P24" s="194">
        <v>11</v>
      </c>
      <c r="Q24" s="200"/>
      <c r="R24" s="200"/>
      <c r="S24" s="200"/>
      <c r="T24" s="200"/>
      <c r="U24" s="200"/>
      <c r="V24" s="200"/>
      <c r="W24" s="200"/>
      <c r="X24" s="200"/>
      <c r="Y24" s="200"/>
    </row>
    <row r="25" spans="1:47" s="206" customFormat="1" ht="15.6" customHeight="1" x14ac:dyDescent="0.3">
      <c r="A25" s="197" t="s">
        <v>977</v>
      </c>
      <c r="B25" s="197">
        <v>16</v>
      </c>
      <c r="C25" s="193" t="s">
        <v>827</v>
      </c>
      <c r="D25" s="196">
        <f>'[2]GERAL 2024'!G40</f>
        <v>640</v>
      </c>
      <c r="E25" s="192">
        <v>0</v>
      </c>
      <c r="F25" s="196">
        <f>D25-E25</f>
        <v>640</v>
      </c>
      <c r="G25" s="192">
        <v>50</v>
      </c>
      <c r="H25" s="192">
        <f t="shared" si="7"/>
        <v>61.7</v>
      </c>
      <c r="I25" s="192">
        <f>'[2]GERAL 2025'!I18</f>
        <v>1.3720449172576832</v>
      </c>
      <c r="J25" s="192">
        <v>0</v>
      </c>
      <c r="K25" s="191">
        <f t="shared" si="3"/>
        <v>753.0720449172577</v>
      </c>
      <c r="L25" s="192">
        <f t="shared" si="6"/>
        <v>52.715043144208046</v>
      </c>
      <c r="M25" s="192">
        <f>K25-L25</f>
        <v>700.35700177304966</v>
      </c>
      <c r="N25" s="193" t="s">
        <v>1101</v>
      </c>
      <c r="O25" s="197">
        <v>10</v>
      </c>
      <c r="P25" s="197">
        <v>11</v>
      </c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</row>
    <row r="26" spans="1:47" s="206" customFormat="1" x14ac:dyDescent="0.3">
      <c r="A26" s="195" t="s">
        <v>1029</v>
      </c>
      <c r="B26" s="195">
        <v>17</v>
      </c>
      <c r="C26" s="195" t="s">
        <v>824</v>
      </c>
      <c r="D26" s="196">
        <f>'[2]GERAL 2024'!G45</f>
        <v>610</v>
      </c>
      <c r="E26" s="192">
        <v>0</v>
      </c>
      <c r="F26" s="196">
        <f t="shared" si="2"/>
        <v>610</v>
      </c>
      <c r="G26" s="192">
        <v>50</v>
      </c>
      <c r="H26" s="192">
        <f t="shared" si="7"/>
        <v>61.7</v>
      </c>
      <c r="I26" s="192">
        <f>'[2]GERAL 2025'!I19</f>
        <v>1.3720449172576832</v>
      </c>
      <c r="J26" s="192">
        <v>0</v>
      </c>
      <c r="K26" s="191">
        <f t="shared" si="3"/>
        <v>723.0720449172577</v>
      </c>
      <c r="L26" s="192">
        <f>7%*K26</f>
        <v>50.615043144208045</v>
      </c>
      <c r="M26" s="192">
        <f>K26-L26</f>
        <v>672.45700177304968</v>
      </c>
      <c r="N26" s="193" t="s">
        <v>1101</v>
      </c>
      <c r="O26" s="197">
        <v>10</v>
      </c>
      <c r="P26" s="197">
        <v>11</v>
      </c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</row>
    <row r="27" spans="1:47" s="206" customFormat="1" x14ac:dyDescent="0.3">
      <c r="A27" s="195" t="s">
        <v>1030</v>
      </c>
      <c r="B27" s="193">
        <v>18</v>
      </c>
      <c r="C27" s="195" t="s">
        <v>824</v>
      </c>
      <c r="D27" s="196">
        <f>'[2]GERAL 2024'!G46</f>
        <v>640</v>
      </c>
      <c r="E27" s="192">
        <v>0</v>
      </c>
      <c r="F27" s="196">
        <f>D27-E27</f>
        <v>640</v>
      </c>
      <c r="G27" s="192">
        <v>0</v>
      </c>
      <c r="H27" s="192">
        <f t="shared" si="7"/>
        <v>61.7</v>
      </c>
      <c r="I27" s="192">
        <f>'[2]GERAL 2025'!I20</f>
        <v>1.3720449172576832</v>
      </c>
      <c r="J27" s="192">
        <v>0</v>
      </c>
      <c r="K27" s="191">
        <f t="shared" si="3"/>
        <v>703.0720449172577</v>
      </c>
      <c r="L27" s="192">
        <f t="shared" si="6"/>
        <v>49.215043144208046</v>
      </c>
      <c r="M27" s="192">
        <f t="shared" si="5"/>
        <v>653.85700177304966</v>
      </c>
      <c r="N27" s="193" t="s">
        <v>618</v>
      </c>
      <c r="O27" s="197">
        <v>10</v>
      </c>
      <c r="P27" s="197">
        <v>11</v>
      </c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</row>
    <row r="28" spans="1:47" s="206" customFormat="1" x14ac:dyDescent="0.3">
      <c r="A28" s="193" t="s">
        <v>1012</v>
      </c>
      <c r="B28" s="193">
        <v>19</v>
      </c>
      <c r="C28" s="193" t="s">
        <v>822</v>
      </c>
      <c r="D28" s="196">
        <f>'[2]GERAL 2024'!G44</f>
        <v>580</v>
      </c>
      <c r="E28" s="192">
        <v>0</v>
      </c>
      <c r="F28" s="196">
        <f>(D28-E28)</f>
        <v>580</v>
      </c>
      <c r="G28" s="192">
        <v>50</v>
      </c>
      <c r="H28" s="192">
        <f t="shared" si="7"/>
        <v>61.7</v>
      </c>
      <c r="I28" s="192">
        <f>'[2]GERAL 2025'!I21</f>
        <v>1.3720449172576832</v>
      </c>
      <c r="J28" s="192">
        <v>0</v>
      </c>
      <c r="K28" s="191">
        <f t="shared" si="3"/>
        <v>693.0720449172577</v>
      </c>
      <c r="L28" s="192">
        <f t="shared" si="6"/>
        <v>48.515043144208043</v>
      </c>
      <c r="M28" s="192">
        <f t="shared" si="5"/>
        <v>644.55700177304971</v>
      </c>
      <c r="N28" s="193" t="s">
        <v>1101</v>
      </c>
      <c r="O28" s="207">
        <v>10</v>
      </c>
      <c r="P28" s="197">
        <v>11</v>
      </c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</row>
    <row r="29" spans="1:47" s="206" customFormat="1" x14ac:dyDescent="0.3">
      <c r="A29" s="195" t="s">
        <v>919</v>
      </c>
      <c r="B29" s="193">
        <v>20</v>
      </c>
      <c r="C29" s="193" t="s">
        <v>917</v>
      </c>
      <c r="D29" s="196">
        <f>'[2]GERAL 2024'!G36</f>
        <v>780</v>
      </c>
      <c r="E29" s="192">
        <v>0</v>
      </c>
      <c r="F29" s="196">
        <f t="shared" ref="F29:F36" si="8">D29-E29</f>
        <v>780</v>
      </c>
      <c r="G29" s="192">
        <v>25</v>
      </c>
      <c r="H29" s="192">
        <f t="shared" si="7"/>
        <v>61.7</v>
      </c>
      <c r="I29" s="192">
        <f>'[2]GERAL 2025'!I22</f>
        <v>1.3720449172576832</v>
      </c>
      <c r="J29" s="192">
        <v>0</v>
      </c>
      <c r="K29" s="191">
        <f t="shared" si="3"/>
        <v>868.0720449172577</v>
      </c>
      <c r="L29" s="192">
        <f t="shared" si="6"/>
        <v>60.765043144208043</v>
      </c>
      <c r="M29" s="192">
        <f t="shared" si="5"/>
        <v>807.30700177304971</v>
      </c>
      <c r="N29" s="193" t="s">
        <v>1100</v>
      </c>
      <c r="O29" s="207">
        <v>10</v>
      </c>
      <c r="P29" s="197">
        <v>11</v>
      </c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</row>
    <row r="30" spans="1:47" s="206" customFormat="1" x14ac:dyDescent="0.3">
      <c r="A30" s="195" t="s">
        <v>788</v>
      </c>
      <c r="B30" s="193">
        <v>21</v>
      </c>
      <c r="C30" s="193" t="s">
        <v>822</v>
      </c>
      <c r="D30" s="196">
        <f>'[2]GERAL 2023'!G39+(2.45026%*580)</f>
        <v>594.21150799999998</v>
      </c>
      <c r="E30" s="192">
        <v>0</v>
      </c>
      <c r="F30" s="196">
        <f t="shared" si="8"/>
        <v>594.21150799999998</v>
      </c>
      <c r="G30" s="192">
        <v>25</v>
      </c>
      <c r="H30" s="192">
        <f t="shared" si="7"/>
        <v>61.7</v>
      </c>
      <c r="I30" s="192">
        <f>'[2]GERAL 2025'!I23</f>
        <v>1.3720449172576832</v>
      </c>
      <c r="J30" s="192">
        <v>0</v>
      </c>
      <c r="K30" s="191">
        <f t="shared" si="3"/>
        <v>682.28355291725768</v>
      </c>
      <c r="L30" s="192">
        <f t="shared" si="6"/>
        <v>47.759848704208039</v>
      </c>
      <c r="M30" s="192">
        <f t="shared" si="5"/>
        <v>634.52370421304965</v>
      </c>
      <c r="N30" s="193" t="s">
        <v>1100</v>
      </c>
      <c r="O30" s="207">
        <v>10</v>
      </c>
      <c r="P30" s="197">
        <v>11</v>
      </c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</row>
    <row r="31" spans="1:47" s="206" customFormat="1" x14ac:dyDescent="0.3">
      <c r="A31" s="195" t="s">
        <v>950</v>
      </c>
      <c r="B31" s="193">
        <v>22</v>
      </c>
      <c r="C31" s="193" t="s">
        <v>951</v>
      </c>
      <c r="D31" s="196">
        <f>'[2]GERAL 2024'!G38</f>
        <v>610</v>
      </c>
      <c r="E31" s="192">
        <v>0</v>
      </c>
      <c r="F31" s="196">
        <f t="shared" si="8"/>
        <v>610</v>
      </c>
      <c r="G31" s="192">
        <v>0</v>
      </c>
      <c r="H31" s="192">
        <f t="shared" si="7"/>
        <v>61.7</v>
      </c>
      <c r="I31" s="192">
        <f>'[2]GERAL 2025'!I24</f>
        <v>1.3720449172576832</v>
      </c>
      <c r="J31" s="192">
        <v>0</v>
      </c>
      <c r="K31" s="191">
        <f t="shared" si="3"/>
        <v>673.0720449172577</v>
      </c>
      <c r="L31" s="192">
        <f>7%*K31</f>
        <v>47.115043144208045</v>
      </c>
      <c r="M31" s="192">
        <f>K31-L31</f>
        <v>625.95700177304968</v>
      </c>
      <c r="N31" s="193" t="s">
        <v>618</v>
      </c>
      <c r="O31" s="207">
        <v>10</v>
      </c>
      <c r="P31" s="197">
        <v>11</v>
      </c>
      <c r="Q31" s="205"/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  <c r="AC31" s="205"/>
      <c r="AD31" s="205"/>
      <c r="AE31" s="205"/>
      <c r="AF31" s="205"/>
      <c r="AG31" s="205"/>
      <c r="AH31" s="205"/>
      <c r="AI31" s="205"/>
      <c r="AJ31" s="205"/>
      <c r="AK31" s="205"/>
      <c r="AL31" s="205"/>
      <c r="AM31" s="205"/>
      <c r="AN31" s="205"/>
      <c r="AO31" s="205"/>
      <c r="AP31" s="205"/>
    </row>
    <row r="32" spans="1:47" s="206" customFormat="1" x14ac:dyDescent="0.3">
      <c r="A32" s="195" t="s">
        <v>750</v>
      </c>
      <c r="B32" s="193">
        <v>23</v>
      </c>
      <c r="C32" s="193" t="s">
        <v>827</v>
      </c>
      <c r="D32" s="196">
        <f>'[2]GERAL 2022'!G25</f>
        <v>550</v>
      </c>
      <c r="E32" s="192">
        <v>0</v>
      </c>
      <c r="F32" s="196">
        <f t="shared" si="8"/>
        <v>550</v>
      </c>
      <c r="G32" s="192">
        <v>0</v>
      </c>
      <c r="H32" s="192">
        <f t="shared" si="7"/>
        <v>61.7</v>
      </c>
      <c r="I32" s="192">
        <f>'[2]GERAL 2025'!I25</f>
        <v>1.3720449172576832</v>
      </c>
      <c r="J32" s="192">
        <v>0</v>
      </c>
      <c r="K32" s="191">
        <f t="shared" si="3"/>
        <v>613.0720449172577</v>
      </c>
      <c r="L32" s="192">
        <f t="shared" si="6"/>
        <v>42.915043144208042</v>
      </c>
      <c r="M32" s="192">
        <f t="shared" si="5"/>
        <v>570.15700177304961</v>
      </c>
      <c r="N32" s="193" t="s">
        <v>618</v>
      </c>
      <c r="O32" s="197">
        <v>10</v>
      </c>
      <c r="P32" s="197">
        <v>11</v>
      </c>
      <c r="Q32" s="205"/>
      <c r="R32" s="205"/>
      <c r="S32" s="205"/>
      <c r="T32" s="205"/>
      <c r="U32" s="205"/>
      <c r="V32" s="205"/>
      <c r="W32" s="205"/>
      <c r="X32" s="205"/>
      <c r="Y32" s="205"/>
      <c r="Z32" s="205"/>
      <c r="AA32" s="205"/>
      <c r="AB32" s="205"/>
      <c r="AC32" s="205"/>
      <c r="AD32" s="205"/>
      <c r="AE32" s="205"/>
      <c r="AF32" s="205"/>
      <c r="AG32" s="205"/>
      <c r="AH32" s="205"/>
      <c r="AI32" s="205"/>
      <c r="AJ32" s="205"/>
      <c r="AK32" s="205"/>
      <c r="AL32" s="205"/>
      <c r="AM32" s="205"/>
      <c r="AN32" s="205"/>
      <c r="AO32" s="205"/>
      <c r="AP32" s="205"/>
    </row>
    <row r="33" spans="1:42" s="204" customFormat="1" ht="15.6" customHeight="1" x14ac:dyDescent="0.3">
      <c r="A33" s="193"/>
      <c r="B33" s="193">
        <v>24</v>
      </c>
      <c r="C33" s="193"/>
      <c r="D33" s="196">
        <v>0</v>
      </c>
      <c r="E33" s="192">
        <v>0</v>
      </c>
      <c r="F33" s="196">
        <f>D33-E33</f>
        <v>0</v>
      </c>
      <c r="G33" s="192">
        <v>0</v>
      </c>
      <c r="H33" s="192">
        <v>0</v>
      </c>
      <c r="I33" s="192">
        <v>0</v>
      </c>
      <c r="J33" s="192">
        <v>0</v>
      </c>
      <c r="K33" s="191">
        <f t="shared" si="3"/>
        <v>0</v>
      </c>
      <c r="L33" s="192">
        <f t="shared" si="6"/>
        <v>0</v>
      </c>
      <c r="M33" s="192">
        <f t="shared" si="5"/>
        <v>0</v>
      </c>
      <c r="N33" s="193" t="s">
        <v>525</v>
      </c>
      <c r="O33" s="207"/>
      <c r="P33" s="197"/>
      <c r="Q33" s="200"/>
      <c r="R33" s="200"/>
      <c r="S33" s="200"/>
      <c r="T33" s="200"/>
      <c r="U33" s="200"/>
      <c r="V33" s="200"/>
      <c r="W33" s="200"/>
      <c r="X33" s="200"/>
      <c r="Y33" s="200"/>
    </row>
    <row r="34" spans="1:42" s="204" customFormat="1" ht="15" customHeight="1" x14ac:dyDescent="0.3">
      <c r="A34" s="206" t="s">
        <v>1007</v>
      </c>
      <c r="B34" s="193">
        <v>25</v>
      </c>
      <c r="C34" s="193" t="s">
        <v>822</v>
      </c>
      <c r="D34" s="196">
        <f>'[2]GERAL 2024'!G43</f>
        <v>640</v>
      </c>
      <c r="E34" s="192">
        <v>0</v>
      </c>
      <c r="F34" s="196">
        <f t="shared" si="8"/>
        <v>640</v>
      </c>
      <c r="G34" s="192">
        <v>25</v>
      </c>
      <c r="H34" s="192">
        <f t="shared" si="7"/>
        <v>61.7</v>
      </c>
      <c r="I34" s="192">
        <f>'[2]GERAL 2025'!I27</f>
        <v>1.3720449172576832</v>
      </c>
      <c r="J34" s="192">
        <v>0</v>
      </c>
      <c r="K34" s="191">
        <f t="shared" si="3"/>
        <v>728.0720449172577</v>
      </c>
      <c r="L34" s="192">
        <f t="shared" si="6"/>
        <v>50.965043144208046</v>
      </c>
      <c r="M34" s="192">
        <f t="shared" si="5"/>
        <v>677.10700177304966</v>
      </c>
      <c r="N34" s="193" t="s">
        <v>1100</v>
      </c>
      <c r="O34" s="207">
        <v>10</v>
      </c>
      <c r="P34" s="197">
        <v>11</v>
      </c>
      <c r="Q34" s="200"/>
      <c r="R34" s="200"/>
      <c r="S34" s="200"/>
      <c r="T34" s="200"/>
      <c r="U34" s="200"/>
      <c r="V34" s="200"/>
      <c r="W34" s="200"/>
      <c r="X34" s="200"/>
      <c r="Y34" s="200"/>
    </row>
    <row r="35" spans="1:42" s="206" customFormat="1" x14ac:dyDescent="0.3">
      <c r="A35" s="195" t="s">
        <v>751</v>
      </c>
      <c r="B35" s="193">
        <v>26</v>
      </c>
      <c r="C35" s="193" t="s">
        <v>827</v>
      </c>
      <c r="D35" s="196">
        <f>'[2]GERAL 2022'!G28</f>
        <v>560</v>
      </c>
      <c r="E35" s="192">
        <v>0</v>
      </c>
      <c r="F35" s="196">
        <f t="shared" si="8"/>
        <v>560</v>
      </c>
      <c r="G35" s="192">
        <v>25</v>
      </c>
      <c r="H35" s="192">
        <f t="shared" si="7"/>
        <v>61.7</v>
      </c>
      <c r="I35" s="192">
        <f>'[2]GERAL 2025'!I28</f>
        <v>1.3720449172576832</v>
      </c>
      <c r="J35" s="192">
        <v>0</v>
      </c>
      <c r="K35" s="191">
        <f t="shared" si="3"/>
        <v>648.0720449172577</v>
      </c>
      <c r="L35" s="192">
        <f t="shared" si="6"/>
        <v>45.365043144208045</v>
      </c>
      <c r="M35" s="192">
        <f t="shared" si="5"/>
        <v>602.70700177304968</v>
      </c>
      <c r="N35" s="193" t="s">
        <v>1100</v>
      </c>
      <c r="O35" s="197">
        <v>10</v>
      </c>
      <c r="P35" s="197">
        <v>11</v>
      </c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</row>
    <row r="36" spans="1:42" s="206" customFormat="1" x14ac:dyDescent="0.3">
      <c r="A36" s="195" t="s">
        <v>752</v>
      </c>
      <c r="B36" s="193">
        <v>27</v>
      </c>
      <c r="C36" s="216" t="s">
        <v>827</v>
      </c>
      <c r="D36" s="217">
        <f>'[2]GERAL 2022'!G45</f>
        <v>580</v>
      </c>
      <c r="E36" s="210">
        <v>0</v>
      </c>
      <c r="F36" s="196">
        <f t="shared" si="8"/>
        <v>580</v>
      </c>
      <c r="G36" s="210">
        <v>0</v>
      </c>
      <c r="H36" s="192">
        <f t="shared" si="7"/>
        <v>61.7</v>
      </c>
      <c r="I36" s="210">
        <f>'[2]GERAL 2025'!I29</f>
        <v>1.3720449172576832</v>
      </c>
      <c r="J36" s="210">
        <v>0</v>
      </c>
      <c r="K36" s="191">
        <f t="shared" si="3"/>
        <v>643.0720449172577</v>
      </c>
      <c r="L36" s="192">
        <f t="shared" si="6"/>
        <v>45.015043144208043</v>
      </c>
      <c r="M36" s="192">
        <f>K36-L36</f>
        <v>598.05700177304971</v>
      </c>
      <c r="N36" s="193" t="s">
        <v>1104</v>
      </c>
      <c r="O36" s="197">
        <v>10</v>
      </c>
      <c r="P36" s="197">
        <v>11</v>
      </c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</row>
    <row r="37" spans="1:42" s="206" customFormat="1" x14ac:dyDescent="0.3">
      <c r="A37" s="584" t="s">
        <v>4</v>
      </c>
      <c r="B37" s="584"/>
      <c r="C37" s="209"/>
      <c r="D37" s="191">
        <f>SUM(D10:D36)</f>
        <v>13093.590778000002</v>
      </c>
      <c r="E37" s="191">
        <f t="shared" ref="E37:M37" si="9">SUM(E10:E36)</f>
        <v>0</v>
      </c>
      <c r="F37" s="191">
        <f t="shared" si="9"/>
        <v>13093.590778000002</v>
      </c>
      <c r="G37" s="191">
        <f t="shared" si="9"/>
        <v>475</v>
      </c>
      <c r="H37" s="191">
        <f t="shared" si="9"/>
        <v>1295.7000000000005</v>
      </c>
      <c r="I37" s="191">
        <f>SUM(I10:I36)</f>
        <v>29.910579196217483</v>
      </c>
      <c r="J37" s="191">
        <f>SUM(J10:J36)</f>
        <v>254.14999999999998</v>
      </c>
      <c r="K37" s="191">
        <f>SUM(K10:K36)</f>
        <v>15148.351357196221</v>
      </c>
      <c r="L37" s="191">
        <f t="shared" si="9"/>
        <v>1060.3845950037353</v>
      </c>
      <c r="M37" s="191">
        <f t="shared" si="9"/>
        <v>14087.966762192482</v>
      </c>
      <c r="N37" s="193"/>
      <c r="O37" s="197"/>
      <c r="P37" s="197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  <c r="AC37" s="205"/>
      <c r="AD37" s="205"/>
      <c r="AE37" s="205"/>
      <c r="AF37" s="205"/>
      <c r="AG37" s="205"/>
      <c r="AH37" s="205"/>
      <c r="AI37" s="205"/>
      <c r="AJ37" s="205"/>
      <c r="AK37" s="205"/>
      <c r="AL37" s="205"/>
      <c r="AM37" s="205"/>
      <c r="AN37" s="205"/>
      <c r="AO37" s="205"/>
      <c r="AP37" s="205"/>
    </row>
    <row r="38" spans="1:42" s="11" customFormat="1" ht="28.5" customHeight="1" x14ac:dyDescent="0.3">
      <c r="A38" s="521" t="s">
        <v>1105</v>
      </c>
      <c r="B38" s="521"/>
      <c r="C38" s="521"/>
      <c r="D38" s="521"/>
      <c r="E38" s="521"/>
      <c r="F38" s="521"/>
      <c r="G38" s="521"/>
      <c r="H38" s="521"/>
      <c r="I38" s="521"/>
      <c r="J38" s="521"/>
      <c r="K38" s="521"/>
      <c r="L38" s="521"/>
      <c r="M38" s="521"/>
      <c r="N38" s="521"/>
      <c r="O38" s="521"/>
      <c r="P38" s="521"/>
      <c r="Q38" s="10"/>
      <c r="R38" s="10"/>
      <c r="S38" s="10"/>
      <c r="T38" s="10"/>
      <c r="U38" s="10"/>
      <c r="V38" s="10"/>
      <c r="W38" s="10"/>
      <c r="X38" s="10"/>
      <c r="Y38" s="10"/>
    </row>
    <row r="39" spans="1:42" s="11" customFormat="1" ht="27.6" customHeight="1" x14ac:dyDescent="0.3">
      <c r="A39" s="127" t="s">
        <v>3</v>
      </c>
      <c r="B39" s="127" t="s">
        <v>0</v>
      </c>
      <c r="C39" s="127" t="s">
        <v>821</v>
      </c>
      <c r="D39" s="128" t="s">
        <v>174</v>
      </c>
      <c r="E39" s="555" t="s">
        <v>175</v>
      </c>
      <c r="F39" s="556"/>
      <c r="G39" s="556"/>
      <c r="H39" s="556"/>
      <c r="I39" s="556"/>
      <c r="J39" s="557"/>
      <c r="K39" s="128" t="s">
        <v>4</v>
      </c>
      <c r="L39" s="128" t="s">
        <v>5</v>
      </c>
      <c r="M39" s="128" t="s">
        <v>70</v>
      </c>
      <c r="N39" s="127" t="s">
        <v>59</v>
      </c>
      <c r="O39" s="130" t="s">
        <v>8</v>
      </c>
      <c r="P39" s="130" t="s">
        <v>10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42" s="204" customFormat="1" ht="15.6" customHeight="1" x14ac:dyDescent="0.3">
      <c r="A40" s="194" t="s">
        <v>929</v>
      </c>
      <c r="B40" s="194">
        <v>12</v>
      </c>
      <c r="C40" s="194" t="s">
        <v>829</v>
      </c>
      <c r="D40" s="196">
        <v>1464</v>
      </c>
      <c r="E40" s="551" t="s">
        <v>715</v>
      </c>
      <c r="F40" s="580"/>
      <c r="G40" s="580"/>
      <c r="H40" s="580"/>
      <c r="I40" s="580"/>
      <c r="J40" s="552"/>
      <c r="K40" s="196">
        <v>183</v>
      </c>
      <c r="L40" s="192">
        <f>7%*K40</f>
        <v>12.81</v>
      </c>
      <c r="M40" s="192">
        <f>K40-L40</f>
        <v>170.19</v>
      </c>
      <c r="N40" s="193" t="s">
        <v>1106</v>
      </c>
      <c r="O40" s="207">
        <v>10</v>
      </c>
      <c r="P40" s="197">
        <v>11</v>
      </c>
      <c r="Q40" s="200"/>
      <c r="R40" s="200"/>
      <c r="S40" s="200"/>
      <c r="T40" s="200"/>
      <c r="U40" s="200"/>
      <c r="V40" s="200"/>
      <c r="W40" s="200"/>
      <c r="X40" s="200"/>
      <c r="Y40" s="200"/>
    </row>
    <row r="41" spans="1:42" s="11" customFormat="1" x14ac:dyDescent="0.3">
      <c r="A41" s="518" t="s">
        <v>4</v>
      </c>
      <c r="B41" s="518"/>
      <c r="C41" s="518"/>
      <c r="D41" s="518"/>
      <c r="E41" s="518"/>
      <c r="F41" s="518"/>
      <c r="G41" s="518"/>
      <c r="H41" s="518"/>
      <c r="I41" s="518"/>
      <c r="J41" s="518"/>
      <c r="K41" s="109">
        <f>SUM(K40:K40)</f>
        <v>183</v>
      </c>
      <c r="L41" s="109">
        <f>SUM(L40:L40)</f>
        <v>12.81</v>
      </c>
      <c r="M41" s="109">
        <f>SUM(M40:M40)</f>
        <v>170.19</v>
      </c>
      <c r="N41" s="527"/>
      <c r="O41" s="527"/>
      <c r="P41" s="527"/>
      <c r="Q41" s="10"/>
      <c r="R41" s="10"/>
      <c r="S41" s="10"/>
      <c r="T41" s="10"/>
      <c r="U41" s="10"/>
      <c r="V41" s="10"/>
      <c r="W41" s="10"/>
      <c r="X41" s="10"/>
      <c r="Y41" s="10"/>
    </row>
    <row r="42" spans="1:42" s="11" customFormat="1" x14ac:dyDescent="0.3">
      <c r="A42" s="518"/>
      <c r="B42" s="518"/>
      <c r="C42" s="518"/>
      <c r="D42" s="518"/>
      <c r="E42" s="518"/>
      <c r="F42" s="518"/>
      <c r="G42" s="518"/>
      <c r="H42" s="518"/>
      <c r="I42" s="518"/>
      <c r="J42" s="518"/>
      <c r="K42" s="518"/>
      <c r="L42" s="518"/>
      <c r="M42" s="518"/>
      <c r="N42" s="518"/>
      <c r="O42" s="109"/>
      <c r="P42" s="109"/>
      <c r="Q42" s="10"/>
      <c r="R42" s="10"/>
      <c r="S42" s="10"/>
      <c r="T42" s="10"/>
      <c r="U42" s="10"/>
      <c r="V42" s="10"/>
      <c r="W42" s="10"/>
      <c r="X42" s="10"/>
      <c r="Y42" s="10"/>
    </row>
    <row r="43" spans="1:42" s="11" customFormat="1" ht="28.5" customHeight="1" x14ac:dyDescent="0.3">
      <c r="A43" s="521" t="s">
        <v>177</v>
      </c>
      <c r="B43" s="521"/>
      <c r="C43" s="521"/>
      <c r="D43" s="521"/>
      <c r="E43" s="521"/>
      <c r="F43" s="521"/>
      <c r="G43" s="521"/>
      <c r="H43" s="521"/>
      <c r="I43" s="521"/>
      <c r="J43" s="521"/>
      <c r="K43" s="521"/>
      <c r="L43" s="521"/>
      <c r="M43" s="521"/>
      <c r="N43" s="521"/>
      <c r="O43" s="521"/>
      <c r="P43" s="521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42" s="11" customFormat="1" ht="25.5" customHeight="1" x14ac:dyDescent="0.3">
      <c r="A44" s="126" t="s">
        <v>173</v>
      </c>
      <c r="B44" s="126" t="s">
        <v>0</v>
      </c>
      <c r="C44" s="126"/>
      <c r="D44" s="126" t="s">
        <v>174</v>
      </c>
      <c r="E44" s="521" t="s">
        <v>175</v>
      </c>
      <c r="F44" s="521"/>
      <c r="G44" s="521"/>
      <c r="H44" s="521"/>
      <c r="I44" s="521"/>
      <c r="J44" s="521"/>
      <c r="K44" s="129" t="s">
        <v>4</v>
      </c>
      <c r="L44" s="128"/>
      <c r="M44" s="128"/>
      <c r="N44" s="127" t="s">
        <v>59</v>
      </c>
      <c r="O44" s="130" t="s">
        <v>8</v>
      </c>
      <c r="P44" s="130" t="s">
        <v>10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42" s="206" customFormat="1" ht="15" customHeight="1" x14ac:dyDescent="0.3">
      <c r="A45" s="194" t="s">
        <v>739</v>
      </c>
      <c r="B45" s="194">
        <v>10</v>
      </c>
      <c r="C45" s="194" t="s">
        <v>825</v>
      </c>
      <c r="D45" s="196">
        <f>550+50+61.7+1.31+0.8</f>
        <v>663.81</v>
      </c>
      <c r="E45" s="542" t="s">
        <v>1107</v>
      </c>
      <c r="F45" s="542"/>
      <c r="G45" s="542"/>
      <c r="H45" s="542"/>
      <c r="I45" s="542"/>
      <c r="J45" s="542"/>
      <c r="K45" s="196">
        <f>550+50+61.7+1.37</f>
        <v>663.07</v>
      </c>
      <c r="L45" s="192"/>
      <c r="M45" s="193"/>
      <c r="N45" s="193" t="s">
        <v>1108</v>
      </c>
      <c r="O45" s="140">
        <v>10</v>
      </c>
      <c r="P45" s="4">
        <v>11</v>
      </c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  <c r="AF45" s="205"/>
      <c r="AG45" s="205"/>
      <c r="AH45" s="205"/>
      <c r="AI45" s="205"/>
      <c r="AJ45" s="205"/>
      <c r="AK45" s="205"/>
      <c r="AL45" s="205"/>
      <c r="AM45" s="205"/>
      <c r="AN45" s="205"/>
      <c r="AO45" s="205"/>
    </row>
    <row r="46" spans="1:42" s="206" customFormat="1" ht="15" customHeight="1" x14ac:dyDescent="0.3">
      <c r="A46" s="194" t="s">
        <v>739</v>
      </c>
      <c r="B46" s="194">
        <v>10</v>
      </c>
      <c r="C46" s="194" t="s">
        <v>825</v>
      </c>
      <c r="D46" s="196">
        <f>550+50+61.7+1.31+0.8</f>
        <v>663.81</v>
      </c>
      <c r="E46" s="542" t="s">
        <v>1092</v>
      </c>
      <c r="F46" s="542"/>
      <c r="G46" s="542"/>
      <c r="H46" s="542"/>
      <c r="I46" s="542"/>
      <c r="J46" s="542"/>
      <c r="K46" s="196">
        <f>550+50+61.7+1.31+0.8</f>
        <v>663.81</v>
      </c>
      <c r="L46" s="192"/>
      <c r="M46" s="193"/>
      <c r="N46" s="193" t="s">
        <v>1093</v>
      </c>
      <c r="O46" s="140">
        <v>10</v>
      </c>
      <c r="P46" s="4">
        <v>11</v>
      </c>
      <c r="Q46" s="205"/>
      <c r="R46" s="205"/>
      <c r="S46" s="205"/>
      <c r="T46" s="205"/>
      <c r="U46" s="205"/>
      <c r="V46" s="205"/>
      <c r="W46" s="205"/>
      <c r="X46" s="205"/>
      <c r="Y46" s="205"/>
      <c r="Z46" s="205"/>
      <c r="AA46" s="205"/>
      <c r="AB46" s="205"/>
      <c r="AC46" s="205"/>
      <c r="AD46" s="205"/>
      <c r="AE46" s="205"/>
      <c r="AF46" s="205"/>
      <c r="AG46" s="205"/>
      <c r="AH46" s="205"/>
      <c r="AI46" s="205"/>
      <c r="AJ46" s="205"/>
      <c r="AK46" s="205"/>
      <c r="AL46" s="205"/>
      <c r="AM46" s="205"/>
      <c r="AN46" s="205"/>
      <c r="AO46" s="205"/>
    </row>
    <row r="47" spans="1:42" s="206" customFormat="1" ht="15" customHeight="1" x14ac:dyDescent="0.3">
      <c r="A47" s="194" t="s">
        <v>739</v>
      </c>
      <c r="B47" s="194">
        <v>10</v>
      </c>
      <c r="C47" s="194" t="s">
        <v>825</v>
      </c>
      <c r="D47" s="196">
        <f>550+50+61.7+1.31+0.8</f>
        <v>663.81</v>
      </c>
      <c r="E47" s="542" t="s">
        <v>1074</v>
      </c>
      <c r="F47" s="542"/>
      <c r="G47" s="542"/>
      <c r="H47" s="542"/>
      <c r="I47" s="542"/>
      <c r="J47" s="542"/>
      <c r="K47" s="196">
        <f>550+50+61.7+1.31+0.8</f>
        <v>663.81</v>
      </c>
      <c r="L47" s="192"/>
      <c r="M47" s="193"/>
      <c r="N47" s="193" t="s">
        <v>1074</v>
      </c>
      <c r="O47" s="140">
        <v>10</v>
      </c>
      <c r="P47" s="4">
        <v>11</v>
      </c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  <c r="AC47" s="205"/>
      <c r="AD47" s="205"/>
      <c r="AE47" s="205"/>
      <c r="AF47" s="205"/>
      <c r="AG47" s="205"/>
      <c r="AH47" s="205"/>
      <c r="AI47" s="205"/>
      <c r="AJ47" s="205"/>
      <c r="AK47" s="205"/>
      <c r="AL47" s="205"/>
      <c r="AM47" s="205"/>
      <c r="AN47" s="205"/>
      <c r="AO47" s="205"/>
    </row>
    <row r="48" spans="1:42" s="206" customFormat="1" ht="15" customHeight="1" x14ac:dyDescent="0.3">
      <c r="A48" s="194" t="s">
        <v>739</v>
      </c>
      <c r="B48" s="194">
        <v>10</v>
      </c>
      <c r="C48" s="194" t="s">
        <v>825</v>
      </c>
      <c r="D48" s="196">
        <f>550+50+61.7+1.31+0.8</f>
        <v>663.81</v>
      </c>
      <c r="E48" s="542" t="s">
        <v>1062</v>
      </c>
      <c r="F48" s="542"/>
      <c r="G48" s="542"/>
      <c r="H48" s="542"/>
      <c r="I48" s="542"/>
      <c r="J48" s="542"/>
      <c r="K48" s="196">
        <f>550+50+61.7+1.31+0.8</f>
        <v>663.81</v>
      </c>
      <c r="L48" s="192"/>
      <c r="M48" s="193"/>
      <c r="N48" s="193" t="s">
        <v>1062</v>
      </c>
      <c r="O48" s="140">
        <v>10</v>
      </c>
      <c r="P48" s="4">
        <v>11</v>
      </c>
      <c r="Q48" s="205"/>
      <c r="R48" s="205"/>
      <c r="S48" s="205"/>
      <c r="T48" s="205"/>
      <c r="U48" s="205"/>
      <c r="V48" s="205"/>
      <c r="W48" s="205"/>
      <c r="X48" s="205"/>
      <c r="Y48" s="205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05"/>
    </row>
    <row r="49" spans="1:60" s="69" customFormat="1" ht="15" customHeight="1" x14ac:dyDescent="0.3">
      <c r="A49" s="4" t="s">
        <v>132</v>
      </c>
      <c r="B49" s="4">
        <v>1</v>
      </c>
      <c r="C49" s="4"/>
      <c r="D49" s="5">
        <f>4977.59-1520</f>
        <v>3457.59</v>
      </c>
      <c r="E49" s="595" t="s">
        <v>284</v>
      </c>
      <c r="F49" s="595"/>
      <c r="G49" s="595"/>
      <c r="H49" s="595"/>
      <c r="I49" s="595"/>
      <c r="J49" s="595"/>
      <c r="K49" s="5">
        <f>4977.59-1520</f>
        <v>3457.59</v>
      </c>
      <c r="L49" s="5"/>
      <c r="M49" s="5"/>
      <c r="N49" s="5" t="s">
        <v>510</v>
      </c>
      <c r="O49" s="140">
        <v>10</v>
      </c>
      <c r="P49" s="4">
        <v>11</v>
      </c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</row>
    <row r="50" spans="1:60" s="11" customFormat="1" x14ac:dyDescent="0.3">
      <c r="A50" s="90" t="s">
        <v>87</v>
      </c>
      <c r="B50" s="90">
        <v>25</v>
      </c>
      <c r="C50" s="90"/>
      <c r="D50" s="5">
        <v>3013.33</v>
      </c>
      <c r="E50" s="595" t="s">
        <v>543</v>
      </c>
      <c r="F50" s="595"/>
      <c r="G50" s="595"/>
      <c r="H50" s="595"/>
      <c r="I50" s="595"/>
      <c r="J50" s="595"/>
      <c r="K50" s="5">
        <v>3040.58</v>
      </c>
      <c r="L50" s="2"/>
      <c r="M50" s="2"/>
      <c r="N50" s="5" t="s">
        <v>545</v>
      </c>
      <c r="O50" s="98">
        <v>10</v>
      </c>
      <c r="P50" s="3">
        <v>11</v>
      </c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 spans="1:60" s="11" customFormat="1" ht="15" customHeight="1" x14ac:dyDescent="0.3">
      <c r="A51" s="3" t="s">
        <v>894</v>
      </c>
      <c r="B51" s="90">
        <v>16</v>
      </c>
      <c r="C51" s="90" t="s">
        <v>823</v>
      </c>
      <c r="D51" s="5">
        <f>144.52+11.29+12.89+0.3+0.18+1664</f>
        <v>1833.18</v>
      </c>
      <c r="E51" s="546" t="s">
        <v>969</v>
      </c>
      <c r="F51" s="547"/>
      <c r="G51" s="547"/>
      <c r="H51" s="547"/>
      <c r="I51" s="547"/>
      <c r="J51" s="548"/>
      <c r="K51" s="5">
        <f>144.52+11.29+12.89+0.3+0.18+1664</f>
        <v>1833.18</v>
      </c>
      <c r="L51" s="2"/>
      <c r="M51" s="2"/>
      <c r="N51" s="90" t="s">
        <v>969</v>
      </c>
      <c r="O51" s="98">
        <v>10</v>
      </c>
      <c r="P51" s="3">
        <v>11</v>
      </c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60" s="206" customFormat="1" ht="15" customHeight="1" x14ac:dyDescent="0.3">
      <c r="A52" s="237" t="s">
        <v>902</v>
      </c>
      <c r="B52" s="195">
        <v>17</v>
      </c>
      <c r="C52" s="195" t="s">
        <v>823</v>
      </c>
      <c r="D52" s="196">
        <v>2080.41</v>
      </c>
      <c r="E52" s="551" t="s">
        <v>1011</v>
      </c>
      <c r="F52" s="580"/>
      <c r="G52" s="580"/>
      <c r="H52" s="580"/>
      <c r="I52" s="580"/>
      <c r="J52" s="552"/>
      <c r="K52" s="196">
        <v>300</v>
      </c>
      <c r="L52" s="192"/>
      <c r="M52" s="192"/>
      <c r="N52" s="193" t="s">
        <v>1039</v>
      </c>
      <c r="O52" s="235">
        <v>10</v>
      </c>
      <c r="P52" s="197">
        <v>11</v>
      </c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  <c r="AJ52" s="205"/>
      <c r="AK52" s="205"/>
      <c r="AL52" s="205"/>
      <c r="AM52" s="205"/>
      <c r="AN52" s="205"/>
      <c r="AO52" s="205"/>
      <c r="AP52" s="205"/>
    </row>
    <row r="53" spans="1:60" s="206" customFormat="1" ht="15" customHeight="1" x14ac:dyDescent="0.3">
      <c r="A53" s="237" t="s">
        <v>902</v>
      </c>
      <c r="B53" s="195">
        <v>17</v>
      </c>
      <c r="C53" s="195" t="s">
        <v>823</v>
      </c>
      <c r="D53" s="196">
        <v>2080.41</v>
      </c>
      <c r="E53" s="551" t="s">
        <v>1011</v>
      </c>
      <c r="F53" s="580"/>
      <c r="G53" s="580"/>
      <c r="H53" s="580"/>
      <c r="I53" s="580"/>
      <c r="J53" s="552"/>
      <c r="K53" s="196">
        <v>300</v>
      </c>
      <c r="L53" s="192"/>
      <c r="M53" s="192"/>
      <c r="N53" s="193" t="s">
        <v>1049</v>
      </c>
      <c r="O53" s="235">
        <v>10</v>
      </c>
      <c r="P53" s="197">
        <v>11</v>
      </c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  <c r="AC53" s="205"/>
      <c r="AD53" s="205"/>
      <c r="AE53" s="205"/>
      <c r="AF53" s="205"/>
      <c r="AG53" s="205"/>
      <c r="AH53" s="205"/>
      <c r="AI53" s="205"/>
      <c r="AJ53" s="205"/>
      <c r="AK53" s="205"/>
      <c r="AL53" s="205"/>
      <c r="AM53" s="205"/>
      <c r="AN53" s="205"/>
      <c r="AO53" s="205"/>
      <c r="AP53" s="205"/>
    </row>
    <row r="54" spans="1:60" s="40" customFormat="1" ht="15" customHeight="1" thickBot="1" x14ac:dyDescent="0.35">
      <c r="A54" s="534" t="s">
        <v>4</v>
      </c>
      <c r="B54" s="549"/>
      <c r="C54" s="549"/>
      <c r="D54" s="549"/>
      <c r="E54" s="549"/>
      <c r="F54" s="549"/>
      <c r="G54" s="549"/>
      <c r="H54" s="549"/>
      <c r="I54" s="549"/>
      <c r="J54" s="535"/>
      <c r="K54" s="114">
        <f>SUM(K45:K53)</f>
        <v>11585.85</v>
      </c>
      <c r="L54" s="90"/>
      <c r="M54" s="90"/>
      <c r="N54" s="90"/>
      <c r="O54" s="90"/>
      <c r="P54" s="9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1"/>
      <c r="AU54" s="11"/>
      <c r="AV54" s="11"/>
      <c r="AW54" s="11"/>
    </row>
    <row r="55" spans="1:60" s="19" customFormat="1" x14ac:dyDescent="0.3">
      <c r="A55" s="179"/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1"/>
      <c r="P55" s="182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</row>
    <row r="56" spans="1:60" s="40" customFormat="1" x14ac:dyDescent="0.3">
      <c r="A56" s="585"/>
      <c r="B56" s="585"/>
      <c r="C56" s="585"/>
      <c r="D56" s="585"/>
      <c r="E56" s="585"/>
      <c r="F56" s="46"/>
      <c r="G56" s="46"/>
      <c r="H56" s="46"/>
      <c r="I56" s="46"/>
      <c r="J56" s="46"/>
      <c r="K56" s="46"/>
      <c r="L56" s="46"/>
      <c r="M56" s="46"/>
      <c r="N56" s="544" t="s">
        <v>315</v>
      </c>
      <c r="O56" s="544"/>
      <c r="P56" s="545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1"/>
      <c r="AU56" s="11"/>
      <c r="AV56" s="11"/>
      <c r="AW56" s="11"/>
    </row>
    <row r="57" spans="1:60" s="40" customFormat="1" x14ac:dyDescent="0.3">
      <c r="A57" s="206"/>
      <c r="B57" s="223"/>
      <c r="C57" s="223"/>
      <c r="D57" s="224"/>
      <c r="E57" s="223"/>
      <c r="F57" s="46"/>
      <c r="G57" s="46"/>
      <c r="H57" s="46"/>
      <c r="I57" s="11"/>
      <c r="J57" s="11"/>
      <c r="K57" s="87"/>
      <c r="L57" s="87"/>
      <c r="M57" s="87"/>
      <c r="N57" s="527" t="s">
        <v>94</v>
      </c>
      <c r="O57" s="527"/>
      <c r="P57" s="114">
        <f>L37+L41</f>
        <v>1073.1945950037352</v>
      </c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1"/>
      <c r="AU57" s="11"/>
      <c r="AV57" s="11"/>
      <c r="AW57" s="11"/>
    </row>
    <row r="58" spans="1:60" s="40" customFormat="1" x14ac:dyDescent="0.3">
      <c r="A58" s="206"/>
      <c r="B58" s="223"/>
      <c r="C58" s="223"/>
      <c r="D58" s="224"/>
      <c r="E58" s="223"/>
      <c r="F58" s="46"/>
      <c r="G58" s="46"/>
      <c r="H58" s="46"/>
      <c r="I58" s="11"/>
      <c r="J58" s="11"/>
      <c r="K58" s="14"/>
      <c r="L58" s="14"/>
      <c r="M58" s="14"/>
      <c r="N58" s="518" t="s">
        <v>260</v>
      </c>
      <c r="O58" s="518"/>
      <c r="P58" s="114">
        <f>L7</f>
        <v>1191</v>
      </c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1"/>
      <c r="AU58" s="11"/>
      <c r="AV58" s="11"/>
      <c r="AW58" s="11"/>
    </row>
    <row r="59" spans="1:60" s="40" customFormat="1" x14ac:dyDescent="0.3">
      <c r="A59" s="206"/>
      <c r="B59" s="223"/>
      <c r="C59" s="223"/>
      <c r="D59" s="224"/>
      <c r="E59" s="223"/>
      <c r="F59" s="46"/>
      <c r="G59" s="46"/>
      <c r="H59" s="46"/>
      <c r="I59" s="11"/>
      <c r="J59" s="11"/>
      <c r="K59" s="14"/>
      <c r="L59" s="14"/>
      <c r="M59" s="14"/>
      <c r="N59" s="520"/>
      <c r="O59" s="520"/>
      <c r="P59" s="52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1"/>
      <c r="AU59" s="11"/>
      <c r="AV59" s="11"/>
      <c r="AW59" s="11"/>
    </row>
    <row r="60" spans="1:60" s="40" customFormat="1" x14ac:dyDescent="0.3">
      <c r="A60" s="206"/>
      <c r="B60" s="223"/>
      <c r="C60" s="223"/>
      <c r="D60" s="224"/>
      <c r="E60" s="223"/>
      <c r="F60" s="46"/>
      <c r="G60" s="46"/>
      <c r="H60" s="46"/>
      <c r="I60" s="11"/>
      <c r="J60" s="11"/>
      <c r="K60" s="62"/>
      <c r="L60" s="62"/>
      <c r="M60" s="62"/>
      <c r="N60" s="520"/>
      <c r="O60" s="520"/>
      <c r="P60" s="52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1"/>
      <c r="AU60" s="11"/>
      <c r="AV60" s="11"/>
      <c r="AW60" s="11"/>
    </row>
    <row r="61" spans="1:60" s="40" customFormat="1" ht="14.4" x14ac:dyDescent="0.3">
      <c r="A61" s="206"/>
      <c r="B61" s="223"/>
      <c r="C61" s="223"/>
      <c r="D61" s="224"/>
      <c r="E61" s="223"/>
      <c r="F61" s="46"/>
      <c r="G61" s="46"/>
      <c r="H61" s="46"/>
      <c r="I61" s="11"/>
      <c r="J61" s="11"/>
      <c r="K61" s="14"/>
      <c r="L61" s="14"/>
      <c r="M61" s="14"/>
      <c r="N61" s="529" t="s">
        <v>12</v>
      </c>
      <c r="O61" s="529"/>
      <c r="P61" s="529"/>
      <c r="Q61" s="175"/>
      <c r="R61" s="178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1"/>
      <c r="AU61" s="11"/>
      <c r="AV61" s="11"/>
      <c r="AW61" s="11"/>
    </row>
    <row r="62" spans="1:60" s="11" customFormat="1" ht="15" customHeight="1" x14ac:dyDescent="0.3">
      <c r="A62" s="206"/>
      <c r="B62" s="223"/>
      <c r="C62" s="223"/>
      <c r="D62" s="224"/>
      <c r="E62" s="223"/>
      <c r="F62" s="46"/>
      <c r="G62" s="46"/>
      <c r="H62" s="46"/>
      <c r="K62" s="63"/>
      <c r="L62" s="63"/>
      <c r="M62" s="63"/>
      <c r="N62" s="590" t="s">
        <v>1109</v>
      </c>
      <c r="O62" s="591"/>
      <c r="P62" s="250">
        <v>126.44</v>
      </c>
      <c r="Q62" s="190"/>
      <c r="R62" s="178"/>
    </row>
    <row r="63" spans="1:60" s="11" customFormat="1" ht="15.6" x14ac:dyDescent="0.3">
      <c r="A63" s="206"/>
      <c r="B63" s="223"/>
      <c r="C63" s="223"/>
      <c r="D63" s="224"/>
      <c r="E63" s="223"/>
      <c r="F63" s="46"/>
      <c r="G63" s="46"/>
      <c r="H63" s="46"/>
      <c r="K63" s="14"/>
      <c r="L63" s="14"/>
      <c r="M63" s="14"/>
      <c r="N63" s="590" t="s">
        <v>1110</v>
      </c>
      <c r="O63" s="591"/>
      <c r="P63" s="250">
        <v>127.71</v>
      </c>
      <c r="Q63" s="175"/>
      <c r="R63" s="178"/>
    </row>
    <row r="64" spans="1:60" s="11" customFormat="1" ht="15" customHeight="1" x14ac:dyDescent="0.3">
      <c r="A64" s="206"/>
      <c r="B64" s="223"/>
      <c r="C64" s="223"/>
      <c r="D64" s="224"/>
      <c r="E64" s="223"/>
      <c r="F64" s="46"/>
      <c r="G64" s="46"/>
      <c r="H64" s="46"/>
      <c r="K64" s="63"/>
      <c r="L64" s="63"/>
      <c r="M64" s="63"/>
      <c r="N64" s="592" t="s">
        <v>126</v>
      </c>
      <c r="O64" s="592"/>
      <c r="P64" s="240">
        <v>98.61</v>
      </c>
      <c r="Q64" s="190"/>
      <c r="R64" s="178"/>
    </row>
    <row r="65" spans="1:48" s="11" customFormat="1" ht="15.6" x14ac:dyDescent="0.3">
      <c r="A65" s="206"/>
      <c r="B65" s="223"/>
      <c r="C65" s="223"/>
      <c r="D65" s="224"/>
      <c r="E65" s="223"/>
      <c r="F65" s="46"/>
      <c r="G65" s="46"/>
      <c r="H65" s="46"/>
      <c r="K65" s="14"/>
      <c r="L65" s="14"/>
      <c r="M65" s="14"/>
      <c r="N65" s="593" t="s">
        <v>127</v>
      </c>
      <c r="O65" s="593"/>
      <c r="P65" s="240">
        <v>1665.9</v>
      </c>
      <c r="Q65" s="222"/>
      <c r="R65" s="178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</row>
    <row r="66" spans="1:48" s="11" customFormat="1" ht="15.6" x14ac:dyDescent="0.3">
      <c r="A66" s="206"/>
      <c r="B66" s="223"/>
      <c r="C66" s="223"/>
      <c r="D66" s="224"/>
      <c r="E66" s="223"/>
      <c r="F66" s="46"/>
      <c r="G66" s="46"/>
      <c r="H66" s="46"/>
      <c r="K66" s="63"/>
      <c r="L66" s="63"/>
      <c r="M66" s="63"/>
      <c r="N66" s="594"/>
      <c r="O66" s="594"/>
      <c r="P66" s="251"/>
      <c r="Q66" s="175"/>
      <c r="R66" s="178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</row>
    <row r="67" spans="1:48" s="11" customFormat="1" ht="15.6" x14ac:dyDescent="0.3">
      <c r="A67" s="206"/>
      <c r="B67" s="223"/>
      <c r="C67" s="223"/>
      <c r="D67" s="224"/>
      <c r="E67" s="223"/>
      <c r="F67" s="46"/>
      <c r="G67" s="46"/>
      <c r="H67" s="46"/>
      <c r="K67" s="14"/>
      <c r="L67" s="14"/>
      <c r="M67" s="14"/>
      <c r="N67" s="594"/>
      <c r="O67" s="594"/>
      <c r="P67" s="42"/>
      <c r="Q67" s="175"/>
      <c r="R67" s="185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</row>
    <row r="68" spans="1:48" s="11" customFormat="1" ht="15.6" x14ac:dyDescent="0.3">
      <c r="A68" s="206"/>
      <c r="B68" s="223"/>
      <c r="C68" s="223"/>
      <c r="D68" s="224"/>
      <c r="E68" s="223"/>
      <c r="F68" s="46"/>
      <c r="G68" s="46"/>
      <c r="H68" s="46"/>
      <c r="K68" s="14"/>
      <c r="L68" s="14"/>
      <c r="M68" s="14"/>
      <c r="N68" s="588"/>
      <c r="O68" s="589"/>
      <c r="P68" s="42"/>
      <c r="Q68" s="175"/>
      <c r="R68" s="185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</row>
    <row r="69" spans="1:48" s="11" customFormat="1" ht="15.6" x14ac:dyDescent="0.3">
      <c r="A69" s="206"/>
      <c r="B69" s="223"/>
      <c r="C69" s="223"/>
      <c r="D69" s="224"/>
      <c r="E69" s="223"/>
      <c r="F69" s="46"/>
      <c r="G69" s="46"/>
      <c r="H69" s="46"/>
      <c r="K69" s="63"/>
      <c r="L69" s="63"/>
      <c r="M69" s="63"/>
      <c r="N69" s="586" t="s">
        <v>26</v>
      </c>
      <c r="O69" s="586"/>
      <c r="P69" s="241">
        <f>SUM(P57:P68)</f>
        <v>4282.8545950037351</v>
      </c>
      <c r="Q69" s="175"/>
      <c r="R69" s="178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</row>
    <row r="70" spans="1:48" s="11" customFormat="1" ht="15.6" x14ac:dyDescent="0.3">
      <c r="A70" s="206"/>
      <c r="B70" s="223"/>
      <c r="C70" s="223"/>
      <c r="D70" s="224"/>
      <c r="E70" s="223"/>
      <c r="F70" s="46"/>
      <c r="G70" s="46"/>
      <c r="H70" s="46"/>
      <c r="K70" s="14"/>
      <c r="L70" s="14"/>
      <c r="M70" s="14"/>
      <c r="N70" s="587"/>
      <c r="O70" s="587"/>
      <c r="P70" s="242"/>
      <c r="Q70" s="175"/>
      <c r="R70" s="178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</row>
    <row r="71" spans="1:48" s="11" customFormat="1" ht="15" customHeight="1" x14ac:dyDescent="0.3">
      <c r="A71" s="206"/>
      <c r="B71" s="223"/>
      <c r="C71" s="223"/>
      <c r="D71" s="224"/>
      <c r="E71" s="223"/>
      <c r="F71" s="46"/>
      <c r="G71" s="46"/>
      <c r="H71" s="46"/>
      <c r="K71" s="63"/>
      <c r="L71" s="63"/>
      <c r="M71" s="63"/>
      <c r="N71" s="564" t="s">
        <v>11</v>
      </c>
      <c r="O71" s="565"/>
      <c r="P71" s="153">
        <f>K7+K37+K41</f>
        <v>17505.567491947993</v>
      </c>
      <c r="R71" s="14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</row>
    <row r="72" spans="1:48" s="11" customFormat="1" ht="14.4" x14ac:dyDescent="0.3">
      <c r="A72" s="206"/>
      <c r="B72" s="223"/>
      <c r="C72" s="223"/>
      <c r="D72" s="224"/>
      <c r="E72" s="223"/>
      <c r="F72" s="46"/>
      <c r="G72" s="46"/>
      <c r="H72" s="46"/>
      <c r="K72" s="14"/>
      <c r="L72" s="14"/>
      <c r="M72" s="14"/>
      <c r="N72" s="518"/>
      <c r="O72" s="518"/>
      <c r="P72" s="519"/>
      <c r="Q72" s="190"/>
      <c r="R72" s="178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</row>
    <row r="73" spans="1:48" s="11" customFormat="1" ht="14.4" x14ac:dyDescent="0.3">
      <c r="A73" s="206"/>
      <c r="B73" s="223"/>
      <c r="C73" s="223"/>
      <c r="D73" s="224"/>
      <c r="E73" s="223"/>
      <c r="F73" s="46"/>
      <c r="G73" s="46"/>
      <c r="H73" s="46"/>
      <c r="K73" s="63"/>
      <c r="L73" s="63"/>
      <c r="M73" s="63"/>
      <c r="N73" s="513" t="s">
        <v>13</v>
      </c>
      <c r="O73" s="513"/>
      <c r="P73" s="151">
        <f>P71-P69</f>
        <v>13222.712896944258</v>
      </c>
      <c r="Q73" s="175"/>
      <c r="R73" s="178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</row>
    <row r="74" spans="1:48" s="11" customFormat="1" ht="14.4" x14ac:dyDescent="0.3">
      <c r="A74" s="206"/>
      <c r="B74" s="223"/>
      <c r="C74" s="223"/>
      <c r="D74" s="224"/>
      <c r="E74" s="223"/>
      <c r="F74" s="46"/>
      <c r="G74" s="46"/>
      <c r="H74" s="46"/>
      <c r="N74" s="124"/>
      <c r="O74" s="124"/>
      <c r="P74" s="57"/>
      <c r="Q74" s="175"/>
      <c r="R74" s="178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</row>
    <row r="75" spans="1:48" s="11" customFormat="1" ht="14.4" x14ac:dyDescent="0.3">
      <c r="A75" s="206"/>
      <c r="B75" s="223"/>
      <c r="C75" s="223"/>
      <c r="D75" s="224"/>
      <c r="E75" s="223"/>
      <c r="F75" s="46"/>
      <c r="G75" s="46"/>
      <c r="H75" s="46"/>
      <c r="K75" s="63"/>
      <c r="L75" s="63"/>
      <c r="M75" s="63"/>
      <c r="N75" s="124"/>
      <c r="O75" s="124"/>
      <c r="P75" s="57"/>
      <c r="Q75" s="175"/>
      <c r="R75" s="178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</row>
    <row r="76" spans="1:48" s="11" customFormat="1" ht="14.4" x14ac:dyDescent="0.3">
      <c r="A76" s="206"/>
      <c r="B76" s="223"/>
      <c r="C76" s="223"/>
      <c r="D76" s="224"/>
      <c r="E76" s="223"/>
      <c r="F76" s="46"/>
      <c r="G76" s="46"/>
      <c r="H76" s="46"/>
      <c r="K76" s="14"/>
      <c r="L76" s="14"/>
      <c r="M76" s="14"/>
      <c r="N76" s="124"/>
      <c r="O76" s="124"/>
      <c r="P76" s="57"/>
      <c r="Q76" s="175"/>
      <c r="R76" s="185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</row>
    <row r="77" spans="1:48" s="11" customFormat="1" ht="14.4" x14ac:dyDescent="0.3">
      <c r="A77" s="206"/>
      <c r="B77" s="223"/>
      <c r="C77" s="223"/>
      <c r="D77" s="224"/>
      <c r="E77" s="223"/>
      <c r="F77" s="46"/>
      <c r="G77" s="46"/>
      <c r="H77" s="46"/>
      <c r="N77" s="124"/>
      <c r="O77" s="124"/>
      <c r="P77" s="57"/>
      <c r="Q77" s="175"/>
      <c r="R77" s="176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</row>
    <row r="78" spans="1:48" s="11" customFormat="1" ht="14.4" x14ac:dyDescent="0.3">
      <c r="A78" s="206"/>
      <c r="B78" s="223"/>
      <c r="C78" s="223"/>
      <c r="D78" s="224"/>
      <c r="E78" s="223"/>
      <c r="F78" s="46"/>
      <c r="G78" s="46"/>
      <c r="H78" s="46"/>
      <c r="N78" s="15"/>
      <c r="O78" s="14"/>
      <c r="P78" s="57"/>
      <c r="Q78" s="175"/>
      <c r="R78" s="176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</row>
    <row r="79" spans="1:48" s="11" customFormat="1" ht="14.4" x14ac:dyDescent="0.3">
      <c r="A79" s="206"/>
      <c r="B79" s="223"/>
      <c r="C79" s="223"/>
      <c r="D79" s="224"/>
      <c r="E79" s="223"/>
      <c r="F79" s="46"/>
      <c r="G79" s="46"/>
      <c r="H79" s="46"/>
      <c r="O79" s="15"/>
      <c r="P79" s="57"/>
      <c r="Q79" s="175"/>
      <c r="R79" s="178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</row>
    <row r="80" spans="1:48" s="11" customFormat="1" ht="14.4" x14ac:dyDescent="0.3">
      <c r="A80" s="206"/>
      <c r="B80" s="223"/>
      <c r="C80" s="223"/>
      <c r="D80" s="224"/>
      <c r="E80" s="223"/>
      <c r="F80" s="46"/>
      <c r="G80" s="46"/>
      <c r="H80" s="46"/>
      <c r="K80" s="14"/>
      <c r="L80" s="14"/>
      <c r="M80" s="14"/>
      <c r="P80" s="57"/>
      <c r="Q80" s="175"/>
      <c r="R80" s="178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</row>
    <row r="81" spans="1:47" s="11" customFormat="1" ht="14.4" x14ac:dyDescent="0.3">
      <c r="A81" s="206"/>
      <c r="B81" s="223"/>
      <c r="C81" s="223"/>
      <c r="D81" s="224"/>
      <c r="E81" s="223"/>
      <c r="F81" s="46"/>
      <c r="G81" s="46"/>
      <c r="H81" s="46"/>
      <c r="K81" s="15"/>
      <c r="L81" s="15"/>
      <c r="M81" s="15"/>
      <c r="N81" s="14"/>
      <c r="O81" s="14"/>
      <c r="P81" s="57"/>
      <c r="Q81" s="175"/>
      <c r="R81" s="178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</row>
    <row r="82" spans="1:47" s="11" customFormat="1" ht="14.4" x14ac:dyDescent="0.3">
      <c r="A82" s="206"/>
      <c r="B82" s="223"/>
      <c r="C82" s="223"/>
      <c r="D82" s="224"/>
      <c r="E82" s="223"/>
      <c r="F82" s="46"/>
      <c r="G82" s="46"/>
      <c r="H82" s="46"/>
      <c r="K82" s="14"/>
      <c r="L82" s="14"/>
      <c r="M82" s="14"/>
      <c r="N82" s="14"/>
      <c r="O82" s="15"/>
      <c r="P82" s="57"/>
      <c r="Q82" s="175"/>
      <c r="R82" s="178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</row>
    <row r="83" spans="1:47" s="11" customFormat="1" ht="14.4" x14ac:dyDescent="0.3">
      <c r="A83" s="206"/>
      <c r="B83" s="223"/>
      <c r="C83" s="223"/>
      <c r="D83" s="224"/>
      <c r="E83" s="223"/>
      <c r="F83" s="46"/>
      <c r="G83" s="46"/>
      <c r="H83" s="46"/>
      <c r="K83" s="14"/>
      <c r="L83" s="14"/>
      <c r="M83" s="14"/>
      <c r="N83" s="14"/>
      <c r="P83" s="57"/>
      <c r="Q83" s="175"/>
      <c r="R83" s="178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</row>
    <row r="84" spans="1:47" s="11" customFormat="1" ht="14.4" x14ac:dyDescent="0.3">
      <c r="A84" s="206"/>
      <c r="B84" s="223"/>
      <c r="C84" s="223"/>
      <c r="D84" s="224"/>
      <c r="E84" s="223"/>
      <c r="F84" s="46"/>
      <c r="G84" s="46"/>
      <c r="H84" s="46"/>
      <c r="K84" s="14"/>
      <c r="L84" s="14"/>
      <c r="M84" s="14"/>
      <c r="N84" s="14"/>
      <c r="P84" s="57"/>
      <c r="Q84" s="175"/>
      <c r="R84" s="178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</row>
    <row r="85" spans="1:47" s="11" customFormat="1" x14ac:dyDescent="0.3">
      <c r="A85" s="206"/>
      <c r="B85" s="223"/>
      <c r="C85" s="223"/>
      <c r="D85" s="224"/>
      <c r="E85" s="223"/>
      <c r="F85" s="46"/>
      <c r="G85" s="46"/>
      <c r="H85" s="46"/>
      <c r="K85" s="14"/>
      <c r="L85" s="14"/>
      <c r="M85" s="14"/>
      <c r="P85" s="57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</row>
    <row r="86" spans="1:47" s="69" customFormat="1" x14ac:dyDescent="0.3">
      <c r="A86" s="206"/>
      <c r="B86" s="223"/>
      <c r="C86" s="223"/>
      <c r="D86" s="224"/>
      <c r="E86" s="223"/>
      <c r="F86" s="46"/>
      <c r="G86" s="46"/>
      <c r="H86" s="46"/>
      <c r="I86" s="11"/>
      <c r="J86" s="11"/>
      <c r="K86" s="14"/>
      <c r="L86" s="14"/>
      <c r="M86" s="14"/>
      <c r="N86" s="11"/>
      <c r="O86" s="14"/>
      <c r="P86" s="57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</row>
    <row r="87" spans="1:47" s="69" customFormat="1" x14ac:dyDescent="0.3">
      <c r="A87" s="206"/>
      <c r="B87" s="223"/>
      <c r="C87" s="223"/>
      <c r="D87" s="224"/>
      <c r="E87" s="223"/>
      <c r="F87" s="46"/>
      <c r="G87" s="46"/>
      <c r="H87" s="46"/>
      <c r="I87" s="11"/>
      <c r="J87" s="11"/>
      <c r="K87" s="14"/>
      <c r="L87" s="14"/>
      <c r="M87" s="14"/>
      <c r="N87" s="11"/>
      <c r="O87" s="14"/>
      <c r="P87" s="57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</row>
    <row r="88" spans="1:47" s="69" customFormat="1" x14ac:dyDescent="0.3">
      <c r="A88" s="206"/>
      <c r="B88" s="223"/>
      <c r="C88" s="223"/>
      <c r="D88" s="224"/>
      <c r="E88" s="223"/>
      <c r="F88" s="46"/>
      <c r="G88" s="46"/>
      <c r="H88" s="46"/>
      <c r="I88" s="11"/>
      <c r="J88" s="11"/>
      <c r="K88" s="14"/>
      <c r="L88" s="14"/>
      <c r="M88" s="14"/>
      <c r="N88" s="11"/>
      <c r="O88" s="14"/>
      <c r="P88" s="57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</row>
    <row r="89" spans="1:47" s="69" customFormat="1" x14ac:dyDescent="0.3">
      <c r="A89" s="206"/>
      <c r="B89" s="223"/>
      <c r="C89" s="223"/>
      <c r="D89" s="224"/>
      <c r="E89" s="223"/>
      <c r="F89" s="46"/>
      <c r="G89" s="46"/>
      <c r="H89" s="46"/>
      <c r="I89" s="11"/>
      <c r="J89" s="11"/>
      <c r="K89" s="14"/>
      <c r="L89" s="14"/>
      <c r="M89" s="14"/>
      <c r="N89" s="11"/>
      <c r="O89" s="14"/>
      <c r="P89" s="57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</row>
    <row r="90" spans="1:47" s="69" customFormat="1" x14ac:dyDescent="0.3">
      <c r="A90" s="206"/>
      <c r="B90" s="223"/>
      <c r="C90" s="223"/>
      <c r="D90" s="224"/>
      <c r="E90" s="223"/>
      <c r="F90" s="46"/>
      <c r="G90" s="46"/>
      <c r="H90" s="46"/>
      <c r="I90" s="11"/>
      <c r="J90" s="11"/>
      <c r="K90" s="14"/>
      <c r="L90" s="14"/>
      <c r="M90" s="14"/>
      <c r="N90" s="11"/>
      <c r="O90" s="11"/>
      <c r="P90" s="57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</row>
    <row r="91" spans="1:47" s="69" customFormat="1" x14ac:dyDescent="0.3">
      <c r="A91" s="206"/>
      <c r="B91" s="223"/>
      <c r="C91" s="223"/>
      <c r="D91" s="224"/>
      <c r="E91" s="223"/>
      <c r="F91" s="46"/>
      <c r="G91" s="46"/>
      <c r="H91" s="46"/>
      <c r="I91" s="11"/>
      <c r="J91" s="11"/>
      <c r="K91" s="14"/>
      <c r="L91" s="14"/>
      <c r="M91" s="14"/>
      <c r="N91" s="11"/>
      <c r="O91" s="11"/>
      <c r="P91" s="57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</row>
    <row r="92" spans="1:47" s="69" customFormat="1" x14ac:dyDescent="0.3">
      <c r="A92" s="206"/>
      <c r="B92" s="223"/>
      <c r="C92" s="223"/>
      <c r="D92" s="224"/>
      <c r="E92" s="223"/>
      <c r="F92" s="46"/>
      <c r="G92" s="46"/>
      <c r="H92" s="46"/>
      <c r="I92" s="11"/>
      <c r="J92" s="11"/>
      <c r="K92" s="14"/>
      <c r="L92" s="14"/>
      <c r="M92" s="14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</row>
    <row r="93" spans="1:47" s="69" customFormat="1" x14ac:dyDescent="0.3">
      <c r="A93" s="206"/>
      <c r="B93" s="223"/>
      <c r="C93" s="223"/>
      <c r="D93" s="224"/>
      <c r="E93" s="223"/>
      <c r="F93" s="46"/>
      <c r="G93" s="46"/>
      <c r="H93" s="46"/>
      <c r="I93" s="11"/>
      <c r="J93" s="11"/>
      <c r="K93" s="14"/>
      <c r="L93" s="14"/>
      <c r="M93" s="14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</row>
    <row r="94" spans="1:47" s="69" customFormat="1" x14ac:dyDescent="0.3">
      <c r="A94" s="206"/>
      <c r="B94" s="223"/>
      <c r="C94" s="223"/>
      <c r="D94" s="224"/>
      <c r="E94" s="223"/>
      <c r="F94" s="46"/>
      <c r="G94" s="46"/>
      <c r="H94" s="46"/>
      <c r="I94" s="11"/>
      <c r="J94" s="11"/>
      <c r="K94" s="14"/>
      <c r="L94" s="14"/>
      <c r="M94" s="14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</row>
    <row r="95" spans="1:47" s="69" customFormat="1" x14ac:dyDescent="0.3">
      <c r="A95" s="206"/>
      <c r="B95" s="223"/>
      <c r="C95" s="223"/>
      <c r="D95" s="224"/>
      <c r="E95" s="223"/>
      <c r="F95" s="46"/>
      <c r="G95" s="46"/>
      <c r="H95" s="46"/>
      <c r="I95" s="11"/>
      <c r="J95" s="11"/>
      <c r="K95" s="14"/>
      <c r="L95" s="14"/>
      <c r="M95" s="14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</row>
    <row r="96" spans="1:47" s="69" customFormat="1" x14ac:dyDescent="0.3">
      <c r="A96" s="206"/>
      <c r="B96" s="223"/>
      <c r="C96" s="223"/>
      <c r="D96" s="224"/>
      <c r="E96" s="223"/>
      <c r="F96" s="46"/>
      <c r="G96" s="46"/>
      <c r="H96" s="46"/>
      <c r="I96" s="11"/>
      <c r="J96" s="11"/>
      <c r="K96" s="14"/>
      <c r="L96" s="14"/>
      <c r="M96" s="14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</row>
    <row r="97" spans="1:48" s="69" customFormat="1" x14ac:dyDescent="0.3">
      <c r="A97" s="206"/>
      <c r="B97" s="223"/>
      <c r="C97" s="223"/>
      <c r="D97" s="224"/>
      <c r="E97" s="223"/>
      <c r="F97" s="46"/>
      <c r="G97" s="46"/>
      <c r="H97" s="46"/>
      <c r="K97" s="142"/>
      <c r="L97" s="142"/>
      <c r="M97" s="142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</row>
    <row r="98" spans="1:48" s="70" customFormat="1" x14ac:dyDescent="0.3">
      <c r="A98" s="206"/>
      <c r="B98" s="223"/>
      <c r="C98" s="223"/>
      <c r="D98" s="224"/>
      <c r="E98" s="223"/>
      <c r="F98" s="46"/>
      <c r="G98" s="46"/>
      <c r="H98" s="46"/>
      <c r="I98" s="63"/>
      <c r="J98" s="63"/>
      <c r="K98" s="69"/>
      <c r="L98" s="69"/>
      <c r="M98" s="69"/>
      <c r="N98" s="69"/>
      <c r="O98" s="69"/>
      <c r="P98" s="69"/>
    </row>
    <row r="99" spans="1:48" s="70" customFormat="1" ht="15" customHeight="1" x14ac:dyDescent="0.3">
      <c r="A99" s="206"/>
      <c r="B99" s="223"/>
      <c r="C99" s="223"/>
      <c r="D99" s="224"/>
      <c r="E99" s="223"/>
      <c r="F99" s="46"/>
      <c r="G99" s="46"/>
      <c r="H99" s="46"/>
      <c r="I99" s="11"/>
      <c r="J99" s="63"/>
      <c r="K99" s="142"/>
      <c r="L99" s="142"/>
      <c r="M99" s="142"/>
      <c r="N99" s="144"/>
      <c r="O99" s="69"/>
      <c r="P99" s="69"/>
      <c r="AV99" s="69"/>
    </row>
    <row r="100" spans="1:48" s="70" customFormat="1" x14ac:dyDescent="0.3">
      <c r="A100" s="206"/>
      <c r="B100" s="223"/>
      <c r="C100" s="223"/>
      <c r="D100" s="224"/>
      <c r="E100" s="223"/>
      <c r="F100" s="46"/>
      <c r="G100" s="46"/>
      <c r="H100" s="46"/>
      <c r="I100" s="142"/>
      <c r="J100" s="142"/>
      <c r="K100" s="142"/>
      <c r="L100" s="142"/>
      <c r="M100" s="142"/>
      <c r="N100" s="144"/>
      <c r="O100" s="69"/>
      <c r="P100" s="69"/>
      <c r="AV100" s="69"/>
    </row>
    <row r="101" spans="1:48" s="70" customFormat="1" x14ac:dyDescent="0.3">
      <c r="A101" s="206"/>
      <c r="B101" s="223"/>
      <c r="C101" s="223"/>
      <c r="D101" s="224"/>
      <c r="E101" s="223"/>
      <c r="F101" s="46"/>
      <c r="G101" s="46"/>
      <c r="H101" s="46"/>
      <c r="I101" s="11"/>
      <c r="J101" s="63"/>
      <c r="K101" s="142"/>
      <c r="L101" s="142"/>
      <c r="M101" s="142"/>
      <c r="N101" s="144"/>
      <c r="O101" s="69"/>
      <c r="AV101" s="69"/>
    </row>
    <row r="102" spans="1:48" s="70" customFormat="1" x14ac:dyDescent="0.3">
      <c r="A102" s="206"/>
      <c r="B102" s="223"/>
      <c r="C102" s="223"/>
      <c r="D102" s="224"/>
      <c r="E102" s="223"/>
      <c r="F102" s="46"/>
      <c r="G102" s="46"/>
      <c r="H102" s="46"/>
      <c r="I102" s="142"/>
      <c r="J102" s="142"/>
      <c r="K102" s="142"/>
      <c r="L102" s="142"/>
      <c r="M102" s="142"/>
      <c r="N102" s="144"/>
      <c r="O102" s="69"/>
      <c r="AV102" s="69"/>
    </row>
    <row r="103" spans="1:48" s="70" customFormat="1" x14ac:dyDescent="0.3">
      <c r="A103" s="206"/>
      <c r="B103" s="223"/>
      <c r="C103" s="223"/>
      <c r="D103" s="224"/>
      <c r="E103" s="223"/>
      <c r="F103" s="46"/>
      <c r="G103" s="46"/>
      <c r="H103" s="46"/>
      <c r="I103" s="11"/>
      <c r="J103" s="63"/>
      <c r="K103" s="142"/>
      <c r="L103" s="142"/>
      <c r="M103" s="142"/>
      <c r="N103" s="144"/>
      <c r="O103" s="69"/>
      <c r="AV103" s="69"/>
    </row>
    <row r="104" spans="1:48" s="70" customFormat="1" x14ac:dyDescent="0.3">
      <c r="A104" s="206"/>
      <c r="B104" s="223"/>
      <c r="C104" s="223"/>
      <c r="D104" s="224"/>
      <c r="E104" s="223"/>
      <c r="F104" s="46"/>
      <c r="G104" s="46"/>
      <c r="H104" s="46"/>
      <c r="I104" s="142"/>
      <c r="J104" s="142"/>
      <c r="K104" s="142"/>
      <c r="L104" s="142"/>
      <c r="M104" s="142"/>
      <c r="N104" s="144"/>
      <c r="O104" s="144"/>
      <c r="AV104" s="69"/>
    </row>
    <row r="105" spans="1:48" s="70" customFormat="1" x14ac:dyDescent="0.3">
      <c r="A105" s="206"/>
      <c r="B105" s="223"/>
      <c r="C105" s="223"/>
      <c r="D105" s="224"/>
      <c r="E105" s="223"/>
      <c r="F105" s="46"/>
      <c r="G105" s="46"/>
      <c r="H105" s="46"/>
      <c r="I105" s="11"/>
      <c r="J105" s="63"/>
      <c r="K105" s="142"/>
      <c r="L105" s="142"/>
      <c r="M105" s="142"/>
      <c r="N105" s="144"/>
      <c r="O105" s="144"/>
      <c r="AV105" s="69"/>
    </row>
    <row r="106" spans="1:48" s="70" customFormat="1" x14ac:dyDescent="0.3">
      <c r="A106" s="206"/>
      <c r="B106" s="223"/>
      <c r="C106" s="223"/>
      <c r="D106" s="224"/>
      <c r="E106" s="223"/>
      <c r="F106" s="46"/>
      <c r="G106" s="46"/>
      <c r="H106" s="46"/>
      <c r="I106" s="142"/>
      <c r="J106" s="142"/>
      <c r="K106" s="142"/>
      <c r="L106" s="142"/>
      <c r="M106" s="142"/>
      <c r="N106" s="144"/>
      <c r="O106" s="144"/>
      <c r="AV106" s="69"/>
    </row>
    <row r="107" spans="1:48" s="70" customFormat="1" x14ac:dyDescent="0.3">
      <c r="A107" s="206"/>
      <c r="B107" s="223"/>
      <c r="C107" s="223"/>
      <c r="D107" s="224"/>
      <c r="E107" s="223"/>
      <c r="F107" s="46"/>
      <c r="G107" s="46"/>
      <c r="H107" s="46"/>
      <c r="I107" s="11"/>
      <c r="J107" s="63"/>
      <c r="K107" s="142"/>
      <c r="L107" s="142"/>
      <c r="M107" s="142"/>
      <c r="N107" s="144"/>
      <c r="O107" s="144"/>
      <c r="AV107" s="69"/>
    </row>
    <row r="108" spans="1:48" s="70" customFormat="1" x14ac:dyDescent="0.3">
      <c r="A108" s="148"/>
      <c r="B108" s="225"/>
      <c r="C108" s="225"/>
      <c r="D108" s="225"/>
      <c r="E108" s="225"/>
      <c r="F108" s="46"/>
      <c r="G108" s="46"/>
      <c r="H108" s="46"/>
      <c r="I108" s="142"/>
      <c r="J108" s="142"/>
      <c r="K108" s="142"/>
      <c r="L108" s="142"/>
      <c r="M108" s="142"/>
      <c r="N108" s="144"/>
      <c r="O108" s="144"/>
      <c r="AV108" s="69"/>
    </row>
    <row r="109" spans="1:48" s="70" customFormat="1" x14ac:dyDescent="0.3">
      <c r="A109" s="69"/>
      <c r="B109" s="69"/>
      <c r="C109" s="69"/>
      <c r="D109" s="69"/>
      <c r="E109" s="69"/>
      <c r="F109" s="69"/>
      <c r="G109" s="69"/>
      <c r="H109" s="69"/>
      <c r="I109" s="142"/>
      <c r="J109" s="142"/>
      <c r="K109" s="142"/>
      <c r="L109" s="142"/>
      <c r="M109" s="142"/>
      <c r="N109" s="144"/>
      <c r="O109" s="144"/>
      <c r="AV109" s="69"/>
    </row>
    <row r="110" spans="1:48" s="70" customFormat="1" x14ac:dyDescent="0.3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142"/>
      <c r="L110" s="142"/>
      <c r="M110" s="142"/>
      <c r="N110" s="144"/>
      <c r="O110" s="144"/>
      <c r="AV110" s="69"/>
    </row>
    <row r="111" spans="1:48" s="70" customFormat="1" x14ac:dyDescent="0.3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142"/>
      <c r="L111" s="142"/>
      <c r="M111" s="142"/>
      <c r="N111" s="144"/>
      <c r="O111" s="144"/>
      <c r="AV111" s="69"/>
    </row>
    <row r="112" spans="1:48" s="70" customFormat="1" x14ac:dyDescent="0.3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142"/>
      <c r="L112" s="142"/>
      <c r="M112" s="142"/>
      <c r="N112" s="144"/>
      <c r="O112" s="144"/>
      <c r="AV112" s="69"/>
    </row>
    <row r="113" spans="1:48" s="70" customFormat="1" x14ac:dyDescent="0.3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142"/>
      <c r="L113" s="142"/>
      <c r="M113" s="142"/>
      <c r="N113" s="144"/>
      <c r="O113" s="144"/>
      <c r="AV113" s="69"/>
    </row>
    <row r="114" spans="1:48" s="70" customFormat="1" x14ac:dyDescent="0.3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142"/>
      <c r="L114" s="142"/>
      <c r="M114" s="142"/>
      <c r="N114" s="144"/>
      <c r="O114" s="144"/>
      <c r="AV114" s="69"/>
    </row>
    <row r="115" spans="1:48" s="70" customFormat="1" x14ac:dyDescent="0.3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142"/>
      <c r="L115" s="142"/>
      <c r="M115" s="142"/>
      <c r="N115" s="144"/>
      <c r="O115" s="144"/>
      <c r="AV115" s="69"/>
    </row>
    <row r="116" spans="1:48" s="70" customFormat="1" x14ac:dyDescent="0.3">
      <c r="F116" s="69"/>
      <c r="G116" s="69"/>
      <c r="H116" s="69"/>
      <c r="I116" s="69"/>
      <c r="J116" s="69"/>
      <c r="K116" s="142"/>
      <c r="L116" s="142"/>
      <c r="M116" s="142"/>
      <c r="N116" s="144"/>
      <c r="O116" s="144"/>
      <c r="AV116" s="69"/>
    </row>
    <row r="117" spans="1:48" s="70" customFormat="1" x14ac:dyDescent="0.3">
      <c r="I117" s="69"/>
      <c r="J117" s="69"/>
      <c r="K117" s="142"/>
      <c r="L117" s="142"/>
      <c r="M117" s="142"/>
      <c r="N117" s="144"/>
      <c r="O117" s="144"/>
      <c r="AV117" s="69"/>
    </row>
    <row r="118" spans="1:48" s="70" customFormat="1" x14ac:dyDescent="0.3">
      <c r="K118" s="142"/>
      <c r="L118" s="142"/>
      <c r="M118" s="142"/>
      <c r="N118" s="144"/>
      <c r="O118" s="144"/>
      <c r="AV118" s="69"/>
    </row>
    <row r="119" spans="1:48" s="70" customFormat="1" x14ac:dyDescent="0.3">
      <c r="K119" s="142"/>
      <c r="L119" s="142"/>
      <c r="M119" s="142"/>
      <c r="N119" s="144"/>
      <c r="O119" s="144"/>
      <c r="AV119" s="69"/>
    </row>
    <row r="120" spans="1:48" s="70" customFormat="1" x14ac:dyDescent="0.3">
      <c r="K120" s="142"/>
      <c r="L120" s="142"/>
      <c r="M120" s="142"/>
      <c r="N120" s="144"/>
      <c r="O120" s="144"/>
      <c r="AV120" s="69"/>
    </row>
    <row r="121" spans="1:48" s="70" customFormat="1" x14ac:dyDescent="0.3">
      <c r="K121" s="142"/>
      <c r="L121" s="142"/>
      <c r="M121" s="142"/>
      <c r="N121" s="144"/>
      <c r="O121" s="144"/>
      <c r="AV121" s="69"/>
    </row>
    <row r="122" spans="1:48" s="70" customFormat="1" x14ac:dyDescent="0.3">
      <c r="K122" s="142"/>
      <c r="L122" s="142"/>
      <c r="M122" s="142"/>
      <c r="N122" s="144"/>
      <c r="O122" s="144"/>
      <c r="AV122" s="69"/>
    </row>
    <row r="123" spans="1:48" s="70" customFormat="1" x14ac:dyDescent="0.3">
      <c r="K123" s="142"/>
      <c r="L123" s="142"/>
      <c r="M123" s="142"/>
      <c r="N123" s="144"/>
      <c r="O123" s="144"/>
      <c r="AV123" s="69"/>
    </row>
    <row r="124" spans="1:48" s="70" customFormat="1" x14ac:dyDescent="0.3">
      <c r="K124" s="142"/>
      <c r="L124" s="142"/>
      <c r="M124" s="142"/>
      <c r="N124" s="144"/>
      <c r="O124" s="144"/>
      <c r="AV124" s="69"/>
    </row>
    <row r="125" spans="1:48" s="70" customFormat="1" x14ac:dyDescent="0.3">
      <c r="K125" s="142"/>
      <c r="L125" s="142"/>
      <c r="M125" s="142"/>
      <c r="N125" s="144"/>
      <c r="O125" s="144"/>
      <c r="AV125" s="69"/>
    </row>
    <row r="126" spans="1:48" s="70" customFormat="1" x14ac:dyDescent="0.3">
      <c r="K126" s="142"/>
      <c r="L126" s="142"/>
      <c r="M126" s="142"/>
      <c r="N126" s="144"/>
      <c r="O126" s="144"/>
      <c r="AV126" s="69"/>
    </row>
    <row r="127" spans="1:48" s="70" customFormat="1" x14ac:dyDescent="0.3">
      <c r="K127" s="142"/>
      <c r="L127" s="142"/>
      <c r="M127" s="142"/>
      <c r="N127" s="144"/>
      <c r="O127" s="144"/>
      <c r="AV127" s="69"/>
    </row>
    <row r="128" spans="1:48" s="70" customFormat="1" x14ac:dyDescent="0.3">
      <c r="K128" s="142"/>
      <c r="L128" s="142"/>
      <c r="M128" s="142"/>
      <c r="N128" s="144"/>
      <c r="O128" s="144"/>
      <c r="AV128" s="69"/>
    </row>
    <row r="129" spans="11:48" s="70" customFormat="1" x14ac:dyDescent="0.3">
      <c r="K129" s="142"/>
      <c r="L129" s="142"/>
      <c r="M129" s="142"/>
      <c r="N129" s="144"/>
      <c r="O129" s="144"/>
      <c r="AV129" s="69"/>
    </row>
    <row r="130" spans="11:48" s="70" customFormat="1" x14ac:dyDescent="0.3">
      <c r="K130" s="142"/>
      <c r="L130" s="142"/>
      <c r="M130" s="142"/>
      <c r="N130" s="144"/>
      <c r="O130" s="144"/>
      <c r="AV130" s="69"/>
    </row>
    <row r="131" spans="11:48" s="70" customFormat="1" x14ac:dyDescent="0.3">
      <c r="K131" s="142"/>
      <c r="L131" s="142"/>
      <c r="M131" s="142"/>
      <c r="N131" s="144"/>
      <c r="O131" s="144"/>
      <c r="AV131" s="69"/>
    </row>
    <row r="132" spans="11:48" s="70" customFormat="1" x14ac:dyDescent="0.3">
      <c r="K132" s="142"/>
      <c r="L132" s="142"/>
      <c r="M132" s="142"/>
      <c r="N132" s="144"/>
      <c r="O132" s="144"/>
      <c r="AV132" s="69"/>
    </row>
    <row r="133" spans="11:48" s="70" customFormat="1" x14ac:dyDescent="0.3">
      <c r="K133" s="142"/>
      <c r="L133" s="142"/>
      <c r="M133" s="142"/>
      <c r="N133" s="144"/>
      <c r="O133" s="144"/>
      <c r="AV133" s="69"/>
    </row>
    <row r="134" spans="11:48" s="70" customFormat="1" x14ac:dyDescent="0.3">
      <c r="K134" s="142"/>
      <c r="L134" s="142"/>
      <c r="M134" s="142"/>
      <c r="N134" s="144"/>
      <c r="O134" s="144"/>
      <c r="AV134" s="69"/>
    </row>
    <row r="135" spans="11:48" s="70" customFormat="1" x14ac:dyDescent="0.3">
      <c r="K135" s="142"/>
      <c r="L135" s="142"/>
      <c r="M135" s="142"/>
      <c r="N135" s="144"/>
      <c r="O135" s="144"/>
      <c r="AV135" s="69"/>
    </row>
    <row r="136" spans="11:48" s="70" customFormat="1" x14ac:dyDescent="0.3">
      <c r="K136" s="142"/>
      <c r="L136" s="142"/>
      <c r="M136" s="142"/>
      <c r="N136" s="144"/>
      <c r="O136" s="144"/>
      <c r="AV136" s="69"/>
    </row>
    <row r="137" spans="11:48" s="70" customFormat="1" x14ac:dyDescent="0.3">
      <c r="K137" s="142"/>
      <c r="L137" s="142"/>
      <c r="M137" s="142"/>
      <c r="N137" s="144"/>
      <c r="O137" s="144"/>
      <c r="AV137" s="69"/>
    </row>
    <row r="138" spans="11:48" s="70" customFormat="1" x14ac:dyDescent="0.3">
      <c r="K138" s="142"/>
      <c r="L138" s="142"/>
      <c r="M138" s="142"/>
      <c r="N138" s="144"/>
      <c r="O138" s="144"/>
      <c r="AV138" s="69"/>
    </row>
    <row r="139" spans="11:48" s="70" customFormat="1" x14ac:dyDescent="0.3">
      <c r="K139" s="142"/>
      <c r="L139" s="142"/>
      <c r="M139" s="142"/>
      <c r="N139" s="144"/>
      <c r="O139" s="144"/>
      <c r="AV139" s="69"/>
    </row>
    <row r="140" spans="11:48" s="70" customFormat="1" x14ac:dyDescent="0.3">
      <c r="K140" s="142"/>
      <c r="L140" s="142"/>
      <c r="M140" s="142"/>
      <c r="N140" s="144"/>
      <c r="O140" s="144"/>
      <c r="AV140" s="69"/>
    </row>
    <row r="141" spans="11:48" s="70" customFormat="1" x14ac:dyDescent="0.3">
      <c r="K141" s="142"/>
      <c r="L141" s="142"/>
      <c r="M141" s="142"/>
      <c r="N141" s="144"/>
      <c r="O141" s="144"/>
      <c r="AV141" s="69"/>
    </row>
    <row r="142" spans="11:48" s="70" customFormat="1" x14ac:dyDescent="0.3">
      <c r="K142" s="142"/>
      <c r="L142" s="142"/>
      <c r="M142" s="142"/>
      <c r="N142" s="144"/>
      <c r="O142" s="144"/>
      <c r="AV142" s="69"/>
    </row>
    <row r="143" spans="11:48" s="70" customFormat="1" x14ac:dyDescent="0.3">
      <c r="K143" s="142"/>
      <c r="L143" s="142"/>
      <c r="M143" s="142"/>
      <c r="N143" s="144"/>
      <c r="O143" s="144"/>
      <c r="AV143" s="69"/>
    </row>
    <row r="144" spans="11:48" s="70" customFormat="1" x14ac:dyDescent="0.3">
      <c r="K144" s="142"/>
      <c r="L144" s="142"/>
      <c r="M144" s="142"/>
      <c r="N144" s="144"/>
      <c r="O144" s="144"/>
      <c r="AV144" s="69"/>
    </row>
    <row r="145" spans="11:48" s="70" customFormat="1" x14ac:dyDescent="0.3">
      <c r="K145" s="142"/>
      <c r="L145" s="142"/>
      <c r="M145" s="142"/>
      <c r="N145" s="144"/>
      <c r="O145" s="144"/>
      <c r="AV145" s="69"/>
    </row>
    <row r="146" spans="11:48" s="70" customFormat="1" x14ac:dyDescent="0.3">
      <c r="K146" s="142"/>
      <c r="L146" s="142"/>
      <c r="M146" s="142"/>
      <c r="N146" s="144"/>
      <c r="O146" s="144"/>
      <c r="AV146" s="69"/>
    </row>
    <row r="147" spans="11:48" s="70" customFormat="1" x14ac:dyDescent="0.3">
      <c r="K147" s="142"/>
      <c r="L147" s="142"/>
      <c r="M147" s="142"/>
      <c r="N147" s="144"/>
      <c r="O147" s="144"/>
      <c r="AV147" s="69"/>
    </row>
    <row r="148" spans="11:48" s="70" customFormat="1" x14ac:dyDescent="0.3">
      <c r="K148" s="142"/>
      <c r="L148" s="142"/>
      <c r="M148" s="142"/>
      <c r="N148" s="144"/>
      <c r="O148" s="144"/>
      <c r="AV148" s="69"/>
    </row>
    <row r="149" spans="11:48" s="70" customFormat="1" x14ac:dyDescent="0.3">
      <c r="K149" s="142"/>
      <c r="L149" s="142"/>
      <c r="M149" s="142"/>
      <c r="N149" s="144"/>
      <c r="O149" s="144"/>
      <c r="AV149" s="69"/>
    </row>
    <row r="150" spans="11:48" s="70" customFormat="1" x14ac:dyDescent="0.3">
      <c r="K150" s="142"/>
      <c r="L150" s="142"/>
      <c r="M150" s="142"/>
      <c r="N150" s="144"/>
      <c r="O150" s="144"/>
      <c r="AV150" s="69"/>
    </row>
    <row r="151" spans="11:48" s="70" customFormat="1" x14ac:dyDescent="0.3">
      <c r="K151" s="142"/>
      <c r="L151" s="142"/>
      <c r="M151" s="142"/>
      <c r="N151" s="144"/>
      <c r="O151" s="144"/>
      <c r="AV151" s="69"/>
    </row>
    <row r="152" spans="11:48" s="70" customFormat="1" x14ac:dyDescent="0.3">
      <c r="K152" s="142"/>
      <c r="L152" s="142"/>
      <c r="M152" s="142"/>
      <c r="N152" s="144"/>
      <c r="O152" s="144"/>
      <c r="AV152" s="69"/>
    </row>
    <row r="153" spans="11:48" s="70" customFormat="1" x14ac:dyDescent="0.3">
      <c r="K153" s="142"/>
      <c r="L153" s="142"/>
      <c r="M153" s="142"/>
      <c r="N153" s="144"/>
      <c r="O153" s="144"/>
      <c r="AV153" s="69"/>
    </row>
    <row r="154" spans="11:48" s="70" customFormat="1" x14ac:dyDescent="0.3">
      <c r="K154" s="142"/>
      <c r="L154" s="142"/>
      <c r="M154" s="142"/>
      <c r="N154" s="144"/>
      <c r="O154" s="144"/>
      <c r="AV154" s="69"/>
    </row>
    <row r="155" spans="11:48" s="70" customFormat="1" x14ac:dyDescent="0.3">
      <c r="K155" s="142"/>
      <c r="L155" s="142"/>
      <c r="M155" s="142"/>
      <c r="N155" s="144"/>
      <c r="O155" s="144"/>
      <c r="AV155" s="69"/>
    </row>
    <row r="156" spans="11:48" s="70" customFormat="1" x14ac:dyDescent="0.3">
      <c r="K156" s="142"/>
      <c r="L156" s="142"/>
      <c r="M156" s="142"/>
      <c r="N156" s="144"/>
      <c r="O156" s="144"/>
      <c r="AV156" s="69"/>
    </row>
    <row r="157" spans="11:48" s="70" customFormat="1" x14ac:dyDescent="0.3">
      <c r="K157" s="142"/>
      <c r="L157" s="142"/>
      <c r="M157" s="142"/>
      <c r="N157" s="144"/>
      <c r="O157" s="144"/>
      <c r="AV157" s="69"/>
    </row>
    <row r="158" spans="11:48" s="70" customFormat="1" x14ac:dyDescent="0.3">
      <c r="K158" s="142"/>
      <c r="L158" s="142"/>
      <c r="M158" s="142"/>
      <c r="N158" s="144"/>
      <c r="O158" s="144"/>
      <c r="AV158" s="69"/>
    </row>
    <row r="159" spans="11:48" s="70" customFormat="1" x14ac:dyDescent="0.3">
      <c r="K159" s="142"/>
      <c r="L159" s="142"/>
      <c r="M159" s="142"/>
      <c r="N159" s="144"/>
      <c r="O159" s="144"/>
      <c r="AV159" s="69"/>
    </row>
    <row r="160" spans="11:48" s="70" customFormat="1" x14ac:dyDescent="0.3">
      <c r="K160" s="142"/>
      <c r="L160" s="142"/>
      <c r="M160" s="142"/>
      <c r="N160" s="144"/>
      <c r="O160" s="144"/>
      <c r="AV160" s="69"/>
    </row>
    <row r="161" spans="1:49" s="70" customFormat="1" x14ac:dyDescent="0.3">
      <c r="K161" s="142"/>
      <c r="L161" s="142"/>
      <c r="M161" s="142"/>
      <c r="N161" s="144"/>
      <c r="O161" s="144"/>
      <c r="AV161" s="69"/>
    </row>
    <row r="162" spans="1:49" s="70" customFormat="1" x14ac:dyDescent="0.3">
      <c r="K162" s="142"/>
      <c r="L162" s="142"/>
      <c r="M162" s="142"/>
      <c r="N162" s="144"/>
      <c r="O162" s="144"/>
      <c r="AV162" s="69"/>
    </row>
    <row r="163" spans="1:49" s="70" customFormat="1" x14ac:dyDescent="0.3">
      <c r="K163" s="142"/>
      <c r="L163" s="142"/>
      <c r="M163" s="142"/>
      <c r="N163" s="144"/>
      <c r="O163" s="144"/>
      <c r="AV163" s="69"/>
    </row>
    <row r="164" spans="1:49" s="70" customFormat="1" x14ac:dyDescent="0.3">
      <c r="K164" s="142"/>
      <c r="L164" s="142"/>
      <c r="M164" s="142"/>
      <c r="N164" s="144"/>
      <c r="O164" s="144"/>
      <c r="AV164" s="69"/>
    </row>
    <row r="165" spans="1:49" s="70" customFormat="1" x14ac:dyDescent="0.3">
      <c r="K165" s="142"/>
      <c r="L165" s="142"/>
      <c r="M165" s="142"/>
      <c r="N165" s="144"/>
      <c r="O165" s="144"/>
      <c r="AV165" s="69"/>
    </row>
    <row r="166" spans="1:49" s="70" customFormat="1" x14ac:dyDescent="0.3">
      <c r="K166" s="142"/>
      <c r="L166" s="142"/>
      <c r="M166" s="142"/>
      <c r="N166" s="144"/>
      <c r="O166" s="144"/>
      <c r="AV166" s="69"/>
    </row>
    <row r="167" spans="1:49" s="70" customFormat="1" x14ac:dyDescent="0.3">
      <c r="K167" s="142"/>
      <c r="L167" s="142"/>
      <c r="M167" s="142"/>
      <c r="N167" s="144"/>
      <c r="O167" s="144"/>
      <c r="AV167" s="69"/>
    </row>
    <row r="168" spans="1:49" s="70" customFormat="1" x14ac:dyDescent="0.3">
      <c r="K168" s="142"/>
      <c r="L168" s="142"/>
      <c r="M168" s="142"/>
      <c r="N168" s="144"/>
      <c r="O168" s="144"/>
      <c r="AV168" s="69"/>
    </row>
    <row r="169" spans="1:49" s="70" customFormat="1" x14ac:dyDescent="0.3">
      <c r="K169" s="142"/>
      <c r="L169" s="142"/>
      <c r="M169" s="142"/>
      <c r="N169" s="144"/>
      <c r="O169" s="144"/>
      <c r="AV169" s="69"/>
    </row>
    <row r="170" spans="1:49" s="70" customFormat="1" x14ac:dyDescent="0.3">
      <c r="K170" s="142"/>
      <c r="L170" s="142"/>
      <c r="M170" s="142"/>
      <c r="N170" s="144"/>
      <c r="O170" s="144"/>
      <c r="AV170" s="69"/>
    </row>
    <row r="171" spans="1:49" s="70" customFormat="1" x14ac:dyDescent="0.3">
      <c r="K171" s="142"/>
      <c r="L171" s="142"/>
      <c r="M171" s="142"/>
      <c r="N171" s="144"/>
      <c r="O171" s="144"/>
      <c r="AV171" s="69"/>
    </row>
    <row r="172" spans="1:49" s="70" customFormat="1" x14ac:dyDescent="0.3">
      <c r="K172" s="142"/>
      <c r="L172" s="142"/>
      <c r="M172" s="142"/>
      <c r="N172" s="144"/>
      <c r="O172" s="144"/>
      <c r="AV172" s="69"/>
    </row>
    <row r="173" spans="1:49" s="145" customFormat="1" x14ac:dyDescent="0.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142"/>
      <c r="L173" s="142"/>
      <c r="M173" s="142"/>
      <c r="N173" s="144"/>
      <c r="O173" s="144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69"/>
      <c r="AW173" s="70"/>
    </row>
    <row r="174" spans="1:49" s="145" customFormat="1" x14ac:dyDescent="0.3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142"/>
      <c r="L174" s="142"/>
      <c r="M174" s="142"/>
      <c r="N174" s="144"/>
      <c r="O174" s="144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69"/>
      <c r="AW174" s="70"/>
    </row>
    <row r="175" spans="1:49" s="145" customFormat="1" x14ac:dyDescent="0.3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142"/>
      <c r="L175" s="142"/>
      <c r="M175" s="142"/>
      <c r="N175" s="144"/>
      <c r="O175" s="144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69"/>
      <c r="AW175" s="70"/>
    </row>
    <row r="176" spans="1:49" s="145" customFormat="1" x14ac:dyDescent="0.3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142"/>
      <c r="L176" s="142"/>
      <c r="M176" s="142"/>
      <c r="N176" s="147"/>
      <c r="O176" s="144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69"/>
      <c r="AW176" s="70"/>
    </row>
    <row r="177" spans="1:49" s="145" customFormat="1" x14ac:dyDescent="0.3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142"/>
      <c r="L177" s="142"/>
      <c r="M177" s="142"/>
      <c r="N177" s="147"/>
      <c r="O177" s="144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69"/>
      <c r="AW177" s="70"/>
    </row>
    <row r="178" spans="1:49" s="145" customFormat="1" x14ac:dyDescent="0.3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142"/>
      <c r="L178" s="142"/>
      <c r="M178" s="142"/>
      <c r="N178" s="147"/>
      <c r="O178" s="144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69"/>
      <c r="AW178" s="70"/>
    </row>
    <row r="179" spans="1:49" s="145" customFormat="1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142"/>
      <c r="L179" s="142"/>
      <c r="M179" s="142"/>
      <c r="N179" s="147"/>
      <c r="O179" s="144"/>
      <c r="P179" s="149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69"/>
      <c r="AW179" s="70"/>
    </row>
    <row r="180" spans="1:49" s="145" customFormat="1" x14ac:dyDescent="0.3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142"/>
      <c r="L180" s="142"/>
      <c r="M180" s="142"/>
      <c r="N180" s="147"/>
      <c r="O180" s="144"/>
      <c r="P180" s="149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69"/>
      <c r="AW180" s="70"/>
    </row>
    <row r="181" spans="1:49" s="145" customFormat="1" x14ac:dyDescent="0.3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142"/>
      <c r="L181" s="142"/>
      <c r="M181" s="142"/>
      <c r="N181" s="147"/>
      <c r="O181" s="147"/>
      <c r="P181" s="149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69"/>
      <c r="AW181" s="70"/>
    </row>
    <row r="182" spans="1:49" s="145" customFormat="1" x14ac:dyDescent="0.3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142"/>
      <c r="L182" s="142"/>
      <c r="M182" s="142"/>
      <c r="N182" s="147"/>
      <c r="O182" s="147"/>
      <c r="P182" s="149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69"/>
      <c r="AW182" s="70"/>
    </row>
    <row r="183" spans="1:49" s="145" customFormat="1" x14ac:dyDescent="0.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142"/>
      <c r="L183" s="142"/>
      <c r="M183" s="142"/>
      <c r="N183" s="147"/>
      <c r="O183" s="147"/>
      <c r="P183" s="149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69"/>
      <c r="AW183" s="70"/>
    </row>
    <row r="184" spans="1:49" s="145" customFormat="1" x14ac:dyDescent="0.3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142"/>
      <c r="L184" s="142"/>
      <c r="M184" s="142"/>
      <c r="N184" s="147"/>
      <c r="O184" s="147"/>
      <c r="P184" s="149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69"/>
      <c r="AW184" s="70"/>
    </row>
    <row r="185" spans="1:49" s="145" customFormat="1" x14ac:dyDescent="0.3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146"/>
      <c r="L185" s="146"/>
      <c r="M185" s="146"/>
      <c r="N185" s="147"/>
      <c r="O185" s="147"/>
      <c r="P185" s="149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69"/>
      <c r="AW185" s="70"/>
    </row>
    <row r="186" spans="1:49" s="145" customFormat="1" x14ac:dyDescent="0.3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146"/>
      <c r="L186" s="146"/>
      <c r="M186" s="146"/>
      <c r="N186" s="147"/>
      <c r="O186" s="147"/>
      <c r="P186" s="149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69"/>
      <c r="AW186" s="70"/>
    </row>
    <row r="187" spans="1:49" s="145" customFormat="1" x14ac:dyDescent="0.3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146"/>
      <c r="L187" s="146"/>
      <c r="M187" s="146"/>
      <c r="N187" s="147"/>
      <c r="O187" s="147"/>
      <c r="P187" s="149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69"/>
      <c r="AW187" s="70"/>
    </row>
    <row r="188" spans="1:49" s="145" customFormat="1" x14ac:dyDescent="0.3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146"/>
      <c r="L188" s="146"/>
      <c r="M188" s="146"/>
      <c r="N188" s="147"/>
      <c r="O188" s="147"/>
      <c r="P188" s="149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69"/>
      <c r="AW188" s="70"/>
    </row>
    <row r="189" spans="1:49" s="145" customFormat="1" x14ac:dyDescent="0.3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146"/>
      <c r="L189" s="146"/>
      <c r="M189" s="146"/>
      <c r="N189" s="147"/>
      <c r="O189" s="147"/>
      <c r="P189" s="149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69"/>
      <c r="AW189" s="70"/>
    </row>
    <row r="190" spans="1:49" x14ac:dyDescent="0.3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146"/>
      <c r="L190" s="146"/>
      <c r="M190" s="146"/>
      <c r="N190" s="147"/>
      <c r="O190" s="147"/>
      <c r="P190" s="149"/>
      <c r="AV190" s="148"/>
      <c r="AW190" s="148"/>
    </row>
    <row r="191" spans="1:49" x14ac:dyDescent="0.3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146"/>
      <c r="L191" s="146"/>
      <c r="M191" s="146"/>
      <c r="N191" s="147"/>
      <c r="O191" s="147"/>
      <c r="AV191" s="148"/>
      <c r="AW191" s="148"/>
    </row>
    <row r="192" spans="1:49" x14ac:dyDescent="0.3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146"/>
      <c r="L192" s="146"/>
      <c r="M192" s="146"/>
      <c r="N192" s="147"/>
      <c r="O192" s="147"/>
      <c r="AV192" s="148"/>
      <c r="AW192" s="148"/>
    </row>
    <row r="193" spans="1:49" x14ac:dyDescent="0.3">
      <c r="A193" s="149"/>
      <c r="B193" s="149"/>
      <c r="C193" s="149"/>
      <c r="D193" s="149"/>
      <c r="E193" s="149"/>
      <c r="F193" s="70"/>
      <c r="G193" s="70"/>
      <c r="H193" s="70"/>
      <c r="I193" s="70"/>
      <c r="J193" s="70"/>
      <c r="K193" s="146"/>
      <c r="L193" s="146"/>
      <c r="M193" s="146"/>
      <c r="O193" s="147"/>
      <c r="AV193" s="148"/>
      <c r="AW193" s="148"/>
    </row>
    <row r="194" spans="1:49" x14ac:dyDescent="0.3">
      <c r="A194" s="149"/>
      <c r="B194" s="149"/>
      <c r="C194" s="149"/>
      <c r="D194" s="149"/>
      <c r="E194" s="149"/>
      <c r="F194" s="149"/>
      <c r="G194" s="149"/>
      <c r="H194" s="149"/>
      <c r="I194" s="70"/>
      <c r="J194" s="70"/>
      <c r="K194" s="146"/>
      <c r="L194" s="146"/>
      <c r="M194" s="146"/>
      <c r="O194" s="147"/>
      <c r="AV194" s="148"/>
      <c r="AW194" s="148"/>
    </row>
    <row r="195" spans="1:49" x14ac:dyDescent="0.3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6"/>
      <c r="L195" s="146"/>
      <c r="M195" s="146"/>
      <c r="O195" s="147"/>
      <c r="AV195" s="148"/>
      <c r="AW195" s="148"/>
    </row>
    <row r="196" spans="1:49" x14ac:dyDescent="0.3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6"/>
      <c r="L196" s="146"/>
      <c r="M196" s="146"/>
      <c r="O196" s="147"/>
      <c r="AV196" s="148"/>
      <c r="AW196" s="148"/>
    </row>
    <row r="197" spans="1:49" x14ac:dyDescent="0.3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6"/>
      <c r="L197" s="146"/>
      <c r="M197" s="146"/>
      <c r="N197" s="148"/>
      <c r="O197" s="147"/>
      <c r="AV197" s="148"/>
      <c r="AW197" s="148"/>
    </row>
    <row r="198" spans="1:49" x14ac:dyDescent="0.3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6"/>
      <c r="L198" s="146"/>
      <c r="M198" s="146"/>
      <c r="AV198" s="148"/>
      <c r="AW198" s="148"/>
    </row>
    <row r="199" spans="1:49" x14ac:dyDescent="0.3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6"/>
      <c r="L199" s="146"/>
      <c r="M199" s="146"/>
      <c r="AV199" s="148"/>
      <c r="AW199" s="148"/>
    </row>
    <row r="200" spans="1:49" x14ac:dyDescent="0.3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6"/>
      <c r="L200" s="146"/>
      <c r="M200" s="146"/>
      <c r="AV200" s="148"/>
      <c r="AW200" s="148"/>
    </row>
    <row r="201" spans="1:49" x14ac:dyDescent="0.3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6"/>
      <c r="L201" s="146"/>
      <c r="M201" s="146"/>
      <c r="AV201" s="148"/>
      <c r="AW201" s="148"/>
    </row>
    <row r="202" spans="1:49" x14ac:dyDescent="0.3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</row>
    <row r="203" spans="1:49" x14ac:dyDescent="0.3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  <c r="AM203" s="69"/>
      <c r="AN203" s="69"/>
      <c r="AO203" s="69"/>
      <c r="AP203" s="69"/>
      <c r="AQ203" s="69"/>
      <c r="AR203" s="69"/>
      <c r="AS203" s="69"/>
      <c r="AT203" s="69"/>
      <c r="AU203" s="69"/>
      <c r="AV203" s="148"/>
      <c r="AW203" s="148"/>
    </row>
    <row r="204" spans="1:49" x14ac:dyDescent="0.3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</row>
    <row r="205" spans="1:49" x14ac:dyDescent="0.3">
      <c r="A205" s="149"/>
      <c r="B205" s="149"/>
      <c r="C205" s="149"/>
      <c r="D205" s="149"/>
      <c r="E205" s="149"/>
      <c r="F205" s="149"/>
      <c r="G205" s="149"/>
      <c r="H205" s="149"/>
      <c r="I205" s="149"/>
      <c r="J205" s="149"/>
    </row>
    <row r="206" spans="1:49" x14ac:dyDescent="0.3">
      <c r="A206" s="149"/>
      <c r="B206" s="149"/>
      <c r="C206" s="149"/>
      <c r="D206" s="149"/>
      <c r="E206" s="149"/>
      <c r="F206" s="149"/>
      <c r="G206" s="149"/>
      <c r="H206" s="149"/>
      <c r="I206" s="149"/>
      <c r="J206" s="149"/>
    </row>
    <row r="207" spans="1:49" x14ac:dyDescent="0.3">
      <c r="A207" s="149"/>
      <c r="B207" s="149"/>
      <c r="C207" s="149"/>
      <c r="D207" s="149"/>
      <c r="E207" s="149"/>
      <c r="F207" s="149"/>
      <c r="G207" s="149"/>
      <c r="H207" s="149"/>
      <c r="I207" s="149"/>
      <c r="J207" s="149"/>
    </row>
    <row r="208" spans="1:49" x14ac:dyDescent="0.3">
      <c r="A208" s="149"/>
      <c r="B208" s="149"/>
      <c r="C208" s="149"/>
      <c r="D208" s="149"/>
      <c r="E208" s="149"/>
      <c r="F208" s="149"/>
      <c r="G208" s="149"/>
      <c r="H208" s="149"/>
      <c r="I208" s="149"/>
      <c r="J208" s="149"/>
    </row>
    <row r="209" spans="1:13" x14ac:dyDescent="0.3">
      <c r="A209" s="149"/>
      <c r="B209" s="149"/>
      <c r="C209" s="149"/>
      <c r="D209" s="149"/>
      <c r="E209" s="149"/>
      <c r="F209" s="149"/>
      <c r="G209" s="149"/>
      <c r="H209" s="149"/>
      <c r="I209" s="149"/>
      <c r="J209" s="149"/>
    </row>
    <row r="210" spans="1:13" x14ac:dyDescent="0.3">
      <c r="F210" s="149"/>
      <c r="G210" s="149"/>
      <c r="H210" s="149"/>
      <c r="I210" s="149"/>
      <c r="J210" s="149"/>
    </row>
    <row r="211" spans="1:13" x14ac:dyDescent="0.3">
      <c r="I211" s="149"/>
      <c r="J211" s="149"/>
    </row>
    <row r="215" spans="1:13" x14ac:dyDescent="0.3">
      <c r="K215" s="148"/>
      <c r="L215" s="148"/>
      <c r="M215" s="148"/>
    </row>
    <row r="1048535" spans="16:16" x14ac:dyDescent="0.3">
      <c r="P1048535" s="57"/>
    </row>
    <row r="1048547" spans="1:60" s="70" customFormat="1" x14ac:dyDescent="0.3">
      <c r="A1048547" s="148"/>
      <c r="B1048547" s="148"/>
      <c r="C1048547" s="148"/>
      <c r="D1048547" s="148"/>
      <c r="E1048547" s="148"/>
      <c r="F1048547" s="148"/>
      <c r="G1048547" s="148"/>
      <c r="H1048547" s="148"/>
      <c r="I1048547" s="148"/>
      <c r="J1048547" s="148"/>
      <c r="K1048547" s="150"/>
      <c r="L1048547" s="150"/>
      <c r="M1048547" s="150"/>
      <c r="N1048547" s="150"/>
      <c r="O1048547" s="150"/>
      <c r="P1048547" s="148"/>
      <c r="AV1048547" s="69"/>
      <c r="AW1048547" s="69"/>
      <c r="AX1048547" s="148"/>
      <c r="AY1048547" s="148"/>
      <c r="AZ1048547" s="148"/>
      <c r="BA1048547" s="148"/>
      <c r="BB1048547" s="148"/>
      <c r="BC1048547" s="148"/>
      <c r="BD1048547" s="148"/>
      <c r="BE1048547" s="148"/>
      <c r="BF1048547" s="148"/>
      <c r="BG1048547" s="148"/>
      <c r="BH1048547" s="148"/>
    </row>
  </sheetData>
  <mergeCells count="41">
    <mergeCell ref="N69:O69"/>
    <mergeCell ref="N70:O70"/>
    <mergeCell ref="N71:O71"/>
    <mergeCell ref="N72:P72"/>
    <mergeCell ref="N73:O73"/>
    <mergeCell ref="N68:O68"/>
    <mergeCell ref="N56:P56"/>
    <mergeCell ref="N57:O57"/>
    <mergeCell ref="N58:O58"/>
    <mergeCell ref="N59:P60"/>
    <mergeCell ref="N61:P61"/>
    <mergeCell ref="N62:O62"/>
    <mergeCell ref="N63:O63"/>
    <mergeCell ref="N64:O64"/>
    <mergeCell ref="N65:O65"/>
    <mergeCell ref="N66:O66"/>
    <mergeCell ref="N67:O67"/>
    <mergeCell ref="A56:E56"/>
    <mergeCell ref="E44:J44"/>
    <mergeCell ref="E45:J45"/>
    <mergeCell ref="E46:J46"/>
    <mergeCell ref="E47:J47"/>
    <mergeCell ref="E48:J48"/>
    <mergeCell ref="E49:J49"/>
    <mergeCell ref="E50:J50"/>
    <mergeCell ref="E51:J51"/>
    <mergeCell ref="E52:J52"/>
    <mergeCell ref="E53:J53"/>
    <mergeCell ref="A54:J54"/>
    <mergeCell ref="A43:P43"/>
    <mergeCell ref="A1:P1"/>
    <mergeCell ref="A2:P2"/>
    <mergeCell ref="A7:B7"/>
    <mergeCell ref="A8:P8"/>
    <mergeCell ref="A37:B37"/>
    <mergeCell ref="A38:P38"/>
    <mergeCell ref="E39:J39"/>
    <mergeCell ref="E40:J40"/>
    <mergeCell ref="A41:J41"/>
    <mergeCell ref="N41:P41"/>
    <mergeCell ref="A42:N42"/>
  </mergeCells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AA118-A459-46C0-B5EC-A77BCF372B5A}">
  <dimension ref="A1:BH1048548"/>
  <sheetViews>
    <sheetView topLeftCell="I42" zoomScale="60" zoomScaleNormal="60" workbookViewId="0">
      <selection sqref="A1:XFD1048576"/>
    </sheetView>
  </sheetViews>
  <sheetFormatPr defaultColWidth="9.109375" defaultRowHeight="13.8" x14ac:dyDescent="0.3"/>
  <cols>
    <col min="1" max="1" width="50.6640625" style="148" bestFit="1" customWidth="1"/>
    <col min="2" max="2" width="8.33203125" style="148" bestFit="1" customWidth="1"/>
    <col min="3" max="3" width="17.33203125" style="148" customWidth="1"/>
    <col min="4" max="4" width="17.109375" style="148" bestFit="1" customWidth="1"/>
    <col min="5" max="5" width="18.33203125" style="148" customWidth="1"/>
    <col min="6" max="6" width="17.109375" style="148" bestFit="1" customWidth="1"/>
    <col min="7" max="7" width="16" style="148" bestFit="1" customWidth="1"/>
    <col min="8" max="8" width="15.88671875" style="148" bestFit="1" customWidth="1"/>
    <col min="9" max="9" width="12.6640625" style="148" bestFit="1" customWidth="1"/>
    <col min="10" max="10" width="13.6640625" style="148" bestFit="1" customWidth="1"/>
    <col min="11" max="11" width="16.77734375" style="150" bestFit="1" customWidth="1"/>
    <col min="12" max="12" width="15.88671875" style="150" bestFit="1" customWidth="1"/>
    <col min="13" max="13" width="17.109375" style="150" bestFit="1" customWidth="1"/>
    <col min="14" max="14" width="138.6640625" style="150" customWidth="1"/>
    <col min="15" max="15" width="8.6640625" style="150" customWidth="1"/>
    <col min="16" max="16" width="16.77734375" style="148" bestFit="1" customWidth="1"/>
    <col min="17" max="18" width="13.109375" style="70" bestFit="1" customWidth="1"/>
    <col min="19" max="47" width="9.109375" style="70"/>
    <col min="48" max="49" width="9.109375" style="69"/>
    <col min="50" max="16384" width="9.109375" style="148"/>
  </cols>
  <sheetData>
    <row r="1" spans="1:42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</row>
    <row r="2" spans="1:42" s="10" customFormat="1" ht="28.5" customHeight="1" x14ac:dyDescent="0.3">
      <c r="A2" s="571" t="s">
        <v>1112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3"/>
    </row>
    <row r="3" spans="1:42" s="10" customFormat="1" ht="33.6" customHeight="1" x14ac:dyDescent="0.3">
      <c r="A3" s="83" t="s">
        <v>3</v>
      </c>
      <c r="B3" s="83" t="s">
        <v>0</v>
      </c>
      <c r="C3" s="83" t="s">
        <v>821</v>
      </c>
      <c r="D3" s="84" t="s">
        <v>1</v>
      </c>
      <c r="E3" s="84" t="s">
        <v>68</v>
      </c>
      <c r="F3" s="84" t="s">
        <v>69</v>
      </c>
      <c r="G3" s="85" t="s">
        <v>2</v>
      </c>
      <c r="H3" s="85" t="s">
        <v>592</v>
      </c>
      <c r="I3" s="84" t="s">
        <v>6</v>
      </c>
      <c r="J3" s="84" t="s">
        <v>7</v>
      </c>
      <c r="K3" s="84" t="s">
        <v>4</v>
      </c>
      <c r="L3" s="84" t="s">
        <v>5</v>
      </c>
      <c r="M3" s="84" t="s">
        <v>70</v>
      </c>
      <c r="N3" s="83" t="s">
        <v>59</v>
      </c>
      <c r="O3" s="86" t="s">
        <v>8</v>
      </c>
      <c r="P3" s="86" t="s">
        <v>10</v>
      </c>
    </row>
    <row r="4" spans="1:42" s="203" customFormat="1" ht="25.05" customHeight="1" x14ac:dyDescent="0.3">
      <c r="A4" s="195"/>
      <c r="B4" s="193"/>
      <c r="C4" s="193"/>
      <c r="D4" s="196">
        <v>0</v>
      </c>
      <c r="E4" s="192">
        <v>0</v>
      </c>
      <c r="F4" s="192">
        <f t="shared" ref="F4:F6" si="0">D4-E4</f>
        <v>0</v>
      </c>
      <c r="G4" s="196">
        <v>0</v>
      </c>
      <c r="H4" s="192">
        <v>0</v>
      </c>
      <c r="I4" s="192">
        <v>0</v>
      </c>
      <c r="J4" s="192">
        <v>0</v>
      </c>
      <c r="K4" s="191">
        <f>SUM(F4:J4)</f>
        <v>0</v>
      </c>
      <c r="L4" s="192">
        <f>60%*(D4+G4)</f>
        <v>0</v>
      </c>
      <c r="M4" s="192">
        <f>K4-L4</f>
        <v>0</v>
      </c>
      <c r="N4" s="196"/>
      <c r="O4" s="197"/>
      <c r="P4" s="197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1"/>
      <c r="AM4" s="202"/>
      <c r="AN4" s="202"/>
      <c r="AO4" s="202"/>
      <c r="AP4" s="202"/>
    </row>
    <row r="5" spans="1:42" s="206" customFormat="1" ht="25.05" customHeight="1" x14ac:dyDescent="0.3">
      <c r="A5" s="193"/>
      <c r="B5" s="193"/>
      <c r="C5" s="193"/>
      <c r="D5" s="196">
        <v>0</v>
      </c>
      <c r="E5" s="192">
        <v>0</v>
      </c>
      <c r="F5" s="196">
        <f t="shared" si="0"/>
        <v>0</v>
      </c>
      <c r="G5" s="192">
        <v>0</v>
      </c>
      <c r="H5" s="192">
        <v>0</v>
      </c>
      <c r="I5" s="192">
        <v>0</v>
      </c>
      <c r="J5" s="192">
        <v>0</v>
      </c>
      <c r="K5" s="191">
        <f>SUM(F5:J5)</f>
        <v>0</v>
      </c>
      <c r="L5" s="192">
        <f>60%*(D5+G5)</f>
        <v>0</v>
      </c>
      <c r="M5" s="192">
        <f>K5-L5</f>
        <v>0</v>
      </c>
      <c r="N5" s="196"/>
      <c r="O5" s="197"/>
      <c r="P5" s="197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</row>
    <row r="6" spans="1:42" s="206" customFormat="1" ht="25.05" customHeight="1" x14ac:dyDescent="0.3">
      <c r="A6" s="193"/>
      <c r="B6" s="193"/>
      <c r="C6" s="193"/>
      <c r="D6" s="196">
        <v>0</v>
      </c>
      <c r="E6" s="192">
        <v>0</v>
      </c>
      <c r="F6" s="196">
        <f t="shared" si="0"/>
        <v>0</v>
      </c>
      <c r="G6" s="196">
        <v>0</v>
      </c>
      <c r="H6" s="192">
        <v>0</v>
      </c>
      <c r="I6" s="192">
        <v>0</v>
      </c>
      <c r="J6" s="196">
        <v>0</v>
      </c>
      <c r="K6" s="191">
        <f>SUM(F6:J6)</f>
        <v>0</v>
      </c>
      <c r="L6" s="192">
        <f>60%*(D6+G6)</f>
        <v>0</v>
      </c>
      <c r="M6" s="192">
        <f>K6-L6</f>
        <v>0</v>
      </c>
      <c r="N6" s="196"/>
      <c r="O6" s="197"/>
      <c r="P6" s="197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  <c r="AD6" s="205"/>
      <c r="AE6" s="205"/>
      <c r="AF6" s="205"/>
      <c r="AG6" s="205"/>
      <c r="AH6" s="205"/>
      <c r="AI6" s="205"/>
      <c r="AJ6" s="205"/>
      <c r="AK6" s="205"/>
      <c r="AL6" s="205"/>
      <c r="AM6" s="205"/>
      <c r="AN6" s="205"/>
      <c r="AO6" s="205"/>
      <c r="AP6" s="205"/>
    </row>
    <row r="7" spans="1:42" s="10" customFormat="1" ht="25.05" customHeight="1" x14ac:dyDescent="0.3">
      <c r="A7" s="518" t="s">
        <v>4</v>
      </c>
      <c r="B7" s="518"/>
      <c r="C7" s="95"/>
      <c r="D7" s="109">
        <f>SUM(D4:D6)</f>
        <v>0</v>
      </c>
      <c r="E7" s="109">
        <f t="shared" ref="E7:J7" si="1">SUM(E4:E6)</f>
        <v>0</v>
      </c>
      <c r="F7" s="109">
        <f t="shared" si="1"/>
        <v>0</v>
      </c>
      <c r="G7" s="109">
        <f t="shared" si="1"/>
        <v>0</v>
      </c>
      <c r="H7" s="109">
        <f t="shared" si="1"/>
        <v>0</v>
      </c>
      <c r="I7" s="109">
        <f t="shared" si="1"/>
        <v>0</v>
      </c>
      <c r="J7" s="109">
        <f t="shared" si="1"/>
        <v>0</v>
      </c>
      <c r="K7" s="109">
        <f>SUM(K4:K6)</f>
        <v>0</v>
      </c>
      <c r="L7" s="109">
        <f>SUM(L4:L6)</f>
        <v>0</v>
      </c>
      <c r="M7" s="109">
        <f>SUM(M4:M6)</f>
        <v>0</v>
      </c>
      <c r="N7" s="90"/>
      <c r="O7" s="3"/>
      <c r="P7" s="3"/>
    </row>
    <row r="8" spans="1:42" s="10" customFormat="1" ht="25.05" customHeight="1" x14ac:dyDescent="0.3">
      <c r="A8" s="571" t="s">
        <v>1113</v>
      </c>
      <c r="B8" s="572"/>
      <c r="C8" s="572"/>
      <c r="D8" s="572"/>
      <c r="E8" s="572"/>
      <c r="F8" s="572"/>
      <c r="G8" s="572"/>
      <c r="H8" s="572"/>
      <c r="I8" s="572"/>
      <c r="J8" s="572"/>
      <c r="K8" s="572"/>
      <c r="L8" s="572"/>
      <c r="M8" s="572"/>
      <c r="N8" s="572"/>
      <c r="O8" s="572"/>
      <c r="P8" s="573"/>
    </row>
    <row r="9" spans="1:42" s="11" customFormat="1" ht="34.799999999999997" customHeight="1" x14ac:dyDescent="0.3">
      <c r="A9" s="83" t="s">
        <v>3</v>
      </c>
      <c r="B9" s="83" t="s">
        <v>0</v>
      </c>
      <c r="C9" s="83" t="s">
        <v>821</v>
      </c>
      <c r="D9" s="84" t="s">
        <v>1</v>
      </c>
      <c r="E9" s="84" t="s">
        <v>68</v>
      </c>
      <c r="F9" s="84" t="s">
        <v>69</v>
      </c>
      <c r="G9" s="85" t="s">
        <v>2</v>
      </c>
      <c r="H9" s="85" t="s">
        <v>592</v>
      </c>
      <c r="I9" s="84" t="s">
        <v>6</v>
      </c>
      <c r="J9" s="84" t="s">
        <v>7</v>
      </c>
      <c r="K9" s="84" t="s">
        <v>4</v>
      </c>
      <c r="L9" s="84" t="s">
        <v>5</v>
      </c>
      <c r="M9" s="84" t="s">
        <v>70</v>
      </c>
      <c r="N9" s="83" t="s">
        <v>59</v>
      </c>
      <c r="O9" s="86" t="s">
        <v>8</v>
      </c>
      <c r="P9" s="86" t="s">
        <v>10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</row>
    <row r="10" spans="1:42" s="199" customFormat="1" ht="25.05" customHeight="1" x14ac:dyDescent="0.3">
      <c r="A10" s="195" t="s">
        <v>1079</v>
      </c>
      <c r="B10" s="193">
        <v>1</v>
      </c>
      <c r="C10" s="193" t="s">
        <v>830</v>
      </c>
      <c r="D10" s="196">
        <f>'[2]GERAL 2025'!G3</f>
        <v>610</v>
      </c>
      <c r="E10" s="192">
        <v>0</v>
      </c>
      <c r="F10" s="192">
        <f t="shared" ref="F10:F26" si="2">D10-E10</f>
        <v>610</v>
      </c>
      <c r="G10" s="196">
        <v>50</v>
      </c>
      <c r="H10" s="192">
        <f>(1665.9/27)</f>
        <v>61.7</v>
      </c>
      <c r="I10" s="192">
        <f>'[2]GERAL 2025'!I3</f>
        <v>1.3720449172576832</v>
      </c>
      <c r="J10" s="192">
        <v>0</v>
      </c>
      <c r="K10" s="191">
        <f t="shared" ref="K10:K36" si="3">SUM(F10:J10)</f>
        <v>723.0720449172577</v>
      </c>
      <c r="L10" s="192">
        <f>7%*K10</f>
        <v>50.615043144208045</v>
      </c>
      <c r="M10" s="192">
        <f>K10-L10</f>
        <v>672.45700177304968</v>
      </c>
      <c r="N10" s="196" t="s">
        <v>1114</v>
      </c>
      <c r="O10" s="197">
        <v>10</v>
      </c>
      <c r="P10" s="197">
        <v>11</v>
      </c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</row>
    <row r="11" spans="1:42" s="203" customFormat="1" ht="24.6" customHeight="1" x14ac:dyDescent="0.3">
      <c r="A11" s="193" t="s">
        <v>1004</v>
      </c>
      <c r="B11" s="194">
        <v>2</v>
      </c>
      <c r="C11" s="193" t="s">
        <v>822</v>
      </c>
      <c r="D11" s="196">
        <f>'[2]GERAL 2024'!G41</f>
        <v>610</v>
      </c>
      <c r="E11" s="196">
        <v>0</v>
      </c>
      <c r="F11" s="196">
        <f t="shared" si="2"/>
        <v>610</v>
      </c>
      <c r="G11" s="196">
        <v>0</v>
      </c>
      <c r="H11" s="192">
        <f t="shared" ref="H11:H17" si="4">(1665.9/27)</f>
        <v>61.7</v>
      </c>
      <c r="I11" s="192">
        <f>'[2]GERAL 2025'!I4</f>
        <v>1.3720449172576832</v>
      </c>
      <c r="J11" s="196">
        <v>0</v>
      </c>
      <c r="K11" s="191">
        <f t="shared" si="3"/>
        <v>673.0720449172577</v>
      </c>
      <c r="L11" s="192">
        <f>7%*K11</f>
        <v>47.115043144208045</v>
      </c>
      <c r="M11" s="192">
        <f t="shared" ref="M11:M35" si="5">K11-L11</f>
        <v>625.95700177304968</v>
      </c>
      <c r="N11" s="193" t="s">
        <v>639</v>
      </c>
      <c r="O11" s="197">
        <v>10</v>
      </c>
      <c r="P11" s="197">
        <v>11</v>
      </c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1"/>
      <c r="AM11" s="202"/>
      <c r="AN11" s="202"/>
      <c r="AO11" s="202"/>
      <c r="AP11" s="202"/>
    </row>
    <row r="12" spans="1:42" s="204" customFormat="1" ht="24.6" customHeight="1" x14ac:dyDescent="0.3">
      <c r="A12" s="193" t="s">
        <v>1005</v>
      </c>
      <c r="B12" s="194">
        <v>3</v>
      </c>
      <c r="C12" s="193" t="s">
        <v>822</v>
      </c>
      <c r="D12" s="196">
        <f>'[2]GERAL 2024'!G42</f>
        <v>610</v>
      </c>
      <c r="E12" s="196">
        <v>0</v>
      </c>
      <c r="F12" s="196">
        <f t="shared" si="2"/>
        <v>610</v>
      </c>
      <c r="G12" s="196">
        <v>0</v>
      </c>
      <c r="H12" s="192">
        <f t="shared" si="4"/>
        <v>61.7</v>
      </c>
      <c r="I12" s="192">
        <f>'[2]GERAL 2025'!I5</f>
        <v>1.3720449172576832</v>
      </c>
      <c r="J12" s="196">
        <v>0</v>
      </c>
      <c r="K12" s="191">
        <f t="shared" si="3"/>
        <v>673.0720449172577</v>
      </c>
      <c r="L12" s="192">
        <f>7%*K12</f>
        <v>47.115043144208045</v>
      </c>
      <c r="M12" s="192">
        <f t="shared" si="5"/>
        <v>625.95700177304968</v>
      </c>
      <c r="N12" s="193" t="s">
        <v>639</v>
      </c>
      <c r="O12" s="197">
        <v>10</v>
      </c>
      <c r="P12" s="197">
        <v>11</v>
      </c>
      <c r="Q12" s="200"/>
      <c r="R12" s="200"/>
      <c r="S12" s="200"/>
      <c r="T12" s="200"/>
      <c r="U12" s="200"/>
      <c r="V12" s="200"/>
      <c r="W12" s="200"/>
      <c r="X12" s="200"/>
      <c r="Y12" s="200"/>
      <c r="Z12" s="200"/>
      <c r="AA12" s="200"/>
      <c r="AB12" s="200"/>
      <c r="AC12" s="200"/>
      <c r="AD12" s="200"/>
      <c r="AE12" s="200"/>
      <c r="AF12" s="200"/>
      <c r="AG12" s="200"/>
      <c r="AH12" s="200"/>
      <c r="AI12" s="200"/>
      <c r="AJ12" s="200"/>
      <c r="AK12" s="200"/>
      <c r="AL12" s="200"/>
      <c r="AM12" s="200"/>
      <c r="AN12" s="200"/>
      <c r="AO12" s="200"/>
      <c r="AP12" s="200"/>
    </row>
    <row r="13" spans="1:42" s="199" customFormat="1" ht="24.6" customHeight="1" x14ac:dyDescent="0.3">
      <c r="A13" s="193"/>
      <c r="B13" s="193">
        <v>4</v>
      </c>
      <c r="C13" s="193"/>
      <c r="D13" s="196">
        <v>0</v>
      </c>
      <c r="E13" s="196">
        <v>0</v>
      </c>
      <c r="F13" s="196">
        <f t="shared" si="2"/>
        <v>0</v>
      </c>
      <c r="G13" s="192">
        <v>0</v>
      </c>
      <c r="H13" s="192">
        <v>0</v>
      </c>
      <c r="I13" s="192">
        <v>0</v>
      </c>
      <c r="J13" s="192">
        <v>0</v>
      </c>
      <c r="K13" s="191">
        <f t="shared" si="3"/>
        <v>0</v>
      </c>
      <c r="L13" s="192">
        <f>7%*K13</f>
        <v>0</v>
      </c>
      <c r="M13" s="192">
        <f t="shared" si="5"/>
        <v>0</v>
      </c>
      <c r="N13" s="193" t="s">
        <v>525</v>
      </c>
      <c r="O13" s="197">
        <v>10</v>
      </c>
      <c r="P13" s="194">
        <v>11</v>
      </c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</row>
    <row r="14" spans="1:42" s="199" customFormat="1" ht="25.05" customHeight="1" x14ac:dyDescent="0.3">
      <c r="A14" s="193" t="s">
        <v>744</v>
      </c>
      <c r="B14" s="193">
        <v>5</v>
      </c>
      <c r="C14" s="193" t="s">
        <v>823</v>
      </c>
      <c r="D14" s="196">
        <f>'[2]GERAL 2023'!G7+(6.53784 %*580)</f>
        <v>617.91947200000004</v>
      </c>
      <c r="E14" s="192">
        <v>0</v>
      </c>
      <c r="F14" s="192">
        <f t="shared" si="2"/>
        <v>617.91947200000004</v>
      </c>
      <c r="G14" s="192">
        <f>50</f>
        <v>50</v>
      </c>
      <c r="H14" s="192">
        <f t="shared" si="4"/>
        <v>61.7</v>
      </c>
      <c r="I14" s="192">
        <f>'[2]GERAL 2025'!I7</f>
        <v>1.3720449172576832</v>
      </c>
      <c r="J14" s="192">
        <v>0</v>
      </c>
      <c r="K14" s="191">
        <f t="shared" si="3"/>
        <v>730.99151691725774</v>
      </c>
      <c r="L14" s="192">
        <f>7%*K14</f>
        <v>51.16940618420805</v>
      </c>
      <c r="M14" s="192">
        <f t="shared" si="5"/>
        <v>679.82211073304973</v>
      </c>
      <c r="N14" s="193" t="s">
        <v>1115</v>
      </c>
      <c r="O14" s="197">
        <v>10</v>
      </c>
      <c r="P14" s="197">
        <v>11</v>
      </c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</row>
    <row r="15" spans="1:42" s="206" customFormat="1" ht="24.6" customHeight="1" x14ac:dyDescent="0.3">
      <c r="A15" s="193" t="s">
        <v>745</v>
      </c>
      <c r="B15" s="193">
        <v>6</v>
      </c>
      <c r="C15" s="193" t="s">
        <v>823</v>
      </c>
      <c r="D15" s="196">
        <f>'[2]GERAL 2023'!G8+(6.53784%*680)</f>
        <v>724.457312</v>
      </c>
      <c r="E15" s="196">
        <v>0</v>
      </c>
      <c r="F15" s="192">
        <f t="shared" si="2"/>
        <v>724.457312</v>
      </c>
      <c r="G15" s="192">
        <v>50</v>
      </c>
      <c r="H15" s="192">
        <f t="shared" si="4"/>
        <v>61.7</v>
      </c>
      <c r="I15" s="192">
        <f>'[2]GERAL 2025'!I8</f>
        <v>1.9208628841607567</v>
      </c>
      <c r="J15" s="192">
        <v>0</v>
      </c>
      <c r="K15" s="191">
        <f t="shared" si="3"/>
        <v>838.07817488416083</v>
      </c>
      <c r="L15" s="192">
        <f t="shared" ref="L15:L36" si="6">7%*K15</f>
        <v>58.665472241891266</v>
      </c>
      <c r="M15" s="192">
        <f>K15-L15</f>
        <v>779.41270264226955</v>
      </c>
      <c r="N15" s="193" t="s">
        <v>1115</v>
      </c>
      <c r="O15" s="197">
        <v>10</v>
      </c>
      <c r="P15" s="197">
        <v>11</v>
      </c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205"/>
      <c r="AC15" s="205"/>
      <c r="AD15" s="205"/>
      <c r="AE15" s="205"/>
      <c r="AF15" s="205"/>
      <c r="AG15" s="205"/>
      <c r="AH15" s="205"/>
      <c r="AI15" s="205"/>
      <c r="AJ15" s="205"/>
      <c r="AK15" s="205"/>
      <c r="AL15" s="205"/>
      <c r="AM15" s="205"/>
      <c r="AN15" s="205"/>
      <c r="AO15" s="205"/>
      <c r="AP15" s="205"/>
    </row>
    <row r="16" spans="1:42" s="199" customFormat="1" ht="24.6" customHeight="1" x14ac:dyDescent="0.3">
      <c r="A16" s="193" t="s">
        <v>791</v>
      </c>
      <c r="B16" s="193">
        <v>7</v>
      </c>
      <c r="C16" s="193" t="s">
        <v>822</v>
      </c>
      <c r="D16" s="196">
        <f>('[2]GERAL 2023'!G35+(2.45026%*610))/28*5</f>
        <v>111.59760464285714</v>
      </c>
      <c r="E16" s="192">
        <v>0</v>
      </c>
      <c r="F16" s="196">
        <f t="shared" si="2"/>
        <v>111.59760464285714</v>
      </c>
      <c r="G16" s="192">
        <f>50/28*5</f>
        <v>8.9285714285714288</v>
      </c>
      <c r="H16" s="192">
        <f>(1665.9/27)/28*5</f>
        <v>11.017857142857144</v>
      </c>
      <c r="I16" s="192">
        <f>'[2]GERAL 2025'!I9/28*5</f>
        <v>0.24500802093887197</v>
      </c>
      <c r="J16" s="192">
        <v>0</v>
      </c>
      <c r="K16" s="191">
        <f t="shared" si="3"/>
        <v>131.7890412352246</v>
      </c>
      <c r="L16" s="192">
        <f t="shared" si="6"/>
        <v>9.2252328864657223</v>
      </c>
      <c r="M16" s="192">
        <f t="shared" si="5"/>
        <v>122.56380834875888</v>
      </c>
      <c r="N16" s="193" t="s">
        <v>1116</v>
      </c>
      <c r="O16" s="197">
        <v>10</v>
      </c>
      <c r="P16" s="197">
        <v>11</v>
      </c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</row>
    <row r="17" spans="1:47" s="199" customFormat="1" ht="24.6" customHeight="1" x14ac:dyDescent="0.3">
      <c r="A17" s="193" t="s">
        <v>1085</v>
      </c>
      <c r="B17" s="193">
        <v>8</v>
      </c>
      <c r="C17" s="193" t="s">
        <v>830</v>
      </c>
      <c r="D17" s="196">
        <f>'[2]GERAL 2025'!G10</f>
        <v>640</v>
      </c>
      <c r="E17" s="192">
        <v>0</v>
      </c>
      <c r="F17" s="196">
        <f t="shared" si="2"/>
        <v>640</v>
      </c>
      <c r="G17" s="192">
        <v>0</v>
      </c>
      <c r="H17" s="192">
        <f t="shared" si="4"/>
        <v>61.7</v>
      </c>
      <c r="I17" s="192">
        <f>'[2]GERAL 2025'!I10</f>
        <v>1.3720449172576832</v>
      </c>
      <c r="J17" s="192">
        <v>0</v>
      </c>
      <c r="K17" s="191">
        <f t="shared" si="3"/>
        <v>703.0720449172577</v>
      </c>
      <c r="L17" s="192">
        <f>7%*K17</f>
        <v>49.215043144208046</v>
      </c>
      <c r="M17" s="192">
        <f>K17-L17</f>
        <v>653.85700177304966</v>
      </c>
      <c r="N17" s="196" t="s">
        <v>639</v>
      </c>
      <c r="O17" s="197">
        <v>10</v>
      </c>
      <c r="P17" s="197">
        <v>11</v>
      </c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</row>
    <row r="18" spans="1:47" s="199" customFormat="1" ht="24.6" customHeight="1" x14ac:dyDescent="0.3">
      <c r="A18" s="193" t="s">
        <v>852</v>
      </c>
      <c r="B18" s="193">
        <v>9</v>
      </c>
      <c r="C18" s="193" t="s">
        <v>828</v>
      </c>
      <c r="D18" s="196">
        <f>640+(5.59268%*640)</f>
        <v>675.79315199999996</v>
      </c>
      <c r="E18" s="192">
        <v>0</v>
      </c>
      <c r="F18" s="196">
        <f t="shared" si="2"/>
        <v>675.79315199999996</v>
      </c>
      <c r="G18" s="192">
        <v>0</v>
      </c>
      <c r="H18" s="192">
        <f>(1665.9/27)</f>
        <v>61.7</v>
      </c>
      <c r="I18" s="192">
        <f>'[2]GERAL 2025'!I11</f>
        <v>1.3720449172576832</v>
      </c>
      <c r="J18" s="192">
        <v>0</v>
      </c>
      <c r="K18" s="191">
        <f t="shared" si="3"/>
        <v>738.86519691725766</v>
      </c>
      <c r="L18" s="192">
        <f>7%*K18</f>
        <v>51.720563784208039</v>
      </c>
      <c r="M18" s="192">
        <f>K18-L18</f>
        <v>687.14463313304964</v>
      </c>
      <c r="N18" s="193" t="s">
        <v>639</v>
      </c>
      <c r="O18" s="207">
        <v>10</v>
      </c>
      <c r="P18" s="197">
        <v>11</v>
      </c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</row>
    <row r="19" spans="1:47" s="148" customFormat="1" ht="25.05" customHeight="1" x14ac:dyDescent="0.3">
      <c r="A19" s="194" t="s">
        <v>739</v>
      </c>
      <c r="B19" s="194">
        <v>10</v>
      </c>
      <c r="C19" s="194" t="s">
        <v>825</v>
      </c>
      <c r="D19" s="196">
        <f>'[2]GERAL 2025'!G12</f>
        <v>550</v>
      </c>
      <c r="E19" s="192">
        <v>0</v>
      </c>
      <c r="F19" s="196">
        <f t="shared" si="2"/>
        <v>550</v>
      </c>
      <c r="G19" s="192">
        <v>50</v>
      </c>
      <c r="H19" s="192">
        <f>(1665.9/27)</f>
        <v>61.7</v>
      </c>
      <c r="I19" s="192">
        <f>'[2]GERAL 2025'!I12</f>
        <v>1.3720449172576832</v>
      </c>
      <c r="J19" s="192">
        <v>0</v>
      </c>
      <c r="K19" s="191">
        <f t="shared" si="3"/>
        <v>663.0720449172577</v>
      </c>
      <c r="L19" s="192">
        <f t="shared" si="6"/>
        <v>46.415043144208042</v>
      </c>
      <c r="M19" s="192">
        <f t="shared" si="5"/>
        <v>616.65700177304961</v>
      </c>
      <c r="N19" s="196" t="s">
        <v>1115</v>
      </c>
      <c r="O19" s="197">
        <v>10</v>
      </c>
      <c r="P19" s="194">
        <v>11</v>
      </c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8"/>
      <c r="AR19" s="208"/>
      <c r="AS19" s="208"/>
      <c r="AT19" s="208"/>
      <c r="AU19" s="208"/>
    </row>
    <row r="20" spans="1:47" s="148" customFormat="1" ht="24.6" customHeight="1" x14ac:dyDescent="0.3">
      <c r="A20" s="194" t="s">
        <v>965</v>
      </c>
      <c r="B20" s="194">
        <v>11</v>
      </c>
      <c r="C20" s="194" t="s">
        <v>827</v>
      </c>
      <c r="D20" s="192">
        <f>'[2]GERAL 2024'!G39</f>
        <v>610</v>
      </c>
      <c r="E20" s="192">
        <v>0</v>
      </c>
      <c r="F20" s="196">
        <f t="shared" si="2"/>
        <v>610</v>
      </c>
      <c r="G20" s="192">
        <v>0</v>
      </c>
      <c r="H20" s="192">
        <f t="shared" ref="H20:H36" si="7">(1665.9/27)</f>
        <v>61.7</v>
      </c>
      <c r="I20" s="192">
        <f>'[2]GERAL 2025'!I13</f>
        <v>1.3720449172576832</v>
      </c>
      <c r="J20" s="192">
        <v>0</v>
      </c>
      <c r="K20" s="191">
        <f t="shared" si="3"/>
        <v>673.0720449172577</v>
      </c>
      <c r="L20" s="192">
        <f>7%*K20</f>
        <v>47.115043144208045</v>
      </c>
      <c r="M20" s="192">
        <f t="shared" si="5"/>
        <v>625.95700177304968</v>
      </c>
      <c r="N20" s="193" t="s">
        <v>639</v>
      </c>
      <c r="O20" s="197">
        <v>10</v>
      </c>
      <c r="P20" s="194">
        <v>11</v>
      </c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208"/>
      <c r="AC20" s="208"/>
      <c r="AD20" s="208"/>
      <c r="AE20" s="208"/>
      <c r="AF20" s="208"/>
      <c r="AG20" s="208"/>
      <c r="AH20" s="208"/>
      <c r="AI20" s="208"/>
      <c r="AJ20" s="208"/>
      <c r="AK20" s="208"/>
      <c r="AL20" s="208"/>
      <c r="AM20" s="208"/>
      <c r="AN20" s="208"/>
      <c r="AO20" s="208"/>
      <c r="AP20" s="208"/>
      <c r="AQ20" s="208"/>
      <c r="AR20" s="208"/>
      <c r="AS20" s="208"/>
      <c r="AT20" s="208"/>
      <c r="AU20" s="208"/>
    </row>
    <row r="21" spans="1:47" s="199" customFormat="1" ht="25.05" customHeight="1" x14ac:dyDescent="0.3">
      <c r="A21" s="193" t="s">
        <v>1087</v>
      </c>
      <c r="B21" s="193">
        <v>12</v>
      </c>
      <c r="C21" s="193" t="s">
        <v>830</v>
      </c>
      <c r="D21" s="196">
        <f>'[2]GERAL 2025'!G14</f>
        <v>610</v>
      </c>
      <c r="E21" s="192">
        <v>0</v>
      </c>
      <c r="F21" s="196">
        <f t="shared" si="2"/>
        <v>610</v>
      </c>
      <c r="G21" s="196">
        <v>50</v>
      </c>
      <c r="H21" s="192">
        <f t="shared" si="7"/>
        <v>61.7</v>
      </c>
      <c r="I21" s="192">
        <f>'[2]GERAL 2025'!I14</f>
        <v>1.3720449172576832</v>
      </c>
      <c r="J21" s="196">
        <v>0</v>
      </c>
      <c r="K21" s="191">
        <f t="shared" si="3"/>
        <v>723.0720449172577</v>
      </c>
      <c r="L21" s="192">
        <f t="shared" si="6"/>
        <v>50.615043144208045</v>
      </c>
      <c r="M21" s="192">
        <f t="shared" si="5"/>
        <v>672.45700177304968</v>
      </c>
      <c r="N21" s="196" t="s">
        <v>1115</v>
      </c>
      <c r="O21" s="197">
        <v>10</v>
      </c>
      <c r="P21" s="197">
        <v>11</v>
      </c>
      <c r="Q21" s="198"/>
      <c r="R21" s="198"/>
      <c r="S21" s="198"/>
      <c r="T21" s="198"/>
      <c r="U21" s="198"/>
      <c r="V21" s="198"/>
      <c r="W21" s="198"/>
      <c r="X21" s="198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  <c r="AK21" s="198"/>
      <c r="AL21" s="198"/>
      <c r="AM21" s="198"/>
      <c r="AN21" s="198"/>
      <c r="AO21" s="198"/>
      <c r="AP21" s="198"/>
    </row>
    <row r="22" spans="1:47" s="206" customFormat="1" ht="25.05" customHeight="1" x14ac:dyDescent="0.3">
      <c r="A22" s="193" t="s">
        <v>756</v>
      </c>
      <c r="B22" s="193">
        <v>13</v>
      </c>
      <c r="C22" s="193" t="s">
        <v>827</v>
      </c>
      <c r="D22" s="196">
        <f>'[2]GERAL 2022'!G15</f>
        <v>550</v>
      </c>
      <c r="E22" s="196">
        <v>0</v>
      </c>
      <c r="F22" s="196">
        <f t="shared" si="2"/>
        <v>550</v>
      </c>
      <c r="G22" s="192">
        <v>0</v>
      </c>
      <c r="H22" s="192">
        <f t="shared" si="7"/>
        <v>61.7</v>
      </c>
      <c r="I22" s="192">
        <f>'[2]GERAL 2025'!I15</f>
        <v>1.3720449172576832</v>
      </c>
      <c r="J22" s="192">
        <v>0</v>
      </c>
      <c r="K22" s="191">
        <f t="shared" si="3"/>
        <v>613.0720449172577</v>
      </c>
      <c r="L22" s="192">
        <f t="shared" si="6"/>
        <v>42.915043144208042</v>
      </c>
      <c r="M22" s="192">
        <f t="shared" si="5"/>
        <v>570.15700177304961</v>
      </c>
      <c r="N22" s="193" t="s">
        <v>639</v>
      </c>
      <c r="O22" s="197">
        <v>10</v>
      </c>
      <c r="P22" s="197">
        <v>11</v>
      </c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205"/>
      <c r="AG22" s="205"/>
      <c r="AH22" s="205"/>
      <c r="AI22" s="205"/>
      <c r="AJ22" s="205"/>
      <c r="AK22" s="205"/>
      <c r="AL22" s="205"/>
      <c r="AM22" s="205"/>
      <c r="AN22" s="205"/>
      <c r="AO22" s="205"/>
      <c r="AP22" s="205"/>
    </row>
    <row r="23" spans="1:47" s="148" customFormat="1" ht="24.6" customHeight="1" x14ac:dyDescent="0.3">
      <c r="A23" s="194" t="s">
        <v>747</v>
      </c>
      <c r="B23" s="194">
        <v>14</v>
      </c>
      <c r="C23" s="193" t="s">
        <v>832</v>
      </c>
      <c r="D23" s="196">
        <f>580+(4.52806%*580)</f>
        <v>606.26274799999999</v>
      </c>
      <c r="E23" s="192">
        <v>0</v>
      </c>
      <c r="F23" s="196">
        <f t="shared" si="2"/>
        <v>606.26274799999999</v>
      </c>
      <c r="G23" s="192">
        <f>50</f>
        <v>50</v>
      </c>
      <c r="H23" s="192">
        <f t="shared" si="7"/>
        <v>61.7</v>
      </c>
      <c r="I23" s="192">
        <f>'[2]GERAL 2025'!I16</f>
        <v>1.3720449172576832</v>
      </c>
      <c r="J23" s="192">
        <v>0</v>
      </c>
      <c r="K23" s="191">
        <f t="shared" si="3"/>
        <v>719.33479291725769</v>
      </c>
      <c r="L23" s="192">
        <f t="shared" si="6"/>
        <v>50.353435504208043</v>
      </c>
      <c r="M23" s="192">
        <f t="shared" si="5"/>
        <v>668.98135741304964</v>
      </c>
      <c r="N23" s="193" t="s">
        <v>1115</v>
      </c>
      <c r="O23" s="197">
        <v>10</v>
      </c>
      <c r="P23" s="194">
        <v>11</v>
      </c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  <c r="AD23" s="208"/>
      <c r="AE23" s="208"/>
      <c r="AF23" s="208"/>
      <c r="AG23" s="208"/>
      <c r="AH23" s="208"/>
      <c r="AI23" s="208"/>
      <c r="AJ23" s="208"/>
      <c r="AK23" s="208"/>
      <c r="AL23" s="208"/>
      <c r="AM23" s="208"/>
      <c r="AN23" s="208"/>
      <c r="AO23" s="208"/>
      <c r="AP23" s="208"/>
      <c r="AQ23" s="208"/>
      <c r="AR23" s="208"/>
      <c r="AS23" s="208"/>
      <c r="AT23" s="208"/>
      <c r="AU23" s="208"/>
    </row>
    <row r="24" spans="1:47" s="204" customFormat="1" ht="25.05" customHeight="1" x14ac:dyDescent="0.3">
      <c r="A24" s="193" t="s">
        <v>748</v>
      </c>
      <c r="B24" s="193">
        <v>15</v>
      </c>
      <c r="C24" s="193" t="s">
        <v>827</v>
      </c>
      <c r="D24" s="196">
        <f>'[2]GERAL 2023'!G36</f>
        <v>680</v>
      </c>
      <c r="E24" s="192">
        <v>0</v>
      </c>
      <c r="F24" s="196">
        <f t="shared" si="2"/>
        <v>680</v>
      </c>
      <c r="G24" s="192">
        <v>25</v>
      </c>
      <c r="H24" s="192">
        <f t="shared" si="7"/>
        <v>61.7</v>
      </c>
      <c r="I24" s="192">
        <f>'[2]GERAL 2025'!I17</f>
        <v>1.9208628841607567</v>
      </c>
      <c r="J24" s="192">
        <v>0</v>
      </c>
      <c r="K24" s="191">
        <f t="shared" si="3"/>
        <v>768.62086288416083</v>
      </c>
      <c r="L24" s="192">
        <f t="shared" si="6"/>
        <v>53.803460401891265</v>
      </c>
      <c r="M24" s="192">
        <f t="shared" si="5"/>
        <v>714.81740248226959</v>
      </c>
      <c r="N24" s="193" t="s">
        <v>1117</v>
      </c>
      <c r="O24" s="197">
        <v>10</v>
      </c>
      <c r="P24" s="194">
        <v>11</v>
      </c>
      <c r="Q24" s="200"/>
      <c r="R24" s="200"/>
      <c r="S24" s="200"/>
      <c r="T24" s="200"/>
      <c r="U24" s="200"/>
      <c r="V24" s="200"/>
      <c r="W24" s="200"/>
      <c r="X24" s="200"/>
      <c r="Y24" s="200"/>
    </row>
    <row r="25" spans="1:47" s="206" customFormat="1" ht="24.6" customHeight="1" x14ac:dyDescent="0.3">
      <c r="A25" s="197" t="s">
        <v>977</v>
      </c>
      <c r="B25" s="197">
        <v>16</v>
      </c>
      <c r="C25" s="193" t="s">
        <v>827</v>
      </c>
      <c r="D25" s="196">
        <f>'[2]GERAL 2024'!G40</f>
        <v>640</v>
      </c>
      <c r="E25" s="192">
        <v>0</v>
      </c>
      <c r="F25" s="196">
        <f>D25-E25</f>
        <v>640</v>
      </c>
      <c r="G25" s="192">
        <v>50</v>
      </c>
      <c r="H25" s="192">
        <f t="shared" si="7"/>
        <v>61.7</v>
      </c>
      <c r="I25" s="192">
        <f>'[2]GERAL 2025'!I18</f>
        <v>1.3720449172576832</v>
      </c>
      <c r="J25" s="192">
        <v>0</v>
      </c>
      <c r="K25" s="191">
        <f t="shared" si="3"/>
        <v>753.0720449172577</v>
      </c>
      <c r="L25" s="192">
        <f t="shared" si="6"/>
        <v>52.715043144208046</v>
      </c>
      <c r="M25" s="192">
        <f>K25-L25</f>
        <v>700.35700177304966</v>
      </c>
      <c r="N25" s="193" t="s">
        <v>1115</v>
      </c>
      <c r="O25" s="197">
        <v>10</v>
      </c>
      <c r="P25" s="197">
        <v>11</v>
      </c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</row>
    <row r="26" spans="1:47" s="206" customFormat="1" ht="25.05" customHeight="1" x14ac:dyDescent="0.3">
      <c r="A26" s="195" t="s">
        <v>1029</v>
      </c>
      <c r="B26" s="195">
        <v>17</v>
      </c>
      <c r="C26" s="195" t="s">
        <v>824</v>
      </c>
      <c r="D26" s="196">
        <f>'[2]GERAL 2024'!G45</f>
        <v>610</v>
      </c>
      <c r="E26" s="192">
        <v>0</v>
      </c>
      <c r="F26" s="196">
        <f t="shared" si="2"/>
        <v>610</v>
      </c>
      <c r="G26" s="192">
        <v>50</v>
      </c>
      <c r="H26" s="192">
        <f t="shared" si="7"/>
        <v>61.7</v>
      </c>
      <c r="I26" s="192">
        <f>'[2]GERAL 2025'!I19</f>
        <v>1.3720449172576832</v>
      </c>
      <c r="J26" s="192">
        <v>0</v>
      </c>
      <c r="K26" s="191">
        <f t="shared" si="3"/>
        <v>723.0720449172577</v>
      </c>
      <c r="L26" s="192">
        <f>7%*K26</f>
        <v>50.615043144208045</v>
      </c>
      <c r="M26" s="192">
        <f>K26-L26</f>
        <v>672.45700177304968</v>
      </c>
      <c r="N26" s="193" t="s">
        <v>1115</v>
      </c>
      <c r="O26" s="197">
        <v>10</v>
      </c>
      <c r="P26" s="197">
        <v>11</v>
      </c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</row>
    <row r="27" spans="1:47" s="206" customFormat="1" ht="24.6" customHeight="1" x14ac:dyDescent="0.3">
      <c r="A27" s="195" t="s">
        <v>1030</v>
      </c>
      <c r="B27" s="193">
        <v>18</v>
      </c>
      <c r="C27" s="195" t="s">
        <v>824</v>
      </c>
      <c r="D27" s="196">
        <f>'[2]GERAL 2024'!G46</f>
        <v>640</v>
      </c>
      <c r="E27" s="192">
        <v>0</v>
      </c>
      <c r="F27" s="196">
        <f>D27-E27</f>
        <v>640</v>
      </c>
      <c r="G27" s="192">
        <v>0</v>
      </c>
      <c r="H27" s="192">
        <f t="shared" si="7"/>
        <v>61.7</v>
      </c>
      <c r="I27" s="192">
        <f>'[2]GERAL 2025'!I20</f>
        <v>1.3720449172576832</v>
      </c>
      <c r="J27" s="192">
        <v>0</v>
      </c>
      <c r="K27" s="191">
        <f t="shared" si="3"/>
        <v>703.0720449172577</v>
      </c>
      <c r="L27" s="192">
        <f t="shared" si="6"/>
        <v>49.215043144208046</v>
      </c>
      <c r="M27" s="192">
        <f t="shared" si="5"/>
        <v>653.85700177304966</v>
      </c>
      <c r="N27" s="193" t="s">
        <v>639</v>
      </c>
      <c r="O27" s="197">
        <v>10</v>
      </c>
      <c r="P27" s="197">
        <v>11</v>
      </c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</row>
    <row r="28" spans="1:47" s="206" customFormat="1" ht="25.05" customHeight="1" x14ac:dyDescent="0.3">
      <c r="A28" s="193" t="s">
        <v>1012</v>
      </c>
      <c r="B28" s="193">
        <v>19</v>
      </c>
      <c r="C28" s="193" t="s">
        <v>822</v>
      </c>
      <c r="D28" s="196">
        <f>'[2]GERAL 2024'!G44</f>
        <v>580</v>
      </c>
      <c r="E28" s="192">
        <v>0</v>
      </c>
      <c r="F28" s="196">
        <f>(D28-E28)</f>
        <v>580</v>
      </c>
      <c r="G28" s="192">
        <v>50</v>
      </c>
      <c r="H28" s="192">
        <f t="shared" si="7"/>
        <v>61.7</v>
      </c>
      <c r="I28" s="192">
        <f>'[2]GERAL 2025'!I21</f>
        <v>1.3720449172576832</v>
      </c>
      <c r="J28" s="192">
        <v>0</v>
      </c>
      <c r="K28" s="191">
        <f t="shared" si="3"/>
        <v>693.0720449172577</v>
      </c>
      <c r="L28" s="192">
        <f t="shared" si="6"/>
        <v>48.515043144208043</v>
      </c>
      <c r="M28" s="192">
        <f t="shared" si="5"/>
        <v>644.55700177304971</v>
      </c>
      <c r="N28" s="193" t="s">
        <v>1115</v>
      </c>
      <c r="O28" s="207">
        <v>10</v>
      </c>
      <c r="P28" s="197">
        <v>11</v>
      </c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</row>
    <row r="29" spans="1:47" s="206" customFormat="1" ht="24.6" customHeight="1" x14ac:dyDescent="0.3">
      <c r="A29" s="195" t="s">
        <v>919</v>
      </c>
      <c r="B29" s="193">
        <v>20</v>
      </c>
      <c r="C29" s="209" t="s">
        <v>917</v>
      </c>
      <c r="D29" s="196">
        <f>('[2]GERAL 2024'!G36+(6.74704%*780))/28*5</f>
        <v>148.68337714285713</v>
      </c>
      <c r="E29" s="192">
        <v>0</v>
      </c>
      <c r="F29" s="196">
        <f t="shared" ref="F29:F36" si="8">D29-E29</f>
        <v>148.68337714285713</v>
      </c>
      <c r="G29" s="192">
        <f>25/28*5</f>
        <v>4.4642857142857144</v>
      </c>
      <c r="H29" s="192">
        <f>(1665.9/27)/28*5</f>
        <v>11.017857142857144</v>
      </c>
      <c r="I29" s="192">
        <f>'[2]GERAL 2025'!I22/28*5</f>
        <v>0.24500802093887197</v>
      </c>
      <c r="J29" s="192">
        <v>0</v>
      </c>
      <c r="K29" s="191">
        <f t="shared" si="3"/>
        <v>164.41052802093887</v>
      </c>
      <c r="L29" s="192">
        <f t="shared" si="6"/>
        <v>11.508736961465722</v>
      </c>
      <c r="M29" s="192">
        <f t="shared" si="5"/>
        <v>152.90179105947314</v>
      </c>
      <c r="N29" s="193" t="s">
        <v>1118</v>
      </c>
      <c r="O29" s="207">
        <v>10</v>
      </c>
      <c r="P29" s="197">
        <v>11</v>
      </c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</row>
    <row r="30" spans="1:47" s="206" customFormat="1" ht="24.6" customHeight="1" x14ac:dyDescent="0.3">
      <c r="A30" s="195" t="s">
        <v>788</v>
      </c>
      <c r="B30" s="193">
        <v>21</v>
      </c>
      <c r="C30" s="193" t="s">
        <v>822</v>
      </c>
      <c r="D30" s="196">
        <f>'[2]GERAL 2023'!G39+(2.45026%*580)</f>
        <v>594.21150799999998</v>
      </c>
      <c r="E30" s="192">
        <v>0</v>
      </c>
      <c r="F30" s="196">
        <f t="shared" si="8"/>
        <v>594.21150799999998</v>
      </c>
      <c r="G30" s="192">
        <v>25</v>
      </c>
      <c r="H30" s="192">
        <f t="shared" si="7"/>
        <v>61.7</v>
      </c>
      <c r="I30" s="192">
        <f>'[2]GERAL 2025'!I23</f>
        <v>1.3720449172576832</v>
      </c>
      <c r="J30" s="192">
        <v>0</v>
      </c>
      <c r="K30" s="191">
        <f t="shared" si="3"/>
        <v>682.28355291725768</v>
      </c>
      <c r="L30" s="192">
        <f t="shared" si="6"/>
        <v>47.759848704208039</v>
      </c>
      <c r="M30" s="192">
        <f t="shared" si="5"/>
        <v>634.52370421304965</v>
      </c>
      <c r="N30" s="193" t="s">
        <v>1117</v>
      </c>
      <c r="O30" s="207">
        <v>10</v>
      </c>
      <c r="P30" s="197">
        <v>11</v>
      </c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</row>
    <row r="31" spans="1:47" s="206" customFormat="1" ht="25.05" customHeight="1" x14ac:dyDescent="0.3">
      <c r="A31" s="195" t="s">
        <v>950</v>
      </c>
      <c r="B31" s="193">
        <v>22</v>
      </c>
      <c r="C31" s="193" t="s">
        <v>951</v>
      </c>
      <c r="D31" s="196">
        <f>'[2]GERAL 2024'!G38</f>
        <v>610</v>
      </c>
      <c r="E31" s="192">
        <v>0</v>
      </c>
      <c r="F31" s="196">
        <f t="shared" si="8"/>
        <v>610</v>
      </c>
      <c r="G31" s="192">
        <v>0</v>
      </c>
      <c r="H31" s="192">
        <f t="shared" si="7"/>
        <v>61.7</v>
      </c>
      <c r="I31" s="192">
        <f>'[2]GERAL 2025'!I24</f>
        <v>1.3720449172576832</v>
      </c>
      <c r="J31" s="192">
        <v>0</v>
      </c>
      <c r="K31" s="191">
        <f t="shared" si="3"/>
        <v>673.0720449172577</v>
      </c>
      <c r="L31" s="192">
        <f>7%*K31</f>
        <v>47.115043144208045</v>
      </c>
      <c r="M31" s="192">
        <f>K31-L31</f>
        <v>625.95700177304968</v>
      </c>
      <c r="N31" s="193" t="s">
        <v>639</v>
      </c>
      <c r="O31" s="207">
        <v>10</v>
      </c>
      <c r="P31" s="197">
        <v>11</v>
      </c>
      <c r="Q31" s="205"/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  <c r="AC31" s="205"/>
      <c r="AD31" s="205"/>
      <c r="AE31" s="205"/>
      <c r="AF31" s="205"/>
      <c r="AG31" s="205"/>
      <c r="AH31" s="205"/>
      <c r="AI31" s="205"/>
      <c r="AJ31" s="205"/>
      <c r="AK31" s="205"/>
      <c r="AL31" s="205"/>
      <c r="AM31" s="205"/>
      <c r="AN31" s="205"/>
      <c r="AO31" s="205"/>
      <c r="AP31" s="205"/>
    </row>
    <row r="32" spans="1:47" s="206" customFormat="1" ht="24.6" customHeight="1" x14ac:dyDescent="0.3">
      <c r="A32" s="195" t="s">
        <v>750</v>
      </c>
      <c r="B32" s="193">
        <v>23</v>
      </c>
      <c r="C32" s="193" t="s">
        <v>827</v>
      </c>
      <c r="D32" s="196">
        <f>'[2]GERAL 2022'!G25</f>
        <v>550</v>
      </c>
      <c r="E32" s="192">
        <v>0</v>
      </c>
      <c r="F32" s="196">
        <f t="shared" si="8"/>
        <v>550</v>
      </c>
      <c r="G32" s="192">
        <v>0</v>
      </c>
      <c r="H32" s="192">
        <f t="shared" si="7"/>
        <v>61.7</v>
      </c>
      <c r="I32" s="192">
        <f>'[2]GERAL 2025'!I25</f>
        <v>1.3720449172576832</v>
      </c>
      <c r="J32" s="192">
        <v>0</v>
      </c>
      <c r="K32" s="191">
        <f t="shared" si="3"/>
        <v>613.0720449172577</v>
      </c>
      <c r="L32" s="192">
        <f t="shared" si="6"/>
        <v>42.915043144208042</v>
      </c>
      <c r="M32" s="192">
        <f t="shared" si="5"/>
        <v>570.15700177304961</v>
      </c>
      <c r="N32" s="193" t="s">
        <v>639</v>
      </c>
      <c r="O32" s="197">
        <v>10</v>
      </c>
      <c r="P32" s="197">
        <v>11</v>
      </c>
      <c r="Q32" s="205"/>
      <c r="R32" s="205"/>
      <c r="S32" s="205"/>
      <c r="T32" s="205"/>
      <c r="U32" s="205"/>
      <c r="V32" s="205"/>
      <c r="W32" s="205"/>
      <c r="X32" s="205"/>
      <c r="Y32" s="205"/>
      <c r="Z32" s="205"/>
      <c r="AA32" s="205"/>
      <c r="AB32" s="205"/>
      <c r="AC32" s="205"/>
      <c r="AD32" s="205"/>
      <c r="AE32" s="205"/>
      <c r="AF32" s="205"/>
      <c r="AG32" s="205"/>
      <c r="AH32" s="205"/>
      <c r="AI32" s="205"/>
      <c r="AJ32" s="205"/>
      <c r="AK32" s="205"/>
      <c r="AL32" s="205"/>
      <c r="AM32" s="205"/>
      <c r="AN32" s="205"/>
      <c r="AO32" s="205"/>
      <c r="AP32" s="205"/>
    </row>
    <row r="33" spans="1:42" s="204" customFormat="1" ht="25.05" customHeight="1" x14ac:dyDescent="0.3">
      <c r="A33" s="193"/>
      <c r="B33" s="193">
        <v>24</v>
      </c>
      <c r="C33" s="193"/>
      <c r="D33" s="196">
        <v>0</v>
      </c>
      <c r="E33" s="192">
        <v>0</v>
      </c>
      <c r="F33" s="196">
        <f>D33-E33</f>
        <v>0</v>
      </c>
      <c r="G33" s="192">
        <v>0</v>
      </c>
      <c r="H33" s="192">
        <v>0</v>
      </c>
      <c r="I33" s="192">
        <v>0</v>
      </c>
      <c r="J33" s="192">
        <v>0</v>
      </c>
      <c r="K33" s="191">
        <f t="shared" si="3"/>
        <v>0</v>
      </c>
      <c r="L33" s="192">
        <f t="shared" si="6"/>
        <v>0</v>
      </c>
      <c r="M33" s="192">
        <f t="shared" si="5"/>
        <v>0</v>
      </c>
      <c r="N33" s="193" t="s">
        <v>525</v>
      </c>
      <c r="O33" s="207"/>
      <c r="P33" s="197"/>
      <c r="Q33" s="200"/>
      <c r="R33" s="200"/>
      <c r="S33" s="200"/>
      <c r="T33" s="200"/>
      <c r="U33" s="200"/>
      <c r="V33" s="200"/>
      <c r="W33" s="200"/>
      <c r="X33" s="200"/>
      <c r="Y33" s="200"/>
    </row>
    <row r="34" spans="1:42" s="204" customFormat="1" ht="25.05" customHeight="1" x14ac:dyDescent="0.3">
      <c r="A34" s="206" t="s">
        <v>1007</v>
      </c>
      <c r="B34" s="193">
        <v>25</v>
      </c>
      <c r="C34" s="193" t="s">
        <v>822</v>
      </c>
      <c r="D34" s="196">
        <f>'[2]GERAL 2024'!G43</f>
        <v>640</v>
      </c>
      <c r="E34" s="192">
        <v>0</v>
      </c>
      <c r="F34" s="196">
        <f t="shared" si="8"/>
        <v>640</v>
      </c>
      <c r="G34" s="192">
        <v>25</v>
      </c>
      <c r="H34" s="192">
        <f t="shared" si="7"/>
        <v>61.7</v>
      </c>
      <c r="I34" s="192">
        <f>'[2]GERAL 2025'!I27</f>
        <v>1.3720449172576832</v>
      </c>
      <c r="J34" s="192">
        <v>0</v>
      </c>
      <c r="K34" s="191">
        <f t="shared" si="3"/>
        <v>728.0720449172577</v>
      </c>
      <c r="L34" s="192">
        <f t="shared" si="6"/>
        <v>50.965043144208046</v>
      </c>
      <c r="M34" s="192">
        <f t="shared" si="5"/>
        <v>677.10700177304966</v>
      </c>
      <c r="N34" s="193" t="s">
        <v>1117</v>
      </c>
      <c r="O34" s="207">
        <v>10</v>
      </c>
      <c r="P34" s="197">
        <v>11</v>
      </c>
      <c r="Q34" s="200"/>
      <c r="R34" s="200"/>
      <c r="S34" s="200"/>
      <c r="T34" s="200"/>
      <c r="U34" s="200"/>
      <c r="V34" s="200"/>
      <c r="W34" s="200"/>
      <c r="X34" s="200"/>
      <c r="Y34" s="200"/>
    </row>
    <row r="35" spans="1:42" s="206" customFormat="1" ht="24.6" customHeight="1" x14ac:dyDescent="0.3">
      <c r="A35" s="195" t="s">
        <v>751</v>
      </c>
      <c r="B35" s="193">
        <v>26</v>
      </c>
      <c r="C35" s="193" t="s">
        <v>827</v>
      </c>
      <c r="D35" s="196">
        <f>'[2]GERAL 2022'!G28</f>
        <v>560</v>
      </c>
      <c r="E35" s="192">
        <v>0</v>
      </c>
      <c r="F35" s="196">
        <f t="shared" si="8"/>
        <v>560</v>
      </c>
      <c r="G35" s="192">
        <v>25</v>
      </c>
      <c r="H35" s="192">
        <f t="shared" si="7"/>
        <v>61.7</v>
      </c>
      <c r="I35" s="192">
        <f>'[2]GERAL 2025'!I28</f>
        <v>1.3720449172576832</v>
      </c>
      <c r="J35" s="192">
        <v>0</v>
      </c>
      <c r="K35" s="191">
        <f t="shared" si="3"/>
        <v>648.0720449172577</v>
      </c>
      <c r="L35" s="192">
        <f t="shared" si="6"/>
        <v>45.365043144208045</v>
      </c>
      <c r="M35" s="192">
        <f t="shared" si="5"/>
        <v>602.70700177304968</v>
      </c>
      <c r="N35" s="193" t="s">
        <v>1117</v>
      </c>
      <c r="O35" s="197">
        <v>10</v>
      </c>
      <c r="P35" s="197">
        <v>11</v>
      </c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</row>
    <row r="36" spans="1:42" s="206" customFormat="1" ht="25.05" customHeight="1" x14ac:dyDescent="0.3">
      <c r="A36" s="195" t="s">
        <v>752</v>
      </c>
      <c r="B36" s="193">
        <v>27</v>
      </c>
      <c r="C36" s="216" t="s">
        <v>827</v>
      </c>
      <c r="D36" s="217">
        <f>'[2]GERAL 2022'!G45</f>
        <v>580</v>
      </c>
      <c r="E36" s="210">
        <v>0</v>
      </c>
      <c r="F36" s="196">
        <f t="shared" si="8"/>
        <v>580</v>
      </c>
      <c r="G36" s="210">
        <v>0</v>
      </c>
      <c r="H36" s="192">
        <f t="shared" si="7"/>
        <v>61.7</v>
      </c>
      <c r="I36" s="210">
        <f>'[2]GERAL 2025'!I29</f>
        <v>1.3720449172576832</v>
      </c>
      <c r="J36" s="210">
        <v>0</v>
      </c>
      <c r="K36" s="191">
        <f t="shared" si="3"/>
        <v>643.0720449172577</v>
      </c>
      <c r="L36" s="192">
        <f t="shared" si="6"/>
        <v>45.015043144208043</v>
      </c>
      <c r="M36" s="192">
        <f>K36-L36</f>
        <v>598.05700177304971</v>
      </c>
      <c r="N36" s="193" t="s">
        <v>1119</v>
      </c>
      <c r="O36" s="197">
        <v>10</v>
      </c>
      <c r="P36" s="197">
        <v>11</v>
      </c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</row>
    <row r="37" spans="1:42" s="206" customFormat="1" ht="25.05" customHeight="1" x14ac:dyDescent="0.3">
      <c r="A37" s="584" t="s">
        <v>4</v>
      </c>
      <c r="B37" s="584"/>
      <c r="C37" s="209"/>
      <c r="D37" s="191">
        <f>SUM(D10:D36)</f>
        <v>14358.925173785716</v>
      </c>
      <c r="E37" s="191">
        <f t="shared" ref="E37:M37" si="9">SUM(E10:E36)</f>
        <v>0</v>
      </c>
      <c r="F37" s="191">
        <f t="shared" si="9"/>
        <v>14358.925173785716</v>
      </c>
      <c r="G37" s="191">
        <f t="shared" si="9"/>
        <v>563.39285714285711</v>
      </c>
      <c r="H37" s="191">
        <f t="shared" si="9"/>
        <v>1441.1357142857148</v>
      </c>
      <c r="I37" s="191">
        <f>SUM(I10:I36)</f>
        <v>33.144685072610599</v>
      </c>
      <c r="J37" s="191">
        <f>SUM(J10:J36)</f>
        <v>0</v>
      </c>
      <c r="K37" s="191">
        <f>SUM(K10:K36)</f>
        <v>16396.598430286904</v>
      </c>
      <c r="L37" s="191">
        <f t="shared" si="9"/>
        <v>1147.7618901200829</v>
      </c>
      <c r="M37" s="191">
        <f t="shared" si="9"/>
        <v>15248.836540166812</v>
      </c>
      <c r="N37" s="193"/>
      <c r="O37" s="197"/>
      <c r="P37" s="197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  <c r="AC37" s="205"/>
      <c r="AD37" s="205"/>
      <c r="AE37" s="205"/>
      <c r="AF37" s="205"/>
      <c r="AG37" s="205"/>
      <c r="AH37" s="205"/>
      <c r="AI37" s="205"/>
      <c r="AJ37" s="205"/>
      <c r="AK37" s="205"/>
      <c r="AL37" s="205"/>
      <c r="AM37" s="205"/>
      <c r="AN37" s="205"/>
      <c r="AO37" s="205"/>
      <c r="AP37" s="205"/>
    </row>
    <row r="38" spans="1:42" s="11" customFormat="1" ht="28.5" customHeight="1" x14ac:dyDescent="0.3">
      <c r="A38" s="521" t="s">
        <v>1120</v>
      </c>
      <c r="B38" s="521"/>
      <c r="C38" s="521"/>
      <c r="D38" s="521"/>
      <c r="E38" s="521"/>
      <c r="F38" s="521"/>
      <c r="G38" s="521"/>
      <c r="H38" s="521"/>
      <c r="I38" s="521"/>
      <c r="J38" s="521"/>
      <c r="K38" s="521"/>
      <c r="L38" s="521"/>
      <c r="M38" s="521"/>
      <c r="N38" s="521"/>
      <c r="O38" s="521"/>
      <c r="P38" s="521"/>
      <c r="Q38" s="10"/>
      <c r="R38" s="10"/>
      <c r="S38" s="10"/>
      <c r="T38" s="10"/>
      <c r="U38" s="10"/>
      <c r="V38" s="10"/>
      <c r="W38" s="10"/>
      <c r="X38" s="10"/>
      <c r="Y38" s="10"/>
    </row>
    <row r="39" spans="1:42" s="11" customFormat="1" ht="27.6" customHeight="1" x14ac:dyDescent="0.3">
      <c r="A39" s="127" t="s">
        <v>3</v>
      </c>
      <c r="B39" s="127" t="s">
        <v>0</v>
      </c>
      <c r="C39" s="127" t="s">
        <v>821</v>
      </c>
      <c r="D39" s="128" t="s">
        <v>174</v>
      </c>
      <c r="E39" s="555" t="s">
        <v>175</v>
      </c>
      <c r="F39" s="556"/>
      <c r="G39" s="556"/>
      <c r="H39" s="556"/>
      <c r="I39" s="556"/>
      <c r="J39" s="557"/>
      <c r="K39" s="128" t="s">
        <v>4</v>
      </c>
      <c r="L39" s="128" t="s">
        <v>5</v>
      </c>
      <c r="M39" s="128" t="s">
        <v>70</v>
      </c>
      <c r="N39" s="127" t="s">
        <v>59</v>
      </c>
      <c r="O39" s="130" t="s">
        <v>8</v>
      </c>
      <c r="P39" s="130" t="s">
        <v>10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42" s="204" customFormat="1" ht="25.05" customHeight="1" x14ac:dyDescent="0.3">
      <c r="A40" s="194" t="s">
        <v>929</v>
      </c>
      <c r="B40" s="194">
        <v>12</v>
      </c>
      <c r="C40" s="194" t="s">
        <v>829</v>
      </c>
      <c r="D40" s="196">
        <v>1464</v>
      </c>
      <c r="E40" s="551" t="s">
        <v>715</v>
      </c>
      <c r="F40" s="580"/>
      <c r="G40" s="580"/>
      <c r="H40" s="580"/>
      <c r="I40" s="580"/>
      <c r="J40" s="552"/>
      <c r="K40" s="196">
        <v>183</v>
      </c>
      <c r="L40" s="192">
        <f t="shared" ref="L40:L45" si="10">7%*K40</f>
        <v>12.81</v>
      </c>
      <c r="M40" s="192">
        <f t="shared" ref="M40:M45" si="11">K40-L40</f>
        <v>170.19</v>
      </c>
      <c r="N40" s="193" t="s">
        <v>1121</v>
      </c>
      <c r="O40" s="207">
        <v>10</v>
      </c>
      <c r="P40" s="197">
        <v>11</v>
      </c>
      <c r="Q40" s="200"/>
      <c r="R40" s="200"/>
      <c r="S40" s="200"/>
      <c r="T40" s="200"/>
      <c r="U40" s="200"/>
      <c r="V40" s="200"/>
      <c r="W40" s="200"/>
      <c r="X40" s="200"/>
      <c r="Y40" s="200"/>
    </row>
    <row r="41" spans="1:42" s="204" customFormat="1" ht="25.05" customHeight="1" x14ac:dyDescent="0.3">
      <c r="A41" s="195" t="s">
        <v>919</v>
      </c>
      <c r="B41" s="193">
        <v>20</v>
      </c>
      <c r="C41" s="193" t="s">
        <v>917</v>
      </c>
      <c r="D41" s="196">
        <v>1498.73</v>
      </c>
      <c r="E41" s="551" t="s">
        <v>715</v>
      </c>
      <c r="F41" s="580"/>
      <c r="G41" s="580"/>
      <c r="H41" s="580"/>
      <c r="I41" s="580"/>
      <c r="J41" s="552"/>
      <c r="K41" s="196">
        <v>1498.73</v>
      </c>
      <c r="L41" s="192">
        <f t="shared" si="10"/>
        <v>104.9111</v>
      </c>
      <c r="M41" s="192">
        <f t="shared" si="11"/>
        <v>1393.8189</v>
      </c>
      <c r="N41" s="193" t="s">
        <v>1122</v>
      </c>
      <c r="O41" s="207">
        <v>10</v>
      </c>
      <c r="P41" s="197">
        <v>11</v>
      </c>
      <c r="Q41" s="200"/>
      <c r="R41" s="200"/>
      <c r="S41" s="200"/>
      <c r="T41" s="200"/>
      <c r="U41" s="200"/>
      <c r="V41" s="200"/>
      <c r="W41" s="200"/>
      <c r="X41" s="200"/>
      <c r="Y41" s="200"/>
    </row>
    <row r="42" spans="1:42" s="204" customFormat="1" ht="24.6" customHeight="1" x14ac:dyDescent="0.3">
      <c r="A42" s="194" t="s">
        <v>739</v>
      </c>
      <c r="B42" s="194">
        <v>10</v>
      </c>
      <c r="C42" s="194" t="s">
        <v>825</v>
      </c>
      <c r="D42" s="196">
        <f>550+50+61.7+1.31+0.8</f>
        <v>663.81</v>
      </c>
      <c r="E42" s="551" t="s">
        <v>1123</v>
      </c>
      <c r="F42" s="580"/>
      <c r="G42" s="580"/>
      <c r="H42" s="580"/>
      <c r="I42" s="580"/>
      <c r="J42" s="552"/>
      <c r="K42" s="196">
        <v>787.67</v>
      </c>
      <c r="L42" s="192">
        <f t="shared" si="10"/>
        <v>55.136900000000004</v>
      </c>
      <c r="M42" s="192">
        <f t="shared" si="11"/>
        <v>732.53309999999999</v>
      </c>
      <c r="N42" s="193" t="s">
        <v>1124</v>
      </c>
      <c r="O42" s="207">
        <v>10</v>
      </c>
      <c r="P42" s="197">
        <v>11</v>
      </c>
      <c r="Q42" s="200"/>
      <c r="R42" s="200"/>
      <c r="S42" s="200"/>
      <c r="T42" s="200"/>
      <c r="U42" s="200"/>
      <c r="V42" s="200"/>
      <c r="W42" s="200"/>
      <c r="X42" s="200"/>
      <c r="Y42" s="200"/>
    </row>
    <row r="43" spans="1:42" s="204" customFormat="1" ht="25.05" customHeight="1" x14ac:dyDescent="0.3">
      <c r="A43" s="194" t="s">
        <v>739</v>
      </c>
      <c r="B43" s="194">
        <v>10</v>
      </c>
      <c r="C43" s="194" t="s">
        <v>825</v>
      </c>
      <c r="D43" s="196">
        <f>550+50+61.7+1.31+0.8</f>
        <v>663.81</v>
      </c>
      <c r="E43" s="551" t="s">
        <v>1125</v>
      </c>
      <c r="F43" s="580"/>
      <c r="G43" s="580"/>
      <c r="H43" s="580"/>
      <c r="I43" s="580"/>
      <c r="J43" s="552"/>
      <c r="K43" s="196">
        <v>769.07</v>
      </c>
      <c r="L43" s="192">
        <f t="shared" si="10"/>
        <v>53.834900000000012</v>
      </c>
      <c r="M43" s="192">
        <f t="shared" si="11"/>
        <v>715.23509999999999</v>
      </c>
      <c r="N43" s="193" t="s">
        <v>1126</v>
      </c>
      <c r="O43" s="207">
        <v>10</v>
      </c>
      <c r="P43" s="197">
        <v>11</v>
      </c>
      <c r="Q43" s="200"/>
      <c r="R43" s="200"/>
      <c r="S43" s="200"/>
      <c r="T43" s="200"/>
      <c r="U43" s="200"/>
      <c r="V43" s="200"/>
      <c r="W43" s="200"/>
      <c r="X43" s="200"/>
      <c r="Y43" s="200"/>
    </row>
    <row r="44" spans="1:42" s="204" customFormat="1" ht="25.05" customHeight="1" x14ac:dyDescent="0.3">
      <c r="A44" s="194" t="s">
        <v>739</v>
      </c>
      <c r="B44" s="194">
        <v>10</v>
      </c>
      <c r="C44" s="194" t="s">
        <v>825</v>
      </c>
      <c r="D44" s="196">
        <f>550+50+61.7+1.31+0.8</f>
        <v>663.81</v>
      </c>
      <c r="E44" s="551" t="s">
        <v>1127</v>
      </c>
      <c r="F44" s="580"/>
      <c r="G44" s="580"/>
      <c r="H44" s="580"/>
      <c r="I44" s="580"/>
      <c r="J44" s="552"/>
      <c r="K44" s="196">
        <v>752.49</v>
      </c>
      <c r="L44" s="192">
        <f t="shared" si="10"/>
        <v>52.674300000000002</v>
      </c>
      <c r="M44" s="192">
        <f t="shared" si="11"/>
        <v>699.81569999999999</v>
      </c>
      <c r="N44" s="193" t="s">
        <v>1128</v>
      </c>
      <c r="O44" s="207">
        <v>10</v>
      </c>
      <c r="P44" s="197">
        <v>11</v>
      </c>
      <c r="Q44" s="200"/>
      <c r="R44" s="200"/>
      <c r="S44" s="200"/>
      <c r="T44" s="200"/>
      <c r="U44" s="200"/>
      <c r="V44" s="200"/>
      <c r="W44" s="200"/>
      <c r="X44" s="200"/>
      <c r="Y44" s="200"/>
    </row>
    <row r="45" spans="1:42" s="204" customFormat="1" ht="25.05" customHeight="1" x14ac:dyDescent="0.3">
      <c r="A45" s="194" t="s">
        <v>739</v>
      </c>
      <c r="B45" s="194">
        <v>10</v>
      </c>
      <c r="C45" s="194" t="s">
        <v>825</v>
      </c>
      <c r="D45" s="196">
        <f>550+50+61.7+1.37</f>
        <v>663.07</v>
      </c>
      <c r="E45" s="551" t="s">
        <v>1129</v>
      </c>
      <c r="F45" s="580"/>
      <c r="G45" s="580"/>
      <c r="H45" s="580"/>
      <c r="I45" s="580"/>
      <c r="J45" s="552"/>
      <c r="K45" s="196">
        <v>738</v>
      </c>
      <c r="L45" s="192">
        <f t="shared" si="10"/>
        <v>51.660000000000004</v>
      </c>
      <c r="M45" s="192">
        <f t="shared" si="11"/>
        <v>686.34</v>
      </c>
      <c r="N45" s="193" t="s">
        <v>1130</v>
      </c>
      <c r="O45" s="207">
        <v>10</v>
      </c>
      <c r="P45" s="197">
        <v>11</v>
      </c>
      <c r="Q45" s="200"/>
      <c r="R45" s="200"/>
      <c r="S45" s="200"/>
      <c r="T45" s="200"/>
      <c r="U45" s="200"/>
      <c r="V45" s="200"/>
      <c r="W45" s="200"/>
      <c r="X45" s="200"/>
      <c r="Y45" s="200"/>
    </row>
    <row r="46" spans="1:42" s="11" customFormat="1" ht="25.05" customHeight="1" x14ac:dyDescent="0.3">
      <c r="A46" s="518" t="s">
        <v>4</v>
      </c>
      <c r="B46" s="518"/>
      <c r="C46" s="518"/>
      <c r="D46" s="518"/>
      <c r="E46" s="518"/>
      <c r="F46" s="518"/>
      <c r="G46" s="518"/>
      <c r="H46" s="518"/>
      <c r="I46" s="518"/>
      <c r="J46" s="518"/>
      <c r="K46" s="109">
        <f>SUM(K40:K45)</f>
        <v>4728.96</v>
      </c>
      <c r="L46" s="109">
        <f>SUM(L40:L45)</f>
        <v>331.02720000000005</v>
      </c>
      <c r="M46" s="109">
        <f>SUM(M40:M45)</f>
        <v>4397.9327999999996</v>
      </c>
      <c r="N46" s="527"/>
      <c r="O46" s="527"/>
      <c r="P46" s="527"/>
      <c r="Q46" s="10"/>
      <c r="R46" s="10"/>
      <c r="S46" s="10"/>
      <c r="T46" s="10"/>
      <c r="U46" s="10"/>
      <c r="V46" s="10"/>
      <c r="W46" s="10"/>
      <c r="X46" s="10"/>
      <c r="Y46" s="10"/>
    </row>
    <row r="47" spans="1:42" s="11" customFormat="1" x14ac:dyDescent="0.3">
      <c r="A47" s="518"/>
      <c r="B47" s="518"/>
      <c r="C47" s="518"/>
      <c r="D47" s="518"/>
      <c r="E47" s="518"/>
      <c r="F47" s="518"/>
      <c r="G47" s="518"/>
      <c r="H47" s="518"/>
      <c r="I47" s="518"/>
      <c r="J47" s="518"/>
      <c r="K47" s="518"/>
      <c r="L47" s="518"/>
      <c r="M47" s="518"/>
      <c r="N47" s="518"/>
      <c r="O47" s="109"/>
      <c r="P47" s="109"/>
      <c r="Q47" s="10"/>
      <c r="R47" s="10"/>
      <c r="S47" s="10"/>
      <c r="T47" s="10"/>
      <c r="U47" s="10"/>
      <c r="V47" s="10"/>
      <c r="W47" s="10"/>
      <c r="X47" s="10"/>
      <c r="Y47" s="10"/>
    </row>
    <row r="48" spans="1:42" s="11" customFormat="1" ht="28.5" customHeight="1" x14ac:dyDescent="0.3">
      <c r="A48" s="521" t="s">
        <v>177</v>
      </c>
      <c r="B48" s="521"/>
      <c r="C48" s="521"/>
      <c r="D48" s="521"/>
      <c r="E48" s="521"/>
      <c r="F48" s="521"/>
      <c r="G48" s="521"/>
      <c r="H48" s="521"/>
      <c r="I48" s="521"/>
      <c r="J48" s="521"/>
      <c r="K48" s="521"/>
      <c r="L48" s="521"/>
      <c r="M48" s="521"/>
      <c r="N48" s="521"/>
      <c r="O48" s="521"/>
      <c r="P48" s="521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60" s="11" customFormat="1" ht="25.5" customHeight="1" x14ac:dyDescent="0.3">
      <c r="A49" s="126" t="s">
        <v>173</v>
      </c>
      <c r="B49" s="126" t="s">
        <v>0</v>
      </c>
      <c r="C49" s="126"/>
      <c r="D49" s="126" t="s">
        <v>174</v>
      </c>
      <c r="E49" s="521" t="s">
        <v>175</v>
      </c>
      <c r="F49" s="521"/>
      <c r="G49" s="521"/>
      <c r="H49" s="521"/>
      <c r="I49" s="521"/>
      <c r="J49" s="521"/>
      <c r="K49" s="129" t="s">
        <v>4</v>
      </c>
      <c r="L49" s="128"/>
      <c r="M49" s="128"/>
      <c r="N49" s="127" t="s">
        <v>59</v>
      </c>
      <c r="O49" s="130" t="s">
        <v>8</v>
      </c>
      <c r="P49" s="130" t="s">
        <v>10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60" s="69" customFormat="1" ht="15" customHeight="1" x14ac:dyDescent="0.3">
      <c r="A50" s="4" t="s">
        <v>132</v>
      </c>
      <c r="B50" s="4">
        <v>1</v>
      </c>
      <c r="C50" s="4"/>
      <c r="D50" s="5">
        <f>4977.59-1520</f>
        <v>3457.59</v>
      </c>
      <c r="E50" s="595" t="s">
        <v>284</v>
      </c>
      <c r="F50" s="595"/>
      <c r="G50" s="595"/>
      <c r="H50" s="595"/>
      <c r="I50" s="595"/>
      <c r="J50" s="595"/>
      <c r="K50" s="5">
        <f>4977.59-1520</f>
        <v>3457.59</v>
      </c>
      <c r="L50" s="5"/>
      <c r="M50" s="5"/>
      <c r="N50" s="5" t="s">
        <v>510</v>
      </c>
      <c r="O50" s="140">
        <v>10</v>
      </c>
      <c r="P50" s="4">
        <v>11</v>
      </c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</row>
    <row r="51" spans="1:60" s="11" customFormat="1" x14ac:dyDescent="0.3">
      <c r="A51" s="90" t="s">
        <v>87</v>
      </c>
      <c r="B51" s="90">
        <v>25</v>
      </c>
      <c r="C51" s="90"/>
      <c r="D51" s="5">
        <v>3013.33</v>
      </c>
      <c r="E51" s="595" t="s">
        <v>543</v>
      </c>
      <c r="F51" s="595"/>
      <c r="G51" s="595"/>
      <c r="H51" s="595"/>
      <c r="I51" s="595"/>
      <c r="J51" s="595"/>
      <c r="K51" s="5">
        <v>3040.58</v>
      </c>
      <c r="L51" s="2"/>
      <c r="M51" s="2"/>
      <c r="N51" s="5" t="s">
        <v>545</v>
      </c>
      <c r="O51" s="98">
        <v>10</v>
      </c>
      <c r="P51" s="3">
        <v>11</v>
      </c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60" s="11" customFormat="1" ht="15" customHeight="1" x14ac:dyDescent="0.3">
      <c r="A52" s="3" t="s">
        <v>894</v>
      </c>
      <c r="B52" s="90">
        <v>16</v>
      </c>
      <c r="C52" s="90" t="s">
        <v>823</v>
      </c>
      <c r="D52" s="5">
        <f>144.52+11.29+12.89+0.3+0.18+1664</f>
        <v>1833.18</v>
      </c>
      <c r="E52" s="546" t="s">
        <v>969</v>
      </c>
      <c r="F52" s="547"/>
      <c r="G52" s="547"/>
      <c r="H52" s="547"/>
      <c r="I52" s="547"/>
      <c r="J52" s="548"/>
      <c r="K52" s="5">
        <f>144.52+11.29+12.89+0.3+0.18+1664</f>
        <v>1833.18</v>
      </c>
      <c r="L52" s="2"/>
      <c r="M52" s="2"/>
      <c r="N52" s="90" t="s">
        <v>969</v>
      </c>
      <c r="O52" s="98">
        <v>10</v>
      </c>
      <c r="P52" s="3">
        <v>11</v>
      </c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 spans="1:60" s="206" customFormat="1" ht="15" customHeight="1" x14ac:dyDescent="0.3">
      <c r="A53" s="237" t="s">
        <v>902</v>
      </c>
      <c r="B53" s="195">
        <v>17</v>
      </c>
      <c r="C53" s="195" t="s">
        <v>823</v>
      </c>
      <c r="D53" s="196">
        <v>2080.41</v>
      </c>
      <c r="E53" s="551" t="s">
        <v>1011</v>
      </c>
      <c r="F53" s="580"/>
      <c r="G53" s="580"/>
      <c r="H53" s="580"/>
      <c r="I53" s="580"/>
      <c r="J53" s="552"/>
      <c r="K53" s="196">
        <v>300</v>
      </c>
      <c r="L53" s="192"/>
      <c r="M53" s="192"/>
      <c r="N53" s="193" t="s">
        <v>1039</v>
      </c>
      <c r="O53" s="235">
        <v>10</v>
      </c>
      <c r="P53" s="197">
        <v>11</v>
      </c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  <c r="AC53" s="205"/>
      <c r="AD53" s="205"/>
      <c r="AE53" s="205"/>
      <c r="AF53" s="205"/>
      <c r="AG53" s="205"/>
      <c r="AH53" s="205"/>
      <c r="AI53" s="205"/>
      <c r="AJ53" s="205"/>
      <c r="AK53" s="205"/>
      <c r="AL53" s="205"/>
      <c r="AM53" s="205"/>
      <c r="AN53" s="205"/>
      <c r="AO53" s="205"/>
      <c r="AP53" s="205"/>
    </row>
    <row r="54" spans="1:60" s="206" customFormat="1" ht="15" customHeight="1" x14ac:dyDescent="0.3">
      <c r="A54" s="237" t="s">
        <v>902</v>
      </c>
      <c r="B54" s="195">
        <v>17</v>
      </c>
      <c r="C54" s="195" t="s">
        <v>823</v>
      </c>
      <c r="D54" s="196">
        <v>2080.41</v>
      </c>
      <c r="E54" s="551" t="s">
        <v>1011</v>
      </c>
      <c r="F54" s="580"/>
      <c r="G54" s="580"/>
      <c r="H54" s="580"/>
      <c r="I54" s="580"/>
      <c r="J54" s="552"/>
      <c r="K54" s="196">
        <v>300</v>
      </c>
      <c r="L54" s="192"/>
      <c r="M54" s="192"/>
      <c r="N54" s="193" t="s">
        <v>1049</v>
      </c>
      <c r="O54" s="235">
        <v>10</v>
      </c>
      <c r="P54" s="197">
        <v>11</v>
      </c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  <c r="AJ54" s="205"/>
      <c r="AK54" s="205"/>
      <c r="AL54" s="205"/>
      <c r="AM54" s="205"/>
      <c r="AN54" s="205"/>
      <c r="AO54" s="205"/>
      <c r="AP54" s="205"/>
    </row>
    <row r="55" spans="1:60" s="40" customFormat="1" ht="15" customHeight="1" thickBot="1" x14ac:dyDescent="0.35">
      <c r="A55" s="534" t="s">
        <v>4</v>
      </c>
      <c r="B55" s="549"/>
      <c r="C55" s="549"/>
      <c r="D55" s="549"/>
      <c r="E55" s="549"/>
      <c r="F55" s="549"/>
      <c r="G55" s="549"/>
      <c r="H55" s="549"/>
      <c r="I55" s="549"/>
      <c r="J55" s="535"/>
      <c r="K55" s="114">
        <f>SUM(K50:K54)</f>
        <v>8931.35</v>
      </c>
      <c r="L55" s="90"/>
      <c r="M55" s="90"/>
      <c r="N55" s="90"/>
      <c r="O55" s="90"/>
      <c r="P55" s="9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1"/>
      <c r="AU55" s="11"/>
      <c r="AV55" s="11"/>
      <c r="AW55" s="11"/>
    </row>
    <row r="56" spans="1:60" s="19" customFormat="1" x14ac:dyDescent="0.3">
      <c r="A56" s="179"/>
      <c r="B56" s="180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1"/>
      <c r="P56" s="182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</row>
    <row r="57" spans="1:60" s="40" customFormat="1" x14ac:dyDescent="0.3">
      <c r="A57" s="585"/>
      <c r="B57" s="585"/>
      <c r="C57" s="585"/>
      <c r="D57" s="585"/>
      <c r="E57" s="585"/>
      <c r="F57" s="46"/>
      <c r="G57" s="46"/>
      <c r="H57" s="46"/>
      <c r="I57" s="46"/>
      <c r="J57" s="46"/>
      <c r="K57" s="46"/>
      <c r="L57" s="46"/>
      <c r="M57" s="46"/>
      <c r="N57" s="544" t="s">
        <v>315</v>
      </c>
      <c r="O57" s="544"/>
      <c r="P57" s="545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1"/>
      <c r="AU57" s="11"/>
      <c r="AV57" s="11"/>
      <c r="AW57" s="11"/>
    </row>
    <row r="58" spans="1:60" s="40" customFormat="1" x14ac:dyDescent="0.3">
      <c r="A58" s="206"/>
      <c r="B58" s="223"/>
      <c r="C58" s="223"/>
      <c r="D58" s="224"/>
      <c r="E58" s="223"/>
      <c r="F58" s="46"/>
      <c r="G58" s="46"/>
      <c r="H58" s="46"/>
      <c r="I58" s="11"/>
      <c r="J58" s="11"/>
      <c r="K58" s="87"/>
      <c r="L58" s="87"/>
      <c r="M58" s="87"/>
      <c r="N58" s="527" t="s">
        <v>94</v>
      </c>
      <c r="O58" s="527"/>
      <c r="P58" s="114">
        <f>L37+L46</f>
        <v>1478.7890901200828</v>
      </c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1"/>
      <c r="AU58" s="11"/>
      <c r="AV58" s="11"/>
      <c r="AW58" s="11"/>
    </row>
    <row r="59" spans="1:60" s="40" customFormat="1" x14ac:dyDescent="0.3">
      <c r="A59" s="206"/>
      <c r="B59" s="223"/>
      <c r="C59" s="223"/>
      <c r="D59" s="224"/>
      <c r="E59" s="223"/>
      <c r="F59" s="46"/>
      <c r="G59" s="46"/>
      <c r="H59" s="46"/>
      <c r="I59" s="11"/>
      <c r="J59" s="11"/>
      <c r="K59" s="14"/>
      <c r="L59" s="14"/>
      <c r="M59" s="14"/>
      <c r="N59" s="518" t="s">
        <v>260</v>
      </c>
      <c r="O59" s="518"/>
      <c r="P59" s="114">
        <f>L7</f>
        <v>0</v>
      </c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1"/>
      <c r="AU59" s="11"/>
      <c r="AV59" s="11"/>
      <c r="AW59" s="11"/>
    </row>
    <row r="60" spans="1:60" s="40" customFormat="1" x14ac:dyDescent="0.3">
      <c r="A60" s="206"/>
      <c r="B60" s="223"/>
      <c r="C60" s="223"/>
      <c r="D60" s="224"/>
      <c r="E60" s="223"/>
      <c r="F60" s="46"/>
      <c r="G60" s="46"/>
      <c r="H60" s="46"/>
      <c r="I60" s="11"/>
      <c r="J60" s="11"/>
      <c r="K60" s="14"/>
      <c r="L60" s="14"/>
      <c r="M60" s="14"/>
      <c r="N60" s="520"/>
      <c r="O60" s="520"/>
      <c r="P60" s="52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1"/>
      <c r="AU60" s="11"/>
      <c r="AV60" s="11"/>
      <c r="AW60" s="11"/>
    </row>
    <row r="61" spans="1:60" s="40" customFormat="1" x14ac:dyDescent="0.3">
      <c r="A61" s="206"/>
      <c r="B61" s="223"/>
      <c r="C61" s="223"/>
      <c r="D61" s="224"/>
      <c r="E61" s="223"/>
      <c r="F61" s="46"/>
      <c r="G61" s="46"/>
      <c r="H61" s="46"/>
      <c r="I61" s="11"/>
      <c r="J61" s="11"/>
      <c r="K61" s="62"/>
      <c r="L61" s="62"/>
      <c r="M61" s="62"/>
      <c r="N61" s="520"/>
      <c r="O61" s="520"/>
      <c r="P61" s="52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1"/>
      <c r="AU61" s="11"/>
      <c r="AV61" s="11"/>
      <c r="AW61" s="11"/>
    </row>
    <row r="62" spans="1:60" s="40" customFormat="1" ht="14.4" x14ac:dyDescent="0.3">
      <c r="A62" s="206"/>
      <c r="B62" s="223"/>
      <c r="C62" s="223"/>
      <c r="D62" s="224"/>
      <c r="E62" s="223"/>
      <c r="F62" s="46"/>
      <c r="G62" s="46"/>
      <c r="H62" s="46"/>
      <c r="I62" s="11"/>
      <c r="J62" s="11"/>
      <c r="K62" s="14"/>
      <c r="L62" s="14"/>
      <c r="M62" s="14"/>
      <c r="N62" s="529" t="s">
        <v>12</v>
      </c>
      <c r="O62" s="529"/>
      <c r="P62" s="529"/>
      <c r="Q62" s="175"/>
      <c r="R62" s="178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1"/>
      <c r="AU62" s="11"/>
      <c r="AV62" s="11"/>
      <c r="AW62" s="11"/>
    </row>
    <row r="63" spans="1:60" s="11" customFormat="1" ht="15" customHeight="1" x14ac:dyDescent="0.3">
      <c r="A63" s="206"/>
      <c r="B63" s="223"/>
      <c r="C63" s="223"/>
      <c r="D63" s="224"/>
      <c r="E63" s="223"/>
      <c r="F63" s="46"/>
      <c r="G63" s="46"/>
      <c r="H63" s="46"/>
      <c r="K63" s="63"/>
      <c r="L63" s="63"/>
      <c r="M63" s="63"/>
      <c r="N63" s="592" t="s">
        <v>126</v>
      </c>
      <c r="O63" s="592"/>
      <c r="P63" s="240">
        <v>93.34</v>
      </c>
      <c r="Q63" s="190"/>
      <c r="R63" s="178"/>
    </row>
    <row r="64" spans="1:60" s="11" customFormat="1" ht="15.6" x14ac:dyDescent="0.3">
      <c r="A64" s="206"/>
      <c r="B64" s="223"/>
      <c r="C64" s="223"/>
      <c r="D64" s="224"/>
      <c r="E64" s="223"/>
      <c r="F64" s="46"/>
      <c r="G64" s="46"/>
      <c r="H64" s="46"/>
      <c r="K64" s="14"/>
      <c r="L64" s="14"/>
      <c r="M64" s="14"/>
      <c r="N64" s="593" t="s">
        <v>127</v>
      </c>
      <c r="O64" s="593"/>
      <c r="P64" s="240">
        <v>1665.9</v>
      </c>
      <c r="Q64" s="175"/>
      <c r="R64" s="178"/>
    </row>
    <row r="65" spans="1:48" s="11" customFormat="1" ht="15" customHeight="1" x14ac:dyDescent="0.3">
      <c r="A65" s="206"/>
      <c r="B65" s="223"/>
      <c r="C65" s="223"/>
      <c r="D65" s="224"/>
      <c r="E65" s="223"/>
      <c r="F65" s="46"/>
      <c r="G65" s="46"/>
      <c r="H65" s="46"/>
      <c r="K65" s="63"/>
      <c r="L65" s="63"/>
      <c r="M65" s="63"/>
      <c r="N65" s="594"/>
      <c r="O65" s="594"/>
      <c r="P65" s="90"/>
      <c r="Q65" s="190"/>
      <c r="R65" s="178"/>
    </row>
    <row r="66" spans="1:48" s="11" customFormat="1" ht="15.6" x14ac:dyDescent="0.3">
      <c r="A66" s="206"/>
      <c r="B66" s="223"/>
      <c r="C66" s="223"/>
      <c r="D66" s="224"/>
      <c r="E66" s="223"/>
      <c r="F66" s="46"/>
      <c r="G66" s="46"/>
      <c r="H66" s="46"/>
      <c r="K66" s="14"/>
      <c r="L66" s="14"/>
      <c r="M66" s="14"/>
      <c r="N66" s="594"/>
      <c r="O66" s="594"/>
      <c r="P66" s="251"/>
      <c r="Q66" s="222"/>
      <c r="R66" s="178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</row>
    <row r="67" spans="1:48" s="11" customFormat="1" ht="15.6" x14ac:dyDescent="0.3">
      <c r="A67" s="206"/>
      <c r="B67" s="223"/>
      <c r="C67" s="223"/>
      <c r="D67" s="224"/>
      <c r="E67" s="223"/>
      <c r="F67" s="46"/>
      <c r="G67" s="46"/>
      <c r="H67" s="46"/>
      <c r="K67" s="63"/>
      <c r="L67" s="63"/>
      <c r="M67" s="63"/>
      <c r="N67" s="594"/>
      <c r="O67" s="594"/>
      <c r="P67" s="42"/>
      <c r="Q67" s="175"/>
      <c r="R67" s="178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</row>
    <row r="68" spans="1:48" s="11" customFormat="1" ht="15.6" x14ac:dyDescent="0.3">
      <c r="A68" s="206"/>
      <c r="B68" s="223"/>
      <c r="C68" s="223"/>
      <c r="D68" s="224"/>
      <c r="E68" s="223"/>
      <c r="F68" s="46"/>
      <c r="G68" s="46"/>
      <c r="H68" s="46"/>
      <c r="K68" s="14"/>
      <c r="L68" s="14"/>
      <c r="M68" s="14"/>
      <c r="N68" s="594"/>
      <c r="O68" s="594"/>
      <c r="P68" s="42"/>
      <c r="Q68" s="175"/>
      <c r="R68" s="185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</row>
    <row r="69" spans="1:48" s="11" customFormat="1" ht="15.6" x14ac:dyDescent="0.3">
      <c r="A69" s="206"/>
      <c r="B69" s="223"/>
      <c r="C69" s="223"/>
      <c r="D69" s="224"/>
      <c r="E69" s="223"/>
      <c r="F69" s="46"/>
      <c r="G69" s="46"/>
      <c r="H69" s="46"/>
      <c r="K69" s="14"/>
      <c r="L69" s="14"/>
      <c r="M69" s="14"/>
      <c r="N69" s="588"/>
      <c r="O69" s="589"/>
      <c r="P69" s="42"/>
      <c r="Q69" s="175"/>
      <c r="R69" s="185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</row>
    <row r="70" spans="1:48" s="11" customFormat="1" ht="15.6" x14ac:dyDescent="0.3">
      <c r="A70" s="206"/>
      <c r="B70" s="223"/>
      <c r="C70" s="223"/>
      <c r="D70" s="224"/>
      <c r="E70" s="223"/>
      <c r="F70" s="46"/>
      <c r="G70" s="46"/>
      <c r="H70" s="46"/>
      <c r="K70" s="63"/>
      <c r="L70" s="63"/>
      <c r="M70" s="63"/>
      <c r="N70" s="586" t="s">
        <v>26</v>
      </c>
      <c r="O70" s="586"/>
      <c r="P70" s="241">
        <f>SUM(P58:P69)</f>
        <v>3238.0290901200829</v>
      </c>
      <c r="Q70" s="175"/>
      <c r="R70" s="178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</row>
    <row r="71" spans="1:48" s="11" customFormat="1" ht="15.6" x14ac:dyDescent="0.3">
      <c r="A71" s="206"/>
      <c r="B71" s="223"/>
      <c r="C71" s="223"/>
      <c r="D71" s="224"/>
      <c r="E71" s="223"/>
      <c r="F71" s="46"/>
      <c r="G71" s="46"/>
      <c r="H71" s="46"/>
      <c r="K71" s="14"/>
      <c r="L71" s="14"/>
      <c r="M71" s="14"/>
      <c r="N71" s="587"/>
      <c r="O71" s="587"/>
      <c r="P71" s="242"/>
      <c r="Q71" s="175"/>
      <c r="R71" s="178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</row>
    <row r="72" spans="1:48" s="11" customFormat="1" ht="15" customHeight="1" x14ac:dyDescent="0.3">
      <c r="A72" s="206"/>
      <c r="B72" s="223"/>
      <c r="C72" s="223"/>
      <c r="D72" s="224"/>
      <c r="E72" s="223"/>
      <c r="F72" s="46"/>
      <c r="G72" s="46"/>
      <c r="H72" s="46"/>
      <c r="K72" s="63"/>
      <c r="L72" s="63"/>
      <c r="M72" s="63"/>
      <c r="N72" s="564" t="s">
        <v>11</v>
      </c>
      <c r="O72" s="565"/>
      <c r="P72" s="153">
        <f>K7+K37+K46</f>
        <v>21125.558430286903</v>
      </c>
      <c r="R72" s="14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</row>
    <row r="73" spans="1:48" s="11" customFormat="1" ht="14.4" x14ac:dyDescent="0.3">
      <c r="A73" s="206"/>
      <c r="B73" s="223"/>
      <c r="C73" s="223"/>
      <c r="D73" s="224"/>
      <c r="E73" s="223"/>
      <c r="F73" s="46"/>
      <c r="G73" s="46"/>
      <c r="H73" s="46"/>
      <c r="K73" s="14"/>
      <c r="L73" s="14"/>
      <c r="M73" s="14"/>
      <c r="N73" s="518"/>
      <c r="O73" s="518"/>
      <c r="P73" s="519"/>
      <c r="Q73" s="190"/>
      <c r="R73" s="178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</row>
    <row r="74" spans="1:48" s="11" customFormat="1" ht="18.600000000000001" customHeight="1" x14ac:dyDescent="0.3">
      <c r="A74" s="206"/>
      <c r="B74" s="223"/>
      <c r="C74" s="223"/>
      <c r="D74" s="224"/>
      <c r="E74" s="223"/>
      <c r="F74" s="46"/>
      <c r="G74" s="46"/>
      <c r="H74" s="46"/>
      <c r="K74" s="63"/>
      <c r="L74" s="63"/>
      <c r="M74" s="63"/>
      <c r="N74" s="513" t="s">
        <v>13</v>
      </c>
      <c r="O74" s="513"/>
      <c r="P74" s="151">
        <f>P72-P70</f>
        <v>17887.52934016682</v>
      </c>
      <c r="Q74" s="175"/>
      <c r="R74" s="178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</row>
    <row r="75" spans="1:48" s="11" customFormat="1" ht="14.4" x14ac:dyDescent="0.3">
      <c r="A75" s="206"/>
      <c r="B75" s="223"/>
      <c r="C75" s="223"/>
      <c r="D75" s="224"/>
      <c r="E75" s="223"/>
      <c r="F75" s="46"/>
      <c r="G75" s="46"/>
      <c r="H75" s="46"/>
      <c r="N75" s="124"/>
      <c r="O75" s="124"/>
      <c r="P75" s="57"/>
      <c r="Q75" s="175"/>
      <c r="R75" s="178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</row>
    <row r="76" spans="1:48" s="11" customFormat="1" ht="14.4" x14ac:dyDescent="0.3">
      <c r="A76" s="206"/>
      <c r="B76" s="223"/>
      <c r="C76" s="223"/>
      <c r="D76" s="224"/>
      <c r="E76" s="223"/>
      <c r="F76" s="46"/>
      <c r="G76" s="46"/>
      <c r="H76" s="46"/>
      <c r="K76" s="63"/>
      <c r="L76" s="63"/>
      <c r="M76" s="63"/>
      <c r="N76" s="124"/>
      <c r="O76" s="124"/>
      <c r="P76" s="57"/>
      <c r="Q76" s="175"/>
      <c r="R76" s="178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</row>
    <row r="77" spans="1:48" s="11" customFormat="1" ht="14.4" x14ac:dyDescent="0.3">
      <c r="A77" s="206"/>
      <c r="B77" s="223"/>
      <c r="C77" s="223"/>
      <c r="D77" s="224"/>
      <c r="E77" s="223"/>
      <c r="F77" s="46"/>
      <c r="G77" s="46"/>
      <c r="H77" s="46"/>
      <c r="K77" s="14"/>
      <c r="L77" s="14"/>
      <c r="M77" s="14"/>
      <c r="N77" s="124"/>
      <c r="O77" s="124"/>
      <c r="P77" s="57"/>
      <c r="Q77" s="175"/>
      <c r="R77" s="185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</row>
    <row r="78" spans="1:48" s="11" customFormat="1" ht="14.4" x14ac:dyDescent="0.3">
      <c r="A78" s="206"/>
      <c r="B78" s="223"/>
      <c r="C78" s="223"/>
      <c r="D78" s="224"/>
      <c r="E78" s="223"/>
      <c r="F78" s="46"/>
      <c r="G78" s="46"/>
      <c r="H78" s="46"/>
      <c r="N78" s="124"/>
      <c r="O78" s="124"/>
      <c r="P78" s="57"/>
      <c r="Q78" s="175"/>
      <c r="R78" s="176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</row>
    <row r="79" spans="1:48" s="11" customFormat="1" ht="14.4" x14ac:dyDescent="0.3">
      <c r="A79" s="206"/>
      <c r="B79" s="223"/>
      <c r="C79" s="223"/>
      <c r="D79" s="224"/>
      <c r="E79" s="223"/>
      <c r="F79" s="46"/>
      <c r="G79" s="46"/>
      <c r="H79" s="46"/>
      <c r="N79" s="15"/>
      <c r="O79" s="14"/>
      <c r="P79" s="57"/>
      <c r="Q79" s="175"/>
      <c r="R79" s="176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</row>
    <row r="80" spans="1:48" s="11" customFormat="1" ht="14.4" x14ac:dyDescent="0.3">
      <c r="A80" s="206"/>
      <c r="B80" s="223"/>
      <c r="C80" s="223"/>
      <c r="D80" s="224"/>
      <c r="E80" s="223"/>
      <c r="F80" s="46"/>
      <c r="G80" s="46"/>
      <c r="H80" s="46"/>
      <c r="O80" s="15"/>
      <c r="P80" s="57"/>
      <c r="Q80" s="175"/>
      <c r="R80" s="178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</row>
    <row r="81" spans="1:47" s="11" customFormat="1" ht="14.4" x14ac:dyDescent="0.3">
      <c r="A81" s="206"/>
      <c r="B81" s="223"/>
      <c r="C81" s="223"/>
      <c r="D81" s="224"/>
      <c r="E81" s="223"/>
      <c r="F81" s="46"/>
      <c r="G81" s="46"/>
      <c r="H81" s="46"/>
      <c r="K81" s="14"/>
      <c r="L81" s="14"/>
      <c r="M81" s="14"/>
      <c r="P81" s="57"/>
      <c r="Q81" s="175"/>
      <c r="R81" s="178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</row>
    <row r="82" spans="1:47" s="11" customFormat="1" ht="14.4" x14ac:dyDescent="0.3">
      <c r="A82" s="206"/>
      <c r="B82" s="223"/>
      <c r="C82" s="223"/>
      <c r="D82" s="224"/>
      <c r="E82" s="223"/>
      <c r="F82" s="46"/>
      <c r="G82" s="46"/>
      <c r="H82" s="46"/>
      <c r="K82" s="15"/>
      <c r="L82" s="15"/>
      <c r="M82" s="15"/>
      <c r="N82" s="14"/>
      <c r="O82" s="14"/>
      <c r="P82" s="57"/>
      <c r="Q82" s="175"/>
      <c r="R82" s="178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</row>
    <row r="83" spans="1:47" s="11" customFormat="1" ht="14.4" x14ac:dyDescent="0.3">
      <c r="A83" s="206"/>
      <c r="B83" s="223"/>
      <c r="C83" s="223"/>
      <c r="D83" s="224"/>
      <c r="E83" s="223"/>
      <c r="F83" s="46"/>
      <c r="G83" s="46"/>
      <c r="H83" s="46"/>
      <c r="K83" s="14"/>
      <c r="L83" s="14"/>
      <c r="M83" s="14"/>
      <c r="N83" s="14"/>
      <c r="O83" s="15"/>
      <c r="P83" s="57"/>
      <c r="Q83" s="175"/>
      <c r="R83" s="178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</row>
    <row r="84" spans="1:47" s="11" customFormat="1" ht="14.4" x14ac:dyDescent="0.3">
      <c r="A84" s="206"/>
      <c r="B84" s="223"/>
      <c r="C84" s="223"/>
      <c r="D84" s="224"/>
      <c r="E84" s="223"/>
      <c r="F84" s="46"/>
      <c r="G84" s="46"/>
      <c r="H84" s="46"/>
      <c r="K84" s="14"/>
      <c r="L84" s="14"/>
      <c r="M84" s="14"/>
      <c r="N84" s="14"/>
      <c r="P84" s="57"/>
      <c r="Q84" s="175"/>
      <c r="R84" s="178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</row>
    <row r="85" spans="1:47" s="11" customFormat="1" ht="14.4" x14ac:dyDescent="0.3">
      <c r="A85" s="206"/>
      <c r="B85" s="223"/>
      <c r="C85" s="223"/>
      <c r="D85" s="224"/>
      <c r="E85" s="223"/>
      <c r="F85" s="46"/>
      <c r="G85" s="46"/>
      <c r="H85" s="46"/>
      <c r="K85" s="14"/>
      <c r="L85" s="14"/>
      <c r="M85" s="14"/>
      <c r="N85" s="14"/>
      <c r="P85" s="57"/>
      <c r="Q85" s="175"/>
      <c r="R85" s="178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</row>
    <row r="86" spans="1:47" s="11" customFormat="1" x14ac:dyDescent="0.3">
      <c r="A86" s="206"/>
      <c r="B86" s="223"/>
      <c r="C86" s="223"/>
      <c r="D86" s="224"/>
      <c r="E86" s="223"/>
      <c r="F86" s="46"/>
      <c r="G86" s="46"/>
      <c r="H86" s="46"/>
      <c r="K86" s="14"/>
      <c r="L86" s="14"/>
      <c r="M86" s="14"/>
      <c r="P86" s="57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</row>
    <row r="87" spans="1:47" s="69" customFormat="1" x14ac:dyDescent="0.3">
      <c r="A87" s="206"/>
      <c r="B87" s="223"/>
      <c r="C87" s="223"/>
      <c r="D87" s="224"/>
      <c r="E87" s="223"/>
      <c r="F87" s="46"/>
      <c r="G87" s="46"/>
      <c r="H87" s="46"/>
      <c r="I87" s="11"/>
      <c r="J87" s="11"/>
      <c r="K87" s="14"/>
      <c r="L87" s="14"/>
      <c r="M87" s="14"/>
      <c r="N87" s="11"/>
      <c r="O87" s="14"/>
      <c r="P87" s="57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</row>
    <row r="88" spans="1:47" s="69" customFormat="1" x14ac:dyDescent="0.3">
      <c r="A88" s="206"/>
      <c r="B88" s="223"/>
      <c r="C88" s="223"/>
      <c r="D88" s="224"/>
      <c r="E88" s="223"/>
      <c r="F88" s="46"/>
      <c r="G88" s="46"/>
      <c r="H88" s="46"/>
      <c r="I88" s="11"/>
      <c r="J88" s="11"/>
      <c r="K88" s="14"/>
      <c r="L88" s="14"/>
      <c r="M88" s="14"/>
      <c r="N88" s="11"/>
      <c r="O88" s="14"/>
      <c r="P88" s="57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</row>
    <row r="89" spans="1:47" s="69" customFormat="1" x14ac:dyDescent="0.3">
      <c r="A89" s="206"/>
      <c r="B89" s="223"/>
      <c r="C89" s="223"/>
      <c r="D89" s="224"/>
      <c r="E89" s="223"/>
      <c r="F89" s="46"/>
      <c r="G89" s="46"/>
      <c r="H89" s="46"/>
      <c r="I89" s="11"/>
      <c r="J89" s="11"/>
      <c r="K89" s="14"/>
      <c r="L89" s="14"/>
      <c r="M89" s="14"/>
      <c r="N89" s="11"/>
      <c r="O89" s="14"/>
      <c r="P89" s="57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</row>
    <row r="90" spans="1:47" s="69" customFormat="1" x14ac:dyDescent="0.3">
      <c r="A90" s="206"/>
      <c r="B90" s="223"/>
      <c r="C90" s="223"/>
      <c r="D90" s="224"/>
      <c r="E90" s="223"/>
      <c r="F90" s="46"/>
      <c r="G90" s="46"/>
      <c r="H90" s="46"/>
      <c r="I90" s="11"/>
      <c r="J90" s="11"/>
      <c r="K90" s="14"/>
      <c r="L90" s="14"/>
      <c r="M90" s="14"/>
      <c r="N90" s="11"/>
      <c r="O90" s="14"/>
      <c r="P90" s="57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</row>
    <row r="91" spans="1:47" s="69" customFormat="1" x14ac:dyDescent="0.3">
      <c r="A91" s="206"/>
      <c r="B91" s="223"/>
      <c r="C91" s="223"/>
      <c r="D91" s="224"/>
      <c r="E91" s="223"/>
      <c r="F91" s="46"/>
      <c r="G91" s="46"/>
      <c r="H91" s="46"/>
      <c r="I91" s="11"/>
      <c r="J91" s="11"/>
      <c r="K91" s="14"/>
      <c r="L91" s="14"/>
      <c r="M91" s="14"/>
      <c r="N91" s="11"/>
      <c r="O91" s="11"/>
      <c r="P91" s="57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</row>
    <row r="92" spans="1:47" s="69" customFormat="1" x14ac:dyDescent="0.3">
      <c r="A92" s="206"/>
      <c r="B92" s="223"/>
      <c r="C92" s="223"/>
      <c r="D92" s="224"/>
      <c r="E92" s="223"/>
      <c r="F92" s="46"/>
      <c r="G92" s="46"/>
      <c r="H92" s="46"/>
      <c r="I92" s="11"/>
      <c r="J92" s="11"/>
      <c r="K92" s="14"/>
      <c r="L92" s="14"/>
      <c r="M92" s="14"/>
      <c r="N92" s="11"/>
      <c r="O92" s="11"/>
      <c r="P92" s="57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</row>
    <row r="93" spans="1:47" s="69" customFormat="1" x14ac:dyDescent="0.3">
      <c r="A93" s="206"/>
      <c r="B93" s="223"/>
      <c r="C93" s="223"/>
      <c r="D93" s="224"/>
      <c r="E93" s="223"/>
      <c r="F93" s="46"/>
      <c r="G93" s="46"/>
      <c r="H93" s="46"/>
      <c r="I93" s="11"/>
      <c r="J93" s="11"/>
      <c r="K93" s="14"/>
      <c r="L93" s="14"/>
      <c r="M93" s="14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</row>
    <row r="94" spans="1:47" s="69" customFormat="1" x14ac:dyDescent="0.3">
      <c r="A94" s="206"/>
      <c r="B94" s="223"/>
      <c r="C94" s="223"/>
      <c r="D94" s="224"/>
      <c r="E94" s="223"/>
      <c r="F94" s="46"/>
      <c r="G94" s="46"/>
      <c r="H94" s="46"/>
      <c r="I94" s="11"/>
      <c r="J94" s="11"/>
      <c r="K94" s="14"/>
      <c r="L94" s="14"/>
      <c r="M94" s="14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</row>
    <row r="95" spans="1:47" s="69" customFormat="1" x14ac:dyDescent="0.3">
      <c r="A95" s="206"/>
      <c r="B95" s="223"/>
      <c r="C95" s="223"/>
      <c r="D95" s="224"/>
      <c r="E95" s="223"/>
      <c r="F95" s="46"/>
      <c r="G95" s="46"/>
      <c r="H95" s="46"/>
      <c r="I95" s="11"/>
      <c r="J95" s="11"/>
      <c r="K95" s="14"/>
      <c r="L95" s="14"/>
      <c r="M95" s="14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</row>
    <row r="96" spans="1:47" s="69" customFormat="1" x14ac:dyDescent="0.3">
      <c r="A96" s="206"/>
      <c r="B96" s="223"/>
      <c r="C96" s="223"/>
      <c r="D96" s="224"/>
      <c r="E96" s="223"/>
      <c r="F96" s="46"/>
      <c r="G96" s="46"/>
      <c r="H96" s="46"/>
      <c r="I96" s="11"/>
      <c r="J96" s="11"/>
      <c r="K96" s="14"/>
      <c r="L96" s="14"/>
      <c r="M96" s="14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</row>
    <row r="97" spans="1:48" s="69" customFormat="1" x14ac:dyDescent="0.3">
      <c r="A97" s="206"/>
      <c r="B97" s="223"/>
      <c r="C97" s="223"/>
      <c r="D97" s="224"/>
      <c r="E97" s="223"/>
      <c r="F97" s="46"/>
      <c r="G97" s="46"/>
      <c r="H97" s="46"/>
      <c r="I97" s="11"/>
      <c r="J97" s="11"/>
      <c r="K97" s="14"/>
      <c r="L97" s="14"/>
      <c r="M97" s="14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</row>
    <row r="98" spans="1:48" s="69" customFormat="1" x14ac:dyDescent="0.3">
      <c r="A98" s="206"/>
      <c r="B98" s="223"/>
      <c r="C98" s="223"/>
      <c r="D98" s="224"/>
      <c r="E98" s="223"/>
      <c r="F98" s="46"/>
      <c r="G98" s="46"/>
      <c r="H98" s="46"/>
      <c r="K98" s="142"/>
      <c r="L98" s="142"/>
      <c r="M98" s="142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</row>
    <row r="99" spans="1:48" s="70" customFormat="1" x14ac:dyDescent="0.3">
      <c r="A99" s="206"/>
      <c r="B99" s="223"/>
      <c r="C99" s="223"/>
      <c r="D99" s="224"/>
      <c r="E99" s="223"/>
      <c r="F99" s="46"/>
      <c r="G99" s="46"/>
      <c r="H99" s="46"/>
      <c r="I99" s="63"/>
      <c r="J99" s="63"/>
      <c r="K99" s="69"/>
      <c r="L99" s="69"/>
      <c r="M99" s="69"/>
      <c r="N99" s="69"/>
      <c r="O99" s="69"/>
      <c r="P99" s="69"/>
    </row>
    <row r="100" spans="1:48" s="70" customFormat="1" ht="15" customHeight="1" x14ac:dyDescent="0.3">
      <c r="A100" s="206"/>
      <c r="B100" s="223"/>
      <c r="C100" s="223"/>
      <c r="D100" s="224"/>
      <c r="E100" s="223"/>
      <c r="F100" s="46"/>
      <c r="G100" s="46"/>
      <c r="H100" s="46"/>
      <c r="I100" s="11"/>
      <c r="J100" s="63"/>
      <c r="K100" s="142"/>
      <c r="L100" s="142"/>
      <c r="M100" s="142"/>
      <c r="N100" s="144"/>
      <c r="O100" s="69"/>
      <c r="P100" s="69"/>
      <c r="AV100" s="69"/>
    </row>
    <row r="101" spans="1:48" s="70" customFormat="1" x14ac:dyDescent="0.3">
      <c r="A101" s="206"/>
      <c r="B101" s="223"/>
      <c r="C101" s="223"/>
      <c r="D101" s="224"/>
      <c r="E101" s="223"/>
      <c r="F101" s="46"/>
      <c r="G101" s="46"/>
      <c r="H101" s="46"/>
      <c r="I101" s="142"/>
      <c r="J101" s="142"/>
      <c r="K101" s="142"/>
      <c r="L101" s="142"/>
      <c r="M101" s="142"/>
      <c r="N101" s="144"/>
      <c r="O101" s="69"/>
      <c r="P101" s="69"/>
      <c r="AV101" s="69"/>
    </row>
    <row r="102" spans="1:48" s="70" customFormat="1" x14ac:dyDescent="0.3">
      <c r="A102" s="206"/>
      <c r="B102" s="223"/>
      <c r="C102" s="223"/>
      <c r="D102" s="224"/>
      <c r="E102" s="223"/>
      <c r="F102" s="46"/>
      <c r="G102" s="46"/>
      <c r="H102" s="46"/>
      <c r="I102" s="11"/>
      <c r="J102" s="63"/>
      <c r="K102" s="142"/>
      <c r="L102" s="142"/>
      <c r="M102" s="142"/>
      <c r="N102" s="144"/>
      <c r="O102" s="69"/>
      <c r="AV102" s="69"/>
    </row>
    <row r="103" spans="1:48" s="70" customFormat="1" x14ac:dyDescent="0.3">
      <c r="A103" s="206"/>
      <c r="B103" s="223"/>
      <c r="C103" s="223"/>
      <c r="D103" s="224"/>
      <c r="E103" s="223"/>
      <c r="F103" s="46"/>
      <c r="G103" s="46"/>
      <c r="H103" s="46"/>
      <c r="I103" s="142"/>
      <c r="J103" s="142"/>
      <c r="K103" s="142"/>
      <c r="L103" s="142"/>
      <c r="M103" s="142"/>
      <c r="N103" s="144"/>
      <c r="O103" s="69"/>
      <c r="AV103" s="69"/>
    </row>
    <row r="104" spans="1:48" s="70" customFormat="1" x14ac:dyDescent="0.3">
      <c r="A104" s="206"/>
      <c r="B104" s="223"/>
      <c r="C104" s="223"/>
      <c r="D104" s="224"/>
      <c r="E104" s="223"/>
      <c r="F104" s="46"/>
      <c r="G104" s="46"/>
      <c r="H104" s="46"/>
      <c r="I104" s="11"/>
      <c r="J104" s="63"/>
      <c r="K104" s="142"/>
      <c r="L104" s="142"/>
      <c r="M104" s="142"/>
      <c r="N104" s="144"/>
      <c r="O104" s="69"/>
      <c r="AV104" s="69"/>
    </row>
    <row r="105" spans="1:48" s="70" customFormat="1" x14ac:dyDescent="0.3">
      <c r="A105" s="206"/>
      <c r="B105" s="223"/>
      <c r="C105" s="223"/>
      <c r="D105" s="224"/>
      <c r="E105" s="223"/>
      <c r="F105" s="46"/>
      <c r="G105" s="46"/>
      <c r="H105" s="46"/>
      <c r="I105" s="142"/>
      <c r="J105" s="142"/>
      <c r="K105" s="142"/>
      <c r="L105" s="142"/>
      <c r="M105" s="142"/>
      <c r="N105" s="144"/>
      <c r="O105" s="144"/>
      <c r="AV105" s="69"/>
    </row>
    <row r="106" spans="1:48" s="70" customFormat="1" x14ac:dyDescent="0.3">
      <c r="A106" s="206"/>
      <c r="B106" s="223"/>
      <c r="C106" s="223"/>
      <c r="D106" s="224"/>
      <c r="E106" s="223"/>
      <c r="F106" s="46"/>
      <c r="G106" s="46"/>
      <c r="H106" s="46"/>
      <c r="I106" s="11"/>
      <c r="J106" s="63"/>
      <c r="K106" s="142"/>
      <c r="L106" s="142"/>
      <c r="M106" s="142"/>
      <c r="N106" s="144"/>
      <c r="O106" s="144"/>
      <c r="AV106" s="69"/>
    </row>
    <row r="107" spans="1:48" s="70" customFormat="1" x14ac:dyDescent="0.3">
      <c r="A107" s="206"/>
      <c r="B107" s="223"/>
      <c r="C107" s="223"/>
      <c r="D107" s="224"/>
      <c r="E107" s="223"/>
      <c r="F107" s="46"/>
      <c r="G107" s="46"/>
      <c r="H107" s="46"/>
      <c r="I107" s="142"/>
      <c r="J107" s="142"/>
      <c r="K107" s="142"/>
      <c r="L107" s="142"/>
      <c r="M107" s="142"/>
      <c r="N107" s="144"/>
      <c r="O107" s="144"/>
      <c r="AV107" s="69"/>
    </row>
    <row r="108" spans="1:48" s="70" customFormat="1" x14ac:dyDescent="0.3">
      <c r="A108" s="206"/>
      <c r="B108" s="223"/>
      <c r="C108" s="223"/>
      <c r="D108" s="224"/>
      <c r="E108" s="223"/>
      <c r="F108" s="46"/>
      <c r="G108" s="46"/>
      <c r="H108" s="46"/>
      <c r="I108" s="11"/>
      <c r="J108" s="63"/>
      <c r="K108" s="142"/>
      <c r="L108" s="142"/>
      <c r="M108" s="142"/>
      <c r="N108" s="144"/>
      <c r="O108" s="144"/>
      <c r="AV108" s="69"/>
    </row>
    <row r="109" spans="1:48" s="70" customFormat="1" x14ac:dyDescent="0.3">
      <c r="A109" s="148"/>
      <c r="B109" s="225"/>
      <c r="C109" s="225"/>
      <c r="D109" s="225"/>
      <c r="E109" s="225"/>
      <c r="F109" s="46"/>
      <c r="G109" s="46"/>
      <c r="H109" s="46"/>
      <c r="I109" s="142"/>
      <c r="J109" s="142"/>
      <c r="K109" s="142"/>
      <c r="L109" s="142"/>
      <c r="M109" s="142"/>
      <c r="N109" s="144"/>
      <c r="O109" s="144"/>
      <c r="AV109" s="69"/>
    </row>
    <row r="110" spans="1:48" s="70" customFormat="1" x14ac:dyDescent="0.3">
      <c r="A110" s="69"/>
      <c r="B110" s="69"/>
      <c r="C110" s="69"/>
      <c r="D110" s="69"/>
      <c r="E110" s="69"/>
      <c r="F110" s="69"/>
      <c r="G110" s="69"/>
      <c r="H110" s="69"/>
      <c r="I110" s="142"/>
      <c r="J110" s="142"/>
      <c r="K110" s="142"/>
      <c r="L110" s="142"/>
      <c r="M110" s="142"/>
      <c r="N110" s="144"/>
      <c r="O110" s="144"/>
      <c r="AV110" s="69"/>
    </row>
    <row r="111" spans="1:48" s="70" customFormat="1" x14ac:dyDescent="0.3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142"/>
      <c r="L111" s="142"/>
      <c r="M111" s="142"/>
      <c r="N111" s="144"/>
      <c r="O111" s="144"/>
      <c r="AV111" s="69"/>
    </row>
    <row r="112" spans="1:48" s="70" customFormat="1" x14ac:dyDescent="0.3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142"/>
      <c r="L112" s="142"/>
      <c r="M112" s="142"/>
      <c r="N112" s="144"/>
      <c r="O112" s="144"/>
      <c r="AV112" s="69"/>
    </row>
    <row r="113" spans="1:48" s="70" customFormat="1" x14ac:dyDescent="0.3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142"/>
      <c r="L113" s="142"/>
      <c r="M113" s="142"/>
      <c r="N113" s="144"/>
      <c r="O113" s="144"/>
      <c r="AV113" s="69"/>
    </row>
    <row r="114" spans="1:48" s="70" customFormat="1" x14ac:dyDescent="0.3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142"/>
      <c r="L114" s="142"/>
      <c r="M114" s="142"/>
      <c r="N114" s="144"/>
      <c r="O114" s="144"/>
      <c r="AV114" s="69"/>
    </row>
    <row r="115" spans="1:48" s="70" customFormat="1" x14ac:dyDescent="0.3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142"/>
      <c r="L115" s="142"/>
      <c r="M115" s="142"/>
      <c r="N115" s="144"/>
      <c r="O115" s="144"/>
      <c r="AV115" s="69"/>
    </row>
    <row r="116" spans="1:48" s="70" customFormat="1" x14ac:dyDescent="0.3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142"/>
      <c r="L116" s="142"/>
      <c r="M116" s="142"/>
      <c r="N116" s="144"/>
      <c r="O116" s="144"/>
      <c r="AV116" s="69"/>
    </row>
    <row r="117" spans="1:48" s="70" customFormat="1" x14ac:dyDescent="0.3">
      <c r="F117" s="69"/>
      <c r="G117" s="69"/>
      <c r="H117" s="69"/>
      <c r="I117" s="69"/>
      <c r="J117" s="69"/>
      <c r="K117" s="142"/>
      <c r="L117" s="142"/>
      <c r="M117" s="142"/>
      <c r="N117" s="144"/>
      <c r="O117" s="144"/>
      <c r="AV117" s="69"/>
    </row>
    <row r="118" spans="1:48" s="70" customFormat="1" x14ac:dyDescent="0.3">
      <c r="I118" s="69"/>
      <c r="J118" s="69"/>
      <c r="K118" s="142"/>
      <c r="L118" s="142"/>
      <c r="M118" s="142"/>
      <c r="N118" s="144"/>
      <c r="O118" s="144"/>
      <c r="AV118" s="69"/>
    </row>
    <row r="119" spans="1:48" s="70" customFormat="1" x14ac:dyDescent="0.3">
      <c r="K119" s="142"/>
      <c r="L119" s="142"/>
      <c r="M119" s="142"/>
      <c r="N119" s="144"/>
      <c r="O119" s="144"/>
      <c r="AV119" s="69"/>
    </row>
    <row r="120" spans="1:48" s="70" customFormat="1" x14ac:dyDescent="0.3">
      <c r="K120" s="142"/>
      <c r="L120" s="142"/>
      <c r="M120" s="142"/>
      <c r="N120" s="144"/>
      <c r="O120" s="144"/>
      <c r="AV120" s="69"/>
    </row>
    <row r="121" spans="1:48" s="70" customFormat="1" x14ac:dyDescent="0.3">
      <c r="K121" s="142"/>
      <c r="L121" s="142"/>
      <c r="M121" s="142"/>
      <c r="N121" s="144"/>
      <c r="O121" s="144"/>
      <c r="AV121" s="69"/>
    </row>
    <row r="122" spans="1:48" s="70" customFormat="1" x14ac:dyDescent="0.3">
      <c r="K122" s="142"/>
      <c r="L122" s="142"/>
      <c r="M122" s="142"/>
      <c r="N122" s="144"/>
      <c r="O122" s="144"/>
      <c r="AV122" s="69"/>
    </row>
    <row r="123" spans="1:48" s="70" customFormat="1" x14ac:dyDescent="0.3">
      <c r="K123" s="142"/>
      <c r="L123" s="142"/>
      <c r="M123" s="142"/>
      <c r="N123" s="144"/>
      <c r="O123" s="144"/>
      <c r="AV123" s="69"/>
    </row>
    <row r="124" spans="1:48" s="70" customFormat="1" x14ac:dyDescent="0.3">
      <c r="K124" s="142"/>
      <c r="L124" s="142"/>
      <c r="M124" s="142"/>
      <c r="N124" s="144"/>
      <c r="O124" s="144"/>
      <c r="AV124" s="69"/>
    </row>
    <row r="125" spans="1:48" s="70" customFormat="1" x14ac:dyDescent="0.3">
      <c r="K125" s="142"/>
      <c r="L125" s="142"/>
      <c r="M125" s="142"/>
      <c r="N125" s="144"/>
      <c r="O125" s="144"/>
      <c r="AV125" s="69"/>
    </row>
    <row r="126" spans="1:48" s="70" customFormat="1" x14ac:dyDescent="0.3">
      <c r="K126" s="142"/>
      <c r="L126" s="142"/>
      <c r="M126" s="142"/>
      <c r="N126" s="144"/>
      <c r="O126" s="144"/>
      <c r="AV126" s="69"/>
    </row>
    <row r="127" spans="1:48" s="70" customFormat="1" x14ac:dyDescent="0.3">
      <c r="K127" s="142"/>
      <c r="L127" s="142"/>
      <c r="M127" s="142"/>
      <c r="N127" s="144"/>
      <c r="O127" s="144"/>
      <c r="AV127" s="69"/>
    </row>
    <row r="128" spans="1:48" s="70" customFormat="1" x14ac:dyDescent="0.3">
      <c r="K128" s="142"/>
      <c r="L128" s="142"/>
      <c r="M128" s="142"/>
      <c r="N128" s="144"/>
      <c r="O128" s="144"/>
      <c r="AV128" s="69"/>
    </row>
    <row r="129" spans="11:48" s="70" customFormat="1" x14ac:dyDescent="0.3">
      <c r="K129" s="142"/>
      <c r="L129" s="142"/>
      <c r="M129" s="142"/>
      <c r="N129" s="144"/>
      <c r="O129" s="144"/>
      <c r="AV129" s="69"/>
    </row>
    <row r="130" spans="11:48" s="70" customFormat="1" x14ac:dyDescent="0.3">
      <c r="K130" s="142"/>
      <c r="L130" s="142"/>
      <c r="M130" s="142"/>
      <c r="N130" s="144"/>
      <c r="O130" s="144"/>
      <c r="AV130" s="69"/>
    </row>
    <row r="131" spans="11:48" s="70" customFormat="1" x14ac:dyDescent="0.3">
      <c r="K131" s="142"/>
      <c r="L131" s="142"/>
      <c r="M131" s="142"/>
      <c r="N131" s="144"/>
      <c r="O131" s="144"/>
      <c r="AV131" s="69"/>
    </row>
    <row r="132" spans="11:48" s="70" customFormat="1" x14ac:dyDescent="0.3">
      <c r="K132" s="142"/>
      <c r="L132" s="142"/>
      <c r="M132" s="142"/>
      <c r="N132" s="144"/>
      <c r="O132" s="144"/>
      <c r="AV132" s="69"/>
    </row>
    <row r="133" spans="11:48" s="70" customFormat="1" x14ac:dyDescent="0.3">
      <c r="K133" s="142"/>
      <c r="L133" s="142"/>
      <c r="M133" s="142"/>
      <c r="N133" s="144"/>
      <c r="O133" s="144"/>
      <c r="AV133" s="69"/>
    </row>
    <row r="134" spans="11:48" s="70" customFormat="1" x14ac:dyDescent="0.3">
      <c r="K134" s="142"/>
      <c r="L134" s="142"/>
      <c r="M134" s="142"/>
      <c r="N134" s="144"/>
      <c r="O134" s="144"/>
      <c r="AV134" s="69"/>
    </row>
    <row r="135" spans="11:48" s="70" customFormat="1" x14ac:dyDescent="0.3">
      <c r="K135" s="142"/>
      <c r="L135" s="142"/>
      <c r="M135" s="142"/>
      <c r="N135" s="144"/>
      <c r="O135" s="144"/>
      <c r="AV135" s="69"/>
    </row>
    <row r="136" spans="11:48" s="70" customFormat="1" x14ac:dyDescent="0.3">
      <c r="K136" s="142"/>
      <c r="L136" s="142"/>
      <c r="M136" s="142"/>
      <c r="N136" s="144"/>
      <c r="O136" s="144"/>
      <c r="AV136" s="69"/>
    </row>
    <row r="137" spans="11:48" s="70" customFormat="1" x14ac:dyDescent="0.3">
      <c r="K137" s="142"/>
      <c r="L137" s="142"/>
      <c r="M137" s="142"/>
      <c r="N137" s="144"/>
      <c r="O137" s="144"/>
      <c r="AV137" s="69"/>
    </row>
    <row r="138" spans="11:48" s="70" customFormat="1" x14ac:dyDescent="0.3">
      <c r="K138" s="142"/>
      <c r="L138" s="142"/>
      <c r="M138" s="142"/>
      <c r="N138" s="144"/>
      <c r="O138" s="144"/>
      <c r="AV138" s="69"/>
    </row>
    <row r="139" spans="11:48" s="70" customFormat="1" x14ac:dyDescent="0.3">
      <c r="K139" s="142"/>
      <c r="L139" s="142"/>
      <c r="M139" s="142"/>
      <c r="N139" s="144"/>
      <c r="O139" s="144"/>
      <c r="AV139" s="69"/>
    </row>
    <row r="140" spans="11:48" s="70" customFormat="1" x14ac:dyDescent="0.3">
      <c r="K140" s="142"/>
      <c r="L140" s="142"/>
      <c r="M140" s="142"/>
      <c r="N140" s="144"/>
      <c r="O140" s="144"/>
      <c r="AV140" s="69"/>
    </row>
    <row r="141" spans="11:48" s="70" customFormat="1" x14ac:dyDescent="0.3">
      <c r="K141" s="142"/>
      <c r="L141" s="142"/>
      <c r="M141" s="142"/>
      <c r="N141" s="144"/>
      <c r="O141" s="144"/>
      <c r="AV141" s="69"/>
    </row>
    <row r="142" spans="11:48" s="70" customFormat="1" x14ac:dyDescent="0.3">
      <c r="K142" s="142"/>
      <c r="L142" s="142"/>
      <c r="M142" s="142"/>
      <c r="N142" s="144"/>
      <c r="O142" s="144"/>
      <c r="AV142" s="69"/>
    </row>
    <row r="143" spans="11:48" s="70" customFormat="1" x14ac:dyDescent="0.3">
      <c r="K143" s="142"/>
      <c r="L143" s="142"/>
      <c r="M143" s="142"/>
      <c r="N143" s="144"/>
      <c r="O143" s="144"/>
      <c r="AV143" s="69"/>
    </row>
    <row r="144" spans="11:48" s="70" customFormat="1" x14ac:dyDescent="0.3">
      <c r="K144" s="142"/>
      <c r="L144" s="142"/>
      <c r="M144" s="142"/>
      <c r="N144" s="144"/>
      <c r="O144" s="144"/>
      <c r="AV144" s="69"/>
    </row>
    <row r="145" spans="11:48" s="70" customFormat="1" x14ac:dyDescent="0.3">
      <c r="K145" s="142"/>
      <c r="L145" s="142"/>
      <c r="M145" s="142"/>
      <c r="N145" s="144"/>
      <c r="O145" s="144"/>
      <c r="AV145" s="69"/>
    </row>
    <row r="146" spans="11:48" s="70" customFormat="1" x14ac:dyDescent="0.3">
      <c r="K146" s="142"/>
      <c r="L146" s="142"/>
      <c r="M146" s="142"/>
      <c r="N146" s="144"/>
      <c r="O146" s="144"/>
      <c r="AV146" s="69"/>
    </row>
    <row r="147" spans="11:48" s="70" customFormat="1" x14ac:dyDescent="0.3">
      <c r="K147" s="142"/>
      <c r="L147" s="142"/>
      <c r="M147" s="142"/>
      <c r="N147" s="144"/>
      <c r="O147" s="144"/>
      <c r="AV147" s="69"/>
    </row>
    <row r="148" spans="11:48" s="70" customFormat="1" x14ac:dyDescent="0.3">
      <c r="K148" s="142"/>
      <c r="L148" s="142"/>
      <c r="M148" s="142"/>
      <c r="N148" s="144"/>
      <c r="O148" s="144"/>
      <c r="AV148" s="69"/>
    </row>
    <row r="149" spans="11:48" s="70" customFormat="1" x14ac:dyDescent="0.3">
      <c r="K149" s="142"/>
      <c r="L149" s="142"/>
      <c r="M149" s="142"/>
      <c r="N149" s="144"/>
      <c r="O149" s="144"/>
      <c r="AV149" s="69"/>
    </row>
    <row r="150" spans="11:48" s="70" customFormat="1" x14ac:dyDescent="0.3">
      <c r="K150" s="142"/>
      <c r="L150" s="142"/>
      <c r="M150" s="142"/>
      <c r="N150" s="144"/>
      <c r="O150" s="144"/>
      <c r="AV150" s="69"/>
    </row>
    <row r="151" spans="11:48" s="70" customFormat="1" x14ac:dyDescent="0.3">
      <c r="K151" s="142"/>
      <c r="L151" s="142"/>
      <c r="M151" s="142"/>
      <c r="N151" s="144"/>
      <c r="O151" s="144"/>
      <c r="AV151" s="69"/>
    </row>
    <row r="152" spans="11:48" s="70" customFormat="1" x14ac:dyDescent="0.3">
      <c r="K152" s="142"/>
      <c r="L152" s="142"/>
      <c r="M152" s="142"/>
      <c r="N152" s="144"/>
      <c r="O152" s="144"/>
      <c r="AV152" s="69"/>
    </row>
    <row r="153" spans="11:48" s="70" customFormat="1" x14ac:dyDescent="0.3">
      <c r="K153" s="142"/>
      <c r="L153" s="142"/>
      <c r="M153" s="142"/>
      <c r="N153" s="144"/>
      <c r="O153" s="144"/>
      <c r="AV153" s="69"/>
    </row>
    <row r="154" spans="11:48" s="70" customFormat="1" x14ac:dyDescent="0.3">
      <c r="K154" s="142"/>
      <c r="L154" s="142"/>
      <c r="M154" s="142"/>
      <c r="N154" s="144"/>
      <c r="O154" s="144"/>
      <c r="AV154" s="69"/>
    </row>
    <row r="155" spans="11:48" s="70" customFormat="1" x14ac:dyDescent="0.3">
      <c r="K155" s="142"/>
      <c r="L155" s="142"/>
      <c r="M155" s="142"/>
      <c r="N155" s="144"/>
      <c r="O155" s="144"/>
      <c r="AV155" s="69"/>
    </row>
    <row r="156" spans="11:48" s="70" customFormat="1" x14ac:dyDescent="0.3">
      <c r="K156" s="142"/>
      <c r="L156" s="142"/>
      <c r="M156" s="142"/>
      <c r="N156" s="144"/>
      <c r="O156" s="144"/>
      <c r="AV156" s="69"/>
    </row>
    <row r="157" spans="11:48" s="70" customFormat="1" x14ac:dyDescent="0.3">
      <c r="K157" s="142"/>
      <c r="L157" s="142"/>
      <c r="M157" s="142"/>
      <c r="N157" s="144"/>
      <c r="O157" s="144"/>
      <c r="AV157" s="69"/>
    </row>
    <row r="158" spans="11:48" s="70" customFormat="1" x14ac:dyDescent="0.3">
      <c r="K158" s="142"/>
      <c r="L158" s="142"/>
      <c r="M158" s="142"/>
      <c r="N158" s="144"/>
      <c r="O158" s="144"/>
      <c r="AV158" s="69"/>
    </row>
    <row r="159" spans="11:48" s="70" customFormat="1" x14ac:dyDescent="0.3">
      <c r="K159" s="142"/>
      <c r="L159" s="142"/>
      <c r="M159" s="142"/>
      <c r="N159" s="144"/>
      <c r="O159" s="144"/>
      <c r="AV159" s="69"/>
    </row>
    <row r="160" spans="11:48" s="70" customFormat="1" x14ac:dyDescent="0.3">
      <c r="K160" s="142"/>
      <c r="L160" s="142"/>
      <c r="M160" s="142"/>
      <c r="N160" s="144"/>
      <c r="O160" s="144"/>
      <c r="AV160" s="69"/>
    </row>
    <row r="161" spans="1:49" s="70" customFormat="1" x14ac:dyDescent="0.3">
      <c r="K161" s="142"/>
      <c r="L161" s="142"/>
      <c r="M161" s="142"/>
      <c r="N161" s="144"/>
      <c r="O161" s="144"/>
      <c r="AV161" s="69"/>
    </row>
    <row r="162" spans="1:49" s="70" customFormat="1" x14ac:dyDescent="0.3">
      <c r="K162" s="142"/>
      <c r="L162" s="142"/>
      <c r="M162" s="142"/>
      <c r="N162" s="144"/>
      <c r="O162" s="144"/>
      <c r="AV162" s="69"/>
    </row>
    <row r="163" spans="1:49" s="70" customFormat="1" x14ac:dyDescent="0.3">
      <c r="K163" s="142"/>
      <c r="L163" s="142"/>
      <c r="M163" s="142"/>
      <c r="N163" s="144"/>
      <c r="O163" s="144"/>
      <c r="AV163" s="69"/>
    </row>
    <row r="164" spans="1:49" s="70" customFormat="1" x14ac:dyDescent="0.3">
      <c r="K164" s="142"/>
      <c r="L164" s="142"/>
      <c r="M164" s="142"/>
      <c r="N164" s="144"/>
      <c r="O164" s="144"/>
      <c r="AV164" s="69"/>
    </row>
    <row r="165" spans="1:49" s="70" customFormat="1" x14ac:dyDescent="0.3">
      <c r="K165" s="142"/>
      <c r="L165" s="142"/>
      <c r="M165" s="142"/>
      <c r="N165" s="144"/>
      <c r="O165" s="144"/>
      <c r="AV165" s="69"/>
    </row>
    <row r="166" spans="1:49" s="70" customFormat="1" x14ac:dyDescent="0.3">
      <c r="K166" s="142"/>
      <c r="L166" s="142"/>
      <c r="M166" s="142"/>
      <c r="N166" s="144"/>
      <c r="O166" s="144"/>
      <c r="AV166" s="69"/>
    </row>
    <row r="167" spans="1:49" s="70" customFormat="1" x14ac:dyDescent="0.3">
      <c r="K167" s="142"/>
      <c r="L167" s="142"/>
      <c r="M167" s="142"/>
      <c r="N167" s="144"/>
      <c r="O167" s="144"/>
      <c r="AV167" s="69"/>
    </row>
    <row r="168" spans="1:49" s="70" customFormat="1" x14ac:dyDescent="0.3">
      <c r="K168" s="142"/>
      <c r="L168" s="142"/>
      <c r="M168" s="142"/>
      <c r="N168" s="144"/>
      <c r="O168" s="144"/>
      <c r="AV168" s="69"/>
    </row>
    <row r="169" spans="1:49" s="70" customFormat="1" x14ac:dyDescent="0.3">
      <c r="K169" s="142"/>
      <c r="L169" s="142"/>
      <c r="M169" s="142"/>
      <c r="N169" s="144"/>
      <c r="O169" s="144"/>
      <c r="AV169" s="69"/>
    </row>
    <row r="170" spans="1:49" s="70" customFormat="1" x14ac:dyDescent="0.3">
      <c r="K170" s="142"/>
      <c r="L170" s="142"/>
      <c r="M170" s="142"/>
      <c r="N170" s="144"/>
      <c r="O170" s="144"/>
      <c r="AV170" s="69"/>
    </row>
    <row r="171" spans="1:49" s="70" customFormat="1" x14ac:dyDescent="0.3">
      <c r="K171" s="142"/>
      <c r="L171" s="142"/>
      <c r="M171" s="142"/>
      <c r="N171" s="144"/>
      <c r="O171" s="144"/>
      <c r="AV171" s="69"/>
    </row>
    <row r="172" spans="1:49" s="70" customFormat="1" x14ac:dyDescent="0.3">
      <c r="K172" s="142"/>
      <c r="L172" s="142"/>
      <c r="M172" s="142"/>
      <c r="N172" s="144"/>
      <c r="O172" s="144"/>
      <c r="AV172" s="69"/>
    </row>
    <row r="173" spans="1:49" s="70" customFormat="1" x14ac:dyDescent="0.3">
      <c r="K173" s="142"/>
      <c r="L173" s="142"/>
      <c r="M173" s="142"/>
      <c r="N173" s="144"/>
      <c r="O173" s="144"/>
      <c r="AV173" s="69"/>
    </row>
    <row r="174" spans="1:49" s="145" customFormat="1" x14ac:dyDescent="0.3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142"/>
      <c r="L174" s="142"/>
      <c r="M174" s="142"/>
      <c r="N174" s="144"/>
      <c r="O174" s="144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69"/>
      <c r="AW174" s="70"/>
    </row>
    <row r="175" spans="1:49" s="145" customFormat="1" x14ac:dyDescent="0.3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142"/>
      <c r="L175" s="142"/>
      <c r="M175" s="142"/>
      <c r="N175" s="144"/>
      <c r="O175" s="144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69"/>
      <c r="AW175" s="70"/>
    </row>
    <row r="176" spans="1:49" s="145" customFormat="1" x14ac:dyDescent="0.3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142"/>
      <c r="L176" s="142"/>
      <c r="M176" s="142"/>
      <c r="N176" s="144"/>
      <c r="O176" s="144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69"/>
      <c r="AW176" s="70"/>
    </row>
    <row r="177" spans="1:49" s="145" customFormat="1" x14ac:dyDescent="0.3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142"/>
      <c r="L177" s="142"/>
      <c r="M177" s="142"/>
      <c r="N177" s="147"/>
      <c r="O177" s="144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69"/>
      <c r="AW177" s="70"/>
    </row>
    <row r="178" spans="1:49" s="145" customFormat="1" x14ac:dyDescent="0.3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142"/>
      <c r="L178" s="142"/>
      <c r="M178" s="142"/>
      <c r="N178" s="147"/>
      <c r="O178" s="144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69"/>
      <c r="AW178" s="70"/>
    </row>
    <row r="179" spans="1:49" s="145" customFormat="1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142"/>
      <c r="L179" s="142"/>
      <c r="M179" s="142"/>
      <c r="N179" s="147"/>
      <c r="O179" s="144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69"/>
      <c r="AW179" s="70"/>
    </row>
    <row r="180" spans="1:49" s="145" customFormat="1" x14ac:dyDescent="0.3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142"/>
      <c r="L180" s="142"/>
      <c r="M180" s="142"/>
      <c r="N180" s="147"/>
      <c r="O180" s="144"/>
      <c r="P180" s="149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69"/>
      <c r="AW180" s="70"/>
    </row>
    <row r="181" spans="1:49" s="145" customFormat="1" x14ac:dyDescent="0.3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142"/>
      <c r="L181" s="142"/>
      <c r="M181" s="142"/>
      <c r="N181" s="147"/>
      <c r="O181" s="144"/>
      <c r="P181" s="149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69"/>
      <c r="AW181" s="70"/>
    </row>
    <row r="182" spans="1:49" s="145" customFormat="1" x14ac:dyDescent="0.3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142"/>
      <c r="L182" s="142"/>
      <c r="M182" s="142"/>
      <c r="N182" s="147"/>
      <c r="O182" s="147"/>
      <c r="P182" s="149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69"/>
      <c r="AW182" s="70"/>
    </row>
    <row r="183" spans="1:49" s="145" customFormat="1" x14ac:dyDescent="0.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142"/>
      <c r="L183" s="142"/>
      <c r="M183" s="142"/>
      <c r="N183" s="147"/>
      <c r="O183" s="147"/>
      <c r="P183" s="149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69"/>
      <c r="AW183" s="70"/>
    </row>
    <row r="184" spans="1:49" s="145" customFormat="1" x14ac:dyDescent="0.3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142"/>
      <c r="L184" s="142"/>
      <c r="M184" s="142"/>
      <c r="N184" s="147"/>
      <c r="O184" s="147"/>
      <c r="P184" s="149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69"/>
      <c r="AW184" s="70"/>
    </row>
    <row r="185" spans="1:49" s="145" customFormat="1" x14ac:dyDescent="0.3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142"/>
      <c r="L185" s="142"/>
      <c r="M185" s="142"/>
      <c r="N185" s="147"/>
      <c r="O185" s="147"/>
      <c r="P185" s="149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69"/>
      <c r="AW185" s="70"/>
    </row>
    <row r="186" spans="1:49" s="145" customFormat="1" x14ac:dyDescent="0.3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146"/>
      <c r="L186" s="146"/>
      <c r="M186" s="146"/>
      <c r="N186" s="147"/>
      <c r="O186" s="147"/>
      <c r="P186" s="149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69"/>
      <c r="AW186" s="70"/>
    </row>
    <row r="187" spans="1:49" s="145" customFormat="1" x14ac:dyDescent="0.3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146"/>
      <c r="L187" s="146"/>
      <c r="M187" s="146"/>
      <c r="N187" s="147"/>
      <c r="O187" s="147"/>
      <c r="P187" s="149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69"/>
      <c r="AW187" s="70"/>
    </row>
    <row r="188" spans="1:49" s="145" customFormat="1" x14ac:dyDescent="0.3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146"/>
      <c r="L188" s="146"/>
      <c r="M188" s="146"/>
      <c r="N188" s="147"/>
      <c r="O188" s="147"/>
      <c r="P188" s="149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69"/>
      <c r="AW188" s="70"/>
    </row>
    <row r="189" spans="1:49" s="145" customFormat="1" x14ac:dyDescent="0.3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146"/>
      <c r="L189" s="146"/>
      <c r="M189" s="146"/>
      <c r="N189" s="147"/>
      <c r="O189" s="147"/>
      <c r="P189" s="149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69"/>
      <c r="AW189" s="70"/>
    </row>
    <row r="190" spans="1:49" s="145" customFormat="1" x14ac:dyDescent="0.3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146"/>
      <c r="L190" s="146"/>
      <c r="M190" s="146"/>
      <c r="N190" s="147"/>
      <c r="O190" s="147"/>
      <c r="P190" s="149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69"/>
      <c r="AW190" s="70"/>
    </row>
    <row r="191" spans="1:49" x14ac:dyDescent="0.3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146"/>
      <c r="L191" s="146"/>
      <c r="M191" s="146"/>
      <c r="N191" s="147"/>
      <c r="O191" s="147"/>
      <c r="P191" s="149"/>
      <c r="AV191" s="148"/>
      <c r="AW191" s="148"/>
    </row>
    <row r="192" spans="1:49" x14ac:dyDescent="0.3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146"/>
      <c r="L192" s="146"/>
      <c r="M192" s="146"/>
      <c r="N192" s="147"/>
      <c r="O192" s="147"/>
      <c r="AV192" s="148"/>
      <c r="AW192" s="148"/>
    </row>
    <row r="193" spans="1:49" x14ac:dyDescent="0.3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146"/>
      <c r="L193" s="146"/>
      <c r="M193" s="146"/>
      <c r="N193" s="147"/>
      <c r="O193" s="147"/>
      <c r="AV193" s="148"/>
      <c r="AW193" s="148"/>
    </row>
    <row r="194" spans="1:49" x14ac:dyDescent="0.3">
      <c r="A194" s="149"/>
      <c r="B194" s="149"/>
      <c r="C194" s="149"/>
      <c r="D194" s="149"/>
      <c r="E194" s="149"/>
      <c r="F194" s="70"/>
      <c r="G194" s="70"/>
      <c r="H194" s="70"/>
      <c r="I194" s="70"/>
      <c r="J194" s="70"/>
      <c r="K194" s="146"/>
      <c r="L194" s="146"/>
      <c r="M194" s="146"/>
      <c r="O194" s="147"/>
      <c r="AV194" s="148"/>
      <c r="AW194" s="148"/>
    </row>
    <row r="195" spans="1:49" x14ac:dyDescent="0.3">
      <c r="A195" s="149"/>
      <c r="B195" s="149"/>
      <c r="C195" s="149"/>
      <c r="D195" s="149"/>
      <c r="E195" s="149"/>
      <c r="F195" s="149"/>
      <c r="G195" s="149"/>
      <c r="H195" s="149"/>
      <c r="I195" s="70"/>
      <c r="J195" s="70"/>
      <c r="K195" s="146"/>
      <c r="L195" s="146"/>
      <c r="M195" s="146"/>
      <c r="O195" s="147"/>
      <c r="AV195" s="148"/>
      <c r="AW195" s="148"/>
    </row>
    <row r="196" spans="1:49" x14ac:dyDescent="0.3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6"/>
      <c r="L196" s="146"/>
      <c r="M196" s="146"/>
      <c r="O196" s="147"/>
      <c r="AV196" s="148"/>
      <c r="AW196" s="148"/>
    </row>
    <row r="197" spans="1:49" x14ac:dyDescent="0.3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6"/>
      <c r="L197" s="146"/>
      <c r="M197" s="146"/>
      <c r="O197" s="147"/>
      <c r="AV197" s="148"/>
      <c r="AW197" s="148"/>
    </row>
    <row r="198" spans="1:49" x14ac:dyDescent="0.3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6"/>
      <c r="L198" s="146"/>
      <c r="M198" s="146"/>
      <c r="N198" s="148"/>
      <c r="O198" s="147"/>
      <c r="AV198" s="148"/>
      <c r="AW198" s="148"/>
    </row>
    <row r="199" spans="1:49" x14ac:dyDescent="0.3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6"/>
      <c r="L199" s="146"/>
      <c r="M199" s="146"/>
      <c r="AV199" s="148"/>
      <c r="AW199" s="148"/>
    </row>
    <row r="200" spans="1:49" x14ac:dyDescent="0.3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6"/>
      <c r="L200" s="146"/>
      <c r="M200" s="146"/>
      <c r="AV200" s="148"/>
      <c r="AW200" s="148"/>
    </row>
    <row r="201" spans="1:49" x14ac:dyDescent="0.3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6"/>
      <c r="L201" s="146"/>
      <c r="M201" s="146"/>
      <c r="AV201" s="148"/>
      <c r="AW201" s="148"/>
    </row>
    <row r="202" spans="1:49" x14ac:dyDescent="0.3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6"/>
      <c r="L202" s="146"/>
      <c r="M202" s="146"/>
      <c r="AV202" s="148"/>
      <c r="AW202" s="148"/>
    </row>
    <row r="203" spans="1:49" x14ac:dyDescent="0.3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</row>
    <row r="204" spans="1:49" x14ac:dyDescent="0.3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69"/>
      <c r="AJ204" s="69"/>
      <c r="AK204" s="69"/>
      <c r="AL204" s="69"/>
      <c r="AM204" s="69"/>
      <c r="AN204" s="69"/>
      <c r="AO204" s="69"/>
      <c r="AP204" s="69"/>
      <c r="AQ204" s="69"/>
      <c r="AR204" s="69"/>
      <c r="AS204" s="69"/>
      <c r="AT204" s="69"/>
      <c r="AU204" s="69"/>
      <c r="AV204" s="148"/>
      <c r="AW204" s="148"/>
    </row>
    <row r="205" spans="1:49" x14ac:dyDescent="0.3">
      <c r="A205" s="149"/>
      <c r="B205" s="149"/>
      <c r="C205" s="149"/>
      <c r="D205" s="149"/>
      <c r="E205" s="149"/>
      <c r="F205" s="149"/>
      <c r="G205" s="149"/>
      <c r="H205" s="149"/>
      <c r="I205" s="149"/>
      <c r="J205" s="149"/>
    </row>
    <row r="206" spans="1:49" x14ac:dyDescent="0.3">
      <c r="A206" s="149"/>
      <c r="B206" s="149"/>
      <c r="C206" s="149"/>
      <c r="D206" s="149"/>
      <c r="E206" s="149"/>
      <c r="F206" s="149"/>
      <c r="G206" s="149"/>
      <c r="H206" s="149"/>
      <c r="I206" s="149"/>
      <c r="J206" s="149"/>
    </row>
    <row r="207" spans="1:49" x14ac:dyDescent="0.3">
      <c r="A207" s="149"/>
      <c r="B207" s="149"/>
      <c r="C207" s="149"/>
      <c r="D207" s="149"/>
      <c r="E207" s="149"/>
      <c r="F207" s="149"/>
      <c r="G207" s="149"/>
      <c r="H207" s="149"/>
      <c r="I207" s="149"/>
      <c r="J207" s="149"/>
    </row>
    <row r="208" spans="1:49" x14ac:dyDescent="0.3">
      <c r="A208" s="149"/>
      <c r="B208" s="149"/>
      <c r="C208" s="149"/>
      <c r="D208" s="149"/>
      <c r="E208" s="149"/>
      <c r="F208" s="149"/>
      <c r="G208" s="149"/>
      <c r="H208" s="149"/>
      <c r="I208" s="149"/>
      <c r="J208" s="149"/>
    </row>
    <row r="209" spans="1:13" x14ac:dyDescent="0.3">
      <c r="A209" s="149"/>
      <c r="B209" s="149"/>
      <c r="C209" s="149"/>
      <c r="D209" s="149"/>
      <c r="E209" s="149"/>
      <c r="F209" s="149"/>
      <c r="G209" s="149"/>
      <c r="H209" s="149"/>
      <c r="I209" s="149"/>
      <c r="J209" s="149"/>
    </row>
    <row r="210" spans="1:13" x14ac:dyDescent="0.3">
      <c r="A210" s="149"/>
      <c r="B210" s="149"/>
      <c r="C210" s="149"/>
      <c r="D210" s="149"/>
      <c r="E210" s="149"/>
      <c r="F210" s="149"/>
      <c r="G210" s="149"/>
      <c r="H210" s="149"/>
      <c r="I210" s="149"/>
      <c r="J210" s="149"/>
    </row>
    <row r="211" spans="1:13" x14ac:dyDescent="0.3">
      <c r="F211" s="149"/>
      <c r="G211" s="149"/>
      <c r="H211" s="149"/>
      <c r="I211" s="149"/>
      <c r="J211" s="149"/>
    </row>
    <row r="212" spans="1:13" x14ac:dyDescent="0.3">
      <c r="I212" s="149"/>
      <c r="J212" s="149"/>
    </row>
    <row r="216" spans="1:13" x14ac:dyDescent="0.3">
      <c r="K216" s="148"/>
      <c r="L216" s="148"/>
      <c r="M216" s="148"/>
    </row>
    <row r="1048536" spans="16:16" x14ac:dyDescent="0.3">
      <c r="P1048536" s="57"/>
    </row>
    <row r="1048548" spans="1:60" s="70" customFormat="1" x14ac:dyDescent="0.3">
      <c r="A1048548" s="148"/>
      <c r="B1048548" s="148"/>
      <c r="C1048548" s="148"/>
      <c r="D1048548" s="148"/>
      <c r="E1048548" s="148"/>
      <c r="F1048548" s="148"/>
      <c r="G1048548" s="148"/>
      <c r="H1048548" s="148"/>
      <c r="I1048548" s="148"/>
      <c r="J1048548" s="148"/>
      <c r="K1048548" s="150"/>
      <c r="L1048548" s="150"/>
      <c r="M1048548" s="150"/>
      <c r="N1048548" s="150"/>
      <c r="O1048548" s="150"/>
      <c r="P1048548" s="148"/>
      <c r="AV1048548" s="69"/>
      <c r="AW1048548" s="69"/>
      <c r="AX1048548" s="148"/>
      <c r="AY1048548" s="148"/>
      <c r="AZ1048548" s="148"/>
      <c r="BA1048548" s="148"/>
      <c r="BB1048548" s="148"/>
      <c r="BC1048548" s="148"/>
      <c r="BD1048548" s="148"/>
      <c r="BE1048548" s="148"/>
      <c r="BF1048548" s="148"/>
      <c r="BG1048548" s="148"/>
      <c r="BH1048548" s="148"/>
    </row>
  </sheetData>
  <mergeCells count="42">
    <mergeCell ref="E44:J44"/>
    <mergeCell ref="E45:J45"/>
    <mergeCell ref="A46:J46"/>
    <mergeCell ref="A38:P38"/>
    <mergeCell ref="A1:P1"/>
    <mergeCell ref="A2:P2"/>
    <mergeCell ref="A7:B7"/>
    <mergeCell ref="A8:P8"/>
    <mergeCell ref="A37:B37"/>
    <mergeCell ref="E39:J39"/>
    <mergeCell ref="E40:J40"/>
    <mergeCell ref="E41:J41"/>
    <mergeCell ref="E42:J42"/>
    <mergeCell ref="E43:J43"/>
    <mergeCell ref="N46:P46"/>
    <mergeCell ref="A47:N47"/>
    <mergeCell ref="A48:P48"/>
    <mergeCell ref="N62:P62"/>
    <mergeCell ref="E50:J50"/>
    <mergeCell ref="E51:J51"/>
    <mergeCell ref="E52:J52"/>
    <mergeCell ref="E53:J53"/>
    <mergeCell ref="E54:J54"/>
    <mergeCell ref="A55:J55"/>
    <mergeCell ref="A57:E57"/>
    <mergeCell ref="N57:P57"/>
    <mergeCell ref="N58:O58"/>
    <mergeCell ref="N59:O59"/>
    <mergeCell ref="N60:P61"/>
    <mergeCell ref="E49:J49"/>
    <mergeCell ref="N74:O74"/>
    <mergeCell ref="N63:O63"/>
    <mergeCell ref="N64:O64"/>
    <mergeCell ref="N65:O65"/>
    <mergeCell ref="N66:O66"/>
    <mergeCell ref="N67:O67"/>
    <mergeCell ref="N68:O68"/>
    <mergeCell ref="N69:O69"/>
    <mergeCell ref="N70:O70"/>
    <mergeCell ref="N71:O71"/>
    <mergeCell ref="N72:O72"/>
    <mergeCell ref="N73:P73"/>
  </mergeCells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85A58-BABF-4238-8FCA-74932BDEC499}">
  <dimension ref="A1:BH1048546"/>
  <sheetViews>
    <sheetView workbookViewId="0">
      <selection sqref="A1:XFD1048576"/>
    </sheetView>
  </sheetViews>
  <sheetFormatPr defaultColWidth="9.109375" defaultRowHeight="13.8" x14ac:dyDescent="0.3"/>
  <cols>
    <col min="1" max="1" width="50.6640625" style="148" bestFit="1" customWidth="1"/>
    <col min="2" max="2" width="8.33203125" style="148" bestFit="1" customWidth="1"/>
    <col min="3" max="3" width="17.33203125" style="148" customWidth="1"/>
    <col min="4" max="4" width="17.109375" style="148" bestFit="1" customWidth="1"/>
    <col min="5" max="5" width="18.33203125" style="148" customWidth="1"/>
    <col min="6" max="6" width="17.109375" style="148" bestFit="1" customWidth="1"/>
    <col min="7" max="7" width="16" style="148" bestFit="1" customWidth="1"/>
    <col min="8" max="8" width="15.88671875" style="148" bestFit="1" customWidth="1"/>
    <col min="9" max="9" width="12.6640625" style="148" customWidth="1"/>
    <col min="10" max="10" width="13.6640625" style="148" bestFit="1" customWidth="1"/>
    <col min="11" max="11" width="16.77734375" style="150" bestFit="1" customWidth="1"/>
    <col min="12" max="12" width="15.88671875" style="150" bestFit="1" customWidth="1"/>
    <col min="13" max="13" width="17.109375" style="150" bestFit="1" customWidth="1"/>
    <col min="14" max="14" width="138.6640625" style="150" customWidth="1"/>
    <col min="15" max="15" width="8.6640625" style="150" customWidth="1"/>
    <col min="16" max="16" width="16.77734375" style="148" bestFit="1" customWidth="1"/>
    <col min="17" max="18" width="13.109375" style="70" bestFit="1" customWidth="1"/>
    <col min="19" max="47" width="9.109375" style="70"/>
    <col min="48" max="49" width="9.109375" style="69"/>
    <col min="50" max="16384" width="9.109375" style="148"/>
  </cols>
  <sheetData>
    <row r="1" spans="1:42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</row>
    <row r="2" spans="1:42" s="10" customFormat="1" ht="28.5" customHeight="1" x14ac:dyDescent="0.3">
      <c r="A2" s="571" t="s">
        <v>1112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3"/>
    </row>
    <row r="3" spans="1:42" s="10" customFormat="1" ht="33.6" customHeight="1" x14ac:dyDescent="0.3">
      <c r="A3" s="83" t="s">
        <v>3</v>
      </c>
      <c r="B3" s="83" t="s">
        <v>0</v>
      </c>
      <c r="C3" s="83" t="s">
        <v>821</v>
      </c>
      <c r="D3" s="84" t="s">
        <v>1</v>
      </c>
      <c r="E3" s="84" t="s">
        <v>68</v>
      </c>
      <c r="F3" s="84" t="s">
        <v>69</v>
      </c>
      <c r="G3" s="85" t="s">
        <v>2</v>
      </c>
      <c r="H3" s="85" t="s">
        <v>592</v>
      </c>
      <c r="I3" s="84" t="s">
        <v>6</v>
      </c>
      <c r="J3" s="84" t="s">
        <v>7</v>
      </c>
      <c r="K3" s="84" t="s">
        <v>4</v>
      </c>
      <c r="L3" s="84" t="s">
        <v>5</v>
      </c>
      <c r="M3" s="84" t="s">
        <v>70</v>
      </c>
      <c r="N3" s="83" t="s">
        <v>59</v>
      </c>
      <c r="O3" s="86" t="s">
        <v>8</v>
      </c>
      <c r="P3" s="86" t="s">
        <v>10</v>
      </c>
    </row>
    <row r="4" spans="1:42" s="203" customFormat="1" ht="25.05" customHeight="1" x14ac:dyDescent="0.3">
      <c r="A4" s="195"/>
      <c r="B4" s="193"/>
      <c r="C4" s="193"/>
      <c r="D4" s="196">
        <v>0</v>
      </c>
      <c r="E4" s="192">
        <v>0</v>
      </c>
      <c r="F4" s="192">
        <f t="shared" ref="F4:F6" si="0">D4-E4</f>
        <v>0</v>
      </c>
      <c r="G4" s="196">
        <v>0</v>
      </c>
      <c r="H4" s="192">
        <v>0</v>
      </c>
      <c r="I4" s="192">
        <v>0</v>
      </c>
      <c r="J4" s="192">
        <v>0</v>
      </c>
      <c r="K4" s="191">
        <f>SUM(F4:J4)</f>
        <v>0</v>
      </c>
      <c r="L4" s="192">
        <f>60%*(D4+G4)</f>
        <v>0</v>
      </c>
      <c r="M4" s="192">
        <f>K4-L4</f>
        <v>0</v>
      </c>
      <c r="N4" s="196"/>
      <c r="O4" s="197"/>
      <c r="P4" s="197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1"/>
      <c r="AM4" s="202"/>
      <c r="AN4" s="202"/>
      <c r="AO4" s="202"/>
      <c r="AP4" s="202"/>
    </row>
    <row r="5" spans="1:42" s="206" customFormat="1" ht="25.05" customHeight="1" x14ac:dyDescent="0.3">
      <c r="A5" s="193"/>
      <c r="B5" s="193"/>
      <c r="C5" s="193"/>
      <c r="D5" s="196">
        <v>0</v>
      </c>
      <c r="E5" s="192">
        <v>0</v>
      </c>
      <c r="F5" s="196">
        <f t="shared" si="0"/>
        <v>0</v>
      </c>
      <c r="G5" s="192">
        <v>0</v>
      </c>
      <c r="H5" s="192">
        <v>0</v>
      </c>
      <c r="I5" s="192">
        <v>0</v>
      </c>
      <c r="J5" s="192">
        <v>0</v>
      </c>
      <c r="K5" s="191">
        <f>SUM(F5:J5)</f>
        <v>0</v>
      </c>
      <c r="L5" s="192">
        <f>60%*(D5+G5)</f>
        <v>0</v>
      </c>
      <c r="M5" s="192">
        <f>K5-L5</f>
        <v>0</v>
      </c>
      <c r="N5" s="196"/>
      <c r="O5" s="197"/>
      <c r="P5" s="197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</row>
    <row r="6" spans="1:42" s="206" customFormat="1" ht="25.05" customHeight="1" x14ac:dyDescent="0.3">
      <c r="A6" s="193"/>
      <c r="B6" s="193"/>
      <c r="C6" s="193"/>
      <c r="D6" s="196">
        <v>0</v>
      </c>
      <c r="E6" s="192">
        <v>0</v>
      </c>
      <c r="F6" s="196">
        <f t="shared" si="0"/>
        <v>0</v>
      </c>
      <c r="G6" s="196">
        <v>0</v>
      </c>
      <c r="H6" s="192">
        <v>0</v>
      </c>
      <c r="I6" s="192">
        <v>0</v>
      </c>
      <c r="J6" s="196">
        <v>0</v>
      </c>
      <c r="K6" s="191">
        <f>SUM(F6:J6)</f>
        <v>0</v>
      </c>
      <c r="L6" s="192">
        <f>60%*(D6+G6)</f>
        <v>0</v>
      </c>
      <c r="M6" s="192">
        <f>K6-L6</f>
        <v>0</v>
      </c>
      <c r="N6" s="196"/>
      <c r="O6" s="197"/>
      <c r="P6" s="197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  <c r="AD6" s="205"/>
      <c r="AE6" s="205"/>
      <c r="AF6" s="205"/>
      <c r="AG6" s="205"/>
      <c r="AH6" s="205"/>
      <c r="AI6" s="205"/>
      <c r="AJ6" s="205"/>
      <c r="AK6" s="205"/>
      <c r="AL6" s="205"/>
      <c r="AM6" s="205"/>
      <c r="AN6" s="205"/>
      <c r="AO6" s="205"/>
      <c r="AP6" s="205"/>
    </row>
    <row r="7" spans="1:42" s="10" customFormat="1" ht="25.05" customHeight="1" x14ac:dyDescent="0.3">
      <c r="A7" s="518" t="s">
        <v>4</v>
      </c>
      <c r="B7" s="518"/>
      <c r="C7" s="95"/>
      <c r="D7" s="109">
        <f>SUM(D4:D6)</f>
        <v>0</v>
      </c>
      <c r="E7" s="109">
        <f t="shared" ref="E7:J7" si="1">SUM(E4:E6)</f>
        <v>0</v>
      </c>
      <c r="F7" s="109">
        <f t="shared" si="1"/>
        <v>0</v>
      </c>
      <c r="G7" s="109">
        <f t="shared" si="1"/>
        <v>0</v>
      </c>
      <c r="H7" s="109">
        <f t="shared" si="1"/>
        <v>0</v>
      </c>
      <c r="I7" s="109">
        <f t="shared" si="1"/>
        <v>0</v>
      </c>
      <c r="J7" s="109">
        <f t="shared" si="1"/>
        <v>0</v>
      </c>
      <c r="K7" s="109">
        <f>SUM(K4:K6)</f>
        <v>0</v>
      </c>
      <c r="L7" s="109">
        <f>SUM(L4:L6)</f>
        <v>0</v>
      </c>
      <c r="M7" s="109">
        <f>SUM(M4:M6)</f>
        <v>0</v>
      </c>
      <c r="N7" s="90"/>
      <c r="O7" s="3"/>
      <c r="P7" s="3"/>
    </row>
    <row r="8" spans="1:42" s="10" customFormat="1" ht="25.05" customHeight="1" x14ac:dyDescent="0.3">
      <c r="A8" s="571" t="s">
        <v>1131</v>
      </c>
      <c r="B8" s="572"/>
      <c r="C8" s="572"/>
      <c r="D8" s="572"/>
      <c r="E8" s="572"/>
      <c r="F8" s="572"/>
      <c r="G8" s="572"/>
      <c r="H8" s="572"/>
      <c r="I8" s="572"/>
      <c r="J8" s="572"/>
      <c r="K8" s="572"/>
      <c r="L8" s="572"/>
      <c r="M8" s="572"/>
      <c r="N8" s="572"/>
      <c r="O8" s="572"/>
      <c r="P8" s="573"/>
    </row>
    <row r="9" spans="1:42" s="11" customFormat="1" ht="34.799999999999997" customHeight="1" x14ac:dyDescent="0.3">
      <c r="A9" s="83" t="s">
        <v>3</v>
      </c>
      <c r="B9" s="83" t="s">
        <v>0</v>
      </c>
      <c r="C9" s="83" t="s">
        <v>821</v>
      </c>
      <c r="D9" s="84" t="s">
        <v>1</v>
      </c>
      <c r="E9" s="84" t="s">
        <v>68</v>
      </c>
      <c r="F9" s="84" t="s">
        <v>69</v>
      </c>
      <c r="G9" s="85" t="s">
        <v>2</v>
      </c>
      <c r="H9" s="85" t="s">
        <v>592</v>
      </c>
      <c r="I9" s="84" t="s">
        <v>6</v>
      </c>
      <c r="J9" s="84" t="s">
        <v>7</v>
      </c>
      <c r="K9" s="84" t="s">
        <v>4</v>
      </c>
      <c r="L9" s="84" t="s">
        <v>5</v>
      </c>
      <c r="M9" s="84" t="s">
        <v>70</v>
      </c>
      <c r="N9" s="83" t="s">
        <v>59</v>
      </c>
      <c r="O9" s="86" t="s">
        <v>8</v>
      </c>
      <c r="P9" s="86" t="s">
        <v>10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</row>
    <row r="10" spans="1:42" s="199" customFormat="1" ht="25.05" customHeight="1" x14ac:dyDescent="0.3">
      <c r="A10" s="195" t="s">
        <v>1079</v>
      </c>
      <c r="B10" s="193">
        <v>1</v>
      </c>
      <c r="C10" s="193" t="s">
        <v>830</v>
      </c>
      <c r="D10" s="196">
        <f>'[2]GERAL 2025'!G3</f>
        <v>610</v>
      </c>
      <c r="E10" s="192">
        <v>0</v>
      </c>
      <c r="F10" s="192">
        <f t="shared" ref="F10:F26" si="2">D10-E10</f>
        <v>610</v>
      </c>
      <c r="G10" s="196">
        <v>50</v>
      </c>
      <c r="H10" s="192">
        <f>(1665.9/27)</f>
        <v>61.7</v>
      </c>
      <c r="I10" s="192">
        <f>'[2]GERAL 2025'!I3</f>
        <v>1.3720449172576832</v>
      </c>
      <c r="J10" s="192">
        <v>0</v>
      </c>
      <c r="K10" s="191">
        <f t="shared" ref="K10:K36" si="3">SUM(F10:J10)</f>
        <v>723.0720449172577</v>
      </c>
      <c r="L10" s="192">
        <f>7%*K10</f>
        <v>50.615043144208045</v>
      </c>
      <c r="M10" s="192">
        <f>K10-L10</f>
        <v>672.45700177304968</v>
      </c>
      <c r="N10" s="196" t="s">
        <v>1132</v>
      </c>
      <c r="O10" s="197">
        <v>10</v>
      </c>
      <c r="P10" s="197">
        <v>11</v>
      </c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</row>
    <row r="11" spans="1:42" s="203" customFormat="1" ht="24.6" customHeight="1" x14ac:dyDescent="0.3">
      <c r="A11" s="193" t="s">
        <v>1004</v>
      </c>
      <c r="B11" s="194">
        <v>2</v>
      </c>
      <c r="C11" s="193" t="s">
        <v>822</v>
      </c>
      <c r="D11" s="196">
        <f>'[2]GERAL 2024'!G41</f>
        <v>610</v>
      </c>
      <c r="E11" s="196">
        <v>0</v>
      </c>
      <c r="F11" s="196">
        <f t="shared" si="2"/>
        <v>610</v>
      </c>
      <c r="G11" s="196">
        <v>0</v>
      </c>
      <c r="H11" s="192">
        <f t="shared" ref="H11:H17" si="4">(1665.9/27)</f>
        <v>61.7</v>
      </c>
      <c r="I11" s="192">
        <f>'[2]GERAL 2025'!I4</f>
        <v>1.3720449172576832</v>
      </c>
      <c r="J11" s="196">
        <v>0</v>
      </c>
      <c r="K11" s="191">
        <f t="shared" si="3"/>
        <v>673.0720449172577</v>
      </c>
      <c r="L11" s="192">
        <f>7%*K11</f>
        <v>47.115043144208045</v>
      </c>
      <c r="M11" s="192">
        <f t="shared" ref="M11:M35" si="5">K11-L11</f>
        <v>625.95700177304968</v>
      </c>
      <c r="N11" s="193" t="s">
        <v>658</v>
      </c>
      <c r="O11" s="197">
        <v>10</v>
      </c>
      <c r="P11" s="197">
        <v>11</v>
      </c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1"/>
      <c r="AM11" s="202"/>
      <c r="AN11" s="202"/>
      <c r="AO11" s="202"/>
      <c r="AP11" s="202"/>
    </row>
    <row r="12" spans="1:42" s="204" customFormat="1" ht="24.6" customHeight="1" x14ac:dyDescent="0.3">
      <c r="A12" s="193" t="s">
        <v>1005</v>
      </c>
      <c r="B12" s="194">
        <v>3</v>
      </c>
      <c r="C12" s="193" t="s">
        <v>822</v>
      </c>
      <c r="D12" s="196">
        <v>0</v>
      </c>
      <c r="E12" s="196">
        <v>0</v>
      </c>
      <c r="F12" s="196">
        <f t="shared" si="2"/>
        <v>0</v>
      </c>
      <c r="G12" s="196">
        <v>0</v>
      </c>
      <c r="H12" s="192">
        <v>0</v>
      </c>
      <c r="I12" s="192">
        <v>0</v>
      </c>
      <c r="J12" s="196">
        <v>0</v>
      </c>
      <c r="K12" s="191">
        <f t="shared" si="3"/>
        <v>0</v>
      </c>
      <c r="L12" s="192">
        <f>7%*K12</f>
        <v>0</v>
      </c>
      <c r="M12" s="192">
        <f t="shared" si="5"/>
        <v>0</v>
      </c>
      <c r="N12" s="193" t="s">
        <v>179</v>
      </c>
      <c r="O12" s="197">
        <v>10</v>
      </c>
      <c r="P12" s="197">
        <v>11</v>
      </c>
      <c r="Q12" s="200"/>
      <c r="R12" s="200"/>
      <c r="S12" s="200"/>
      <c r="T12" s="200"/>
      <c r="U12" s="200"/>
      <c r="V12" s="200"/>
      <c r="W12" s="200"/>
      <c r="X12" s="200"/>
      <c r="Y12" s="200"/>
      <c r="Z12" s="200"/>
      <c r="AA12" s="200"/>
      <c r="AB12" s="200"/>
      <c r="AC12" s="200"/>
      <c r="AD12" s="200"/>
      <c r="AE12" s="200"/>
      <c r="AF12" s="200"/>
      <c r="AG12" s="200"/>
      <c r="AH12" s="200"/>
      <c r="AI12" s="200"/>
      <c r="AJ12" s="200"/>
      <c r="AK12" s="200"/>
      <c r="AL12" s="200"/>
      <c r="AM12" s="200"/>
      <c r="AN12" s="200"/>
      <c r="AO12" s="200"/>
      <c r="AP12" s="200"/>
    </row>
    <row r="13" spans="1:42" s="199" customFormat="1" ht="24.6" customHeight="1" x14ac:dyDescent="0.3">
      <c r="A13" s="209" t="s">
        <v>1133</v>
      </c>
      <c r="B13" s="193">
        <v>4</v>
      </c>
      <c r="C13" s="209" t="s">
        <v>829</v>
      </c>
      <c r="D13" s="196">
        <f>'[2]GERAL 2025'!G34/31*26</f>
        <v>553.54838709677415</v>
      </c>
      <c r="E13" s="196">
        <v>0</v>
      </c>
      <c r="F13" s="196">
        <f t="shared" si="2"/>
        <v>553.54838709677415</v>
      </c>
      <c r="G13" s="192">
        <f>50/31*26</f>
        <v>41.935483870967737</v>
      </c>
      <c r="H13" s="192">
        <f>(1665.9/27)/31*26</f>
        <v>51.748387096774195</v>
      </c>
      <c r="I13" s="192">
        <f>'[2]GERAL 2025'!I34/31*26</f>
        <v>1.1507473499580569</v>
      </c>
      <c r="J13" s="192">
        <v>127.44</v>
      </c>
      <c r="K13" s="191">
        <f t="shared" si="3"/>
        <v>775.82300541447398</v>
      </c>
      <c r="L13" s="192">
        <f>7%*K13</f>
        <v>54.307610379013184</v>
      </c>
      <c r="M13" s="192">
        <f t="shared" si="5"/>
        <v>721.51539503546076</v>
      </c>
      <c r="N13" s="193" t="s">
        <v>1134</v>
      </c>
      <c r="O13" s="197">
        <v>10</v>
      </c>
      <c r="P13" s="194">
        <v>11</v>
      </c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</row>
    <row r="14" spans="1:42" s="199" customFormat="1" ht="25.05" customHeight="1" x14ac:dyDescent="0.3">
      <c r="A14" s="193" t="s">
        <v>744</v>
      </c>
      <c r="B14" s="193">
        <v>5</v>
      </c>
      <c r="C14" s="193" t="s">
        <v>823</v>
      </c>
      <c r="D14" s="196">
        <f>'[2]GERAL 2023'!G7+(6.53784 %*580)</f>
        <v>617.91947200000004</v>
      </c>
      <c r="E14" s="192">
        <v>0</v>
      </c>
      <c r="F14" s="192">
        <f t="shared" si="2"/>
        <v>617.91947200000004</v>
      </c>
      <c r="G14" s="192">
        <f>50</f>
        <v>50</v>
      </c>
      <c r="H14" s="192">
        <f t="shared" si="4"/>
        <v>61.7</v>
      </c>
      <c r="I14" s="192">
        <f>'[2]GERAL 2025'!I7</f>
        <v>1.3720449172576832</v>
      </c>
      <c r="J14" s="192">
        <v>0</v>
      </c>
      <c r="K14" s="191">
        <f t="shared" si="3"/>
        <v>730.99151691725774</v>
      </c>
      <c r="L14" s="192">
        <f>7%*K14</f>
        <v>51.16940618420805</v>
      </c>
      <c r="M14" s="192">
        <f t="shared" si="5"/>
        <v>679.82211073304973</v>
      </c>
      <c r="N14" s="193" t="s">
        <v>1135</v>
      </c>
      <c r="O14" s="197">
        <v>10</v>
      </c>
      <c r="P14" s="197">
        <v>11</v>
      </c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</row>
    <row r="15" spans="1:42" s="206" customFormat="1" ht="24.6" customHeight="1" x14ac:dyDescent="0.3">
      <c r="A15" s="193" t="s">
        <v>745</v>
      </c>
      <c r="B15" s="193">
        <v>6</v>
      </c>
      <c r="C15" s="193" t="s">
        <v>823</v>
      </c>
      <c r="D15" s="196">
        <f>'[2]GERAL 2023'!G8+(6.53784%*680)</f>
        <v>724.457312</v>
      </c>
      <c r="E15" s="196">
        <v>0</v>
      </c>
      <c r="F15" s="192">
        <f t="shared" si="2"/>
        <v>724.457312</v>
      </c>
      <c r="G15" s="192">
        <v>50</v>
      </c>
      <c r="H15" s="192">
        <f t="shared" si="4"/>
        <v>61.7</v>
      </c>
      <c r="I15" s="192">
        <f>'[2]GERAL 2025'!I8</f>
        <v>1.9208628841607567</v>
      </c>
      <c r="J15" s="192">
        <v>0</v>
      </c>
      <c r="K15" s="191">
        <f t="shared" si="3"/>
        <v>838.07817488416083</v>
      </c>
      <c r="L15" s="192">
        <f t="shared" ref="L15:L36" si="6">7%*K15</f>
        <v>58.665472241891266</v>
      </c>
      <c r="M15" s="192">
        <f>K15-L15</f>
        <v>779.41270264226955</v>
      </c>
      <c r="N15" s="193" t="s">
        <v>1135</v>
      </c>
      <c r="O15" s="197">
        <v>10</v>
      </c>
      <c r="P15" s="197">
        <v>11</v>
      </c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205"/>
      <c r="AC15" s="205"/>
      <c r="AD15" s="205"/>
      <c r="AE15" s="205"/>
      <c r="AF15" s="205"/>
      <c r="AG15" s="205"/>
      <c r="AH15" s="205"/>
      <c r="AI15" s="205"/>
      <c r="AJ15" s="205"/>
      <c r="AK15" s="205"/>
      <c r="AL15" s="205"/>
      <c r="AM15" s="205"/>
      <c r="AN15" s="205"/>
      <c r="AO15" s="205"/>
      <c r="AP15" s="205"/>
    </row>
    <row r="16" spans="1:42" s="199" customFormat="1" ht="24.6" customHeight="1" x14ac:dyDescent="0.3">
      <c r="A16" s="209" t="s">
        <v>1136</v>
      </c>
      <c r="B16" s="193">
        <v>7</v>
      </c>
      <c r="C16" s="209" t="s">
        <v>829</v>
      </c>
      <c r="D16" s="196">
        <f>'[2]GERAL 2025'!G35/31*27</f>
        <v>600.9677419354839</v>
      </c>
      <c r="E16" s="192">
        <v>0</v>
      </c>
      <c r="F16" s="196">
        <f t="shared" si="2"/>
        <v>600.9677419354839</v>
      </c>
      <c r="G16" s="192">
        <v>0</v>
      </c>
      <c r="H16" s="192">
        <f>(1665.9/27)/31*27</f>
        <v>53.738709677419358</v>
      </c>
      <c r="I16" s="192">
        <f>'[2]GERAL 2025'!I35/31*27</f>
        <v>1.1950068634179822</v>
      </c>
      <c r="J16" s="192">
        <v>127.8</v>
      </c>
      <c r="K16" s="191">
        <f t="shared" si="3"/>
        <v>783.70145847632125</v>
      </c>
      <c r="L16" s="192">
        <f>7%*K16</f>
        <v>54.859102093342493</v>
      </c>
      <c r="M16" s="192">
        <f t="shared" si="5"/>
        <v>728.84235638297878</v>
      </c>
      <c r="N16" s="193" t="s">
        <v>1137</v>
      </c>
      <c r="O16" s="197">
        <v>10</v>
      </c>
      <c r="P16" s="197">
        <v>11</v>
      </c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</row>
    <row r="17" spans="1:47" s="199" customFormat="1" ht="24.6" customHeight="1" x14ac:dyDescent="0.3">
      <c r="A17" s="193" t="s">
        <v>1085</v>
      </c>
      <c r="B17" s="193">
        <v>8</v>
      </c>
      <c r="C17" s="193" t="s">
        <v>830</v>
      </c>
      <c r="D17" s="196">
        <f>'[2]GERAL 2025'!G10</f>
        <v>640</v>
      </c>
      <c r="E17" s="192">
        <v>0</v>
      </c>
      <c r="F17" s="196">
        <f t="shared" si="2"/>
        <v>640</v>
      </c>
      <c r="G17" s="192">
        <v>0</v>
      </c>
      <c r="H17" s="192">
        <f t="shared" si="4"/>
        <v>61.7</v>
      </c>
      <c r="I17" s="192">
        <f>'[2]GERAL 2025'!I10</f>
        <v>1.3720449172576832</v>
      </c>
      <c r="J17" s="192">
        <v>0</v>
      </c>
      <c r="K17" s="191">
        <f t="shared" si="3"/>
        <v>703.0720449172577</v>
      </c>
      <c r="L17" s="192">
        <f>7%*K17</f>
        <v>49.215043144208046</v>
      </c>
      <c r="M17" s="192">
        <f>K17-L17</f>
        <v>653.85700177304966</v>
      </c>
      <c r="N17" s="196" t="s">
        <v>658</v>
      </c>
      <c r="O17" s="197">
        <v>10</v>
      </c>
      <c r="P17" s="197">
        <v>11</v>
      </c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</row>
    <row r="18" spans="1:47" s="199" customFormat="1" ht="24.6" customHeight="1" x14ac:dyDescent="0.3">
      <c r="A18" s="193" t="s">
        <v>852</v>
      </c>
      <c r="B18" s="193">
        <v>9</v>
      </c>
      <c r="C18" s="193" t="s">
        <v>828</v>
      </c>
      <c r="D18" s="196">
        <f>640+(5.59268%*640)</f>
        <v>675.79315199999996</v>
      </c>
      <c r="E18" s="192">
        <v>0</v>
      </c>
      <c r="F18" s="196">
        <f t="shared" si="2"/>
        <v>675.79315199999996</v>
      </c>
      <c r="G18" s="192">
        <v>0</v>
      </c>
      <c r="H18" s="192">
        <f>(1665.9/27)</f>
        <v>61.7</v>
      </c>
      <c r="I18" s="192">
        <f>'[2]GERAL 2025'!I11</f>
        <v>1.3720449172576832</v>
      </c>
      <c r="J18" s="192">
        <v>0</v>
      </c>
      <c r="K18" s="191">
        <f t="shared" si="3"/>
        <v>738.86519691725766</v>
      </c>
      <c r="L18" s="192">
        <f>7%*K18</f>
        <v>51.720563784208039</v>
      </c>
      <c r="M18" s="192">
        <f>K18-L18</f>
        <v>687.14463313304964</v>
      </c>
      <c r="N18" s="193" t="s">
        <v>658</v>
      </c>
      <c r="O18" s="207">
        <v>10</v>
      </c>
      <c r="P18" s="197">
        <v>11</v>
      </c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</row>
    <row r="19" spans="1:47" s="148" customFormat="1" ht="25.05" customHeight="1" x14ac:dyDescent="0.3">
      <c r="A19" s="194" t="s">
        <v>739</v>
      </c>
      <c r="B19" s="194">
        <v>10</v>
      </c>
      <c r="C19" s="194" t="s">
        <v>825</v>
      </c>
      <c r="D19" s="196">
        <f>'[2]GERAL 2025'!G12</f>
        <v>550</v>
      </c>
      <c r="E19" s="192">
        <v>0</v>
      </c>
      <c r="F19" s="196">
        <f t="shared" si="2"/>
        <v>550</v>
      </c>
      <c r="G19" s="192">
        <v>25</v>
      </c>
      <c r="H19" s="192">
        <f>(1665.9/27)</f>
        <v>61.7</v>
      </c>
      <c r="I19" s="192">
        <f>'[2]GERAL 2025'!I12</f>
        <v>1.3720449172576832</v>
      </c>
      <c r="J19" s="192">
        <v>0</v>
      </c>
      <c r="K19" s="191">
        <f t="shared" si="3"/>
        <v>638.0720449172577</v>
      </c>
      <c r="L19" s="192">
        <f t="shared" si="6"/>
        <v>44.665043144208042</v>
      </c>
      <c r="M19" s="192">
        <f t="shared" si="5"/>
        <v>593.40700177304961</v>
      </c>
      <c r="N19" s="196" t="s">
        <v>1138</v>
      </c>
      <c r="O19" s="197">
        <v>10</v>
      </c>
      <c r="P19" s="194">
        <v>11</v>
      </c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8"/>
      <c r="AR19" s="208"/>
      <c r="AS19" s="208"/>
      <c r="AT19" s="208"/>
      <c r="AU19" s="208"/>
    </row>
    <row r="20" spans="1:47" s="148" customFormat="1" ht="24.6" customHeight="1" x14ac:dyDescent="0.3">
      <c r="A20" s="194" t="s">
        <v>965</v>
      </c>
      <c r="B20" s="194">
        <v>11</v>
      </c>
      <c r="C20" s="194" t="s">
        <v>827</v>
      </c>
      <c r="D20" s="192">
        <f>'[2]GERAL 2024'!G39</f>
        <v>610</v>
      </c>
      <c r="E20" s="192">
        <v>0</v>
      </c>
      <c r="F20" s="196">
        <f t="shared" si="2"/>
        <v>610</v>
      </c>
      <c r="G20" s="192">
        <v>0</v>
      </c>
      <c r="H20" s="192">
        <f t="shared" ref="H20:H36" si="7">(1665.9/27)</f>
        <v>61.7</v>
      </c>
      <c r="I20" s="192">
        <f>'[2]GERAL 2025'!I13</f>
        <v>1.3720449172576832</v>
      </c>
      <c r="J20" s="192">
        <v>0</v>
      </c>
      <c r="K20" s="191">
        <f t="shared" si="3"/>
        <v>673.0720449172577</v>
      </c>
      <c r="L20" s="192">
        <f>7%*K20</f>
        <v>47.115043144208045</v>
      </c>
      <c r="M20" s="192">
        <f t="shared" si="5"/>
        <v>625.95700177304968</v>
      </c>
      <c r="N20" s="193" t="s">
        <v>658</v>
      </c>
      <c r="O20" s="197">
        <v>10</v>
      </c>
      <c r="P20" s="194">
        <v>11</v>
      </c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208"/>
      <c r="AC20" s="208"/>
      <c r="AD20" s="208"/>
      <c r="AE20" s="208"/>
      <c r="AF20" s="208"/>
      <c r="AG20" s="208"/>
      <c r="AH20" s="208"/>
      <c r="AI20" s="208"/>
      <c r="AJ20" s="208"/>
      <c r="AK20" s="208"/>
      <c r="AL20" s="208"/>
      <c r="AM20" s="208"/>
      <c r="AN20" s="208"/>
      <c r="AO20" s="208"/>
      <c r="AP20" s="208"/>
      <c r="AQ20" s="208"/>
      <c r="AR20" s="208"/>
      <c r="AS20" s="208"/>
      <c r="AT20" s="208"/>
      <c r="AU20" s="208"/>
    </row>
    <row r="21" spans="1:47" s="199" customFormat="1" ht="25.05" customHeight="1" x14ac:dyDescent="0.3">
      <c r="A21" s="193" t="s">
        <v>1087</v>
      </c>
      <c r="B21" s="193">
        <v>12</v>
      </c>
      <c r="C21" s="193" t="s">
        <v>830</v>
      </c>
      <c r="D21" s="196">
        <f>'[2]GERAL 2025'!G14</f>
        <v>610</v>
      </c>
      <c r="E21" s="192">
        <v>0</v>
      </c>
      <c r="F21" s="196">
        <f t="shared" si="2"/>
        <v>610</v>
      </c>
      <c r="G21" s="196">
        <v>50</v>
      </c>
      <c r="H21" s="192">
        <f t="shared" si="7"/>
        <v>61.7</v>
      </c>
      <c r="I21" s="192">
        <f>'[2]GERAL 2025'!I14</f>
        <v>1.3720449172576832</v>
      </c>
      <c r="J21" s="196">
        <v>0</v>
      </c>
      <c r="K21" s="191">
        <f t="shared" si="3"/>
        <v>723.0720449172577</v>
      </c>
      <c r="L21" s="192">
        <f t="shared" si="6"/>
        <v>50.615043144208045</v>
      </c>
      <c r="M21" s="192">
        <f t="shared" si="5"/>
        <v>672.45700177304968</v>
      </c>
      <c r="N21" s="196" t="s">
        <v>1135</v>
      </c>
      <c r="O21" s="197">
        <v>10</v>
      </c>
      <c r="P21" s="197">
        <v>11</v>
      </c>
      <c r="Q21" s="198"/>
      <c r="R21" s="198"/>
      <c r="S21" s="198"/>
      <c r="T21" s="198"/>
      <c r="U21" s="198"/>
      <c r="V21" s="198"/>
      <c r="W21" s="198"/>
      <c r="X21" s="198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  <c r="AK21" s="198"/>
      <c r="AL21" s="198"/>
      <c r="AM21" s="198"/>
      <c r="AN21" s="198"/>
      <c r="AO21" s="198"/>
      <c r="AP21" s="198"/>
    </row>
    <row r="22" spans="1:47" s="206" customFormat="1" ht="25.05" customHeight="1" x14ac:dyDescent="0.3">
      <c r="A22" s="193" t="s">
        <v>756</v>
      </c>
      <c r="B22" s="193">
        <v>13</v>
      </c>
      <c r="C22" s="193" t="s">
        <v>827</v>
      </c>
      <c r="D22" s="196">
        <f>'[2]GERAL 2022'!G15</f>
        <v>550</v>
      </c>
      <c r="E22" s="196">
        <v>0</v>
      </c>
      <c r="F22" s="196">
        <f t="shared" si="2"/>
        <v>550</v>
      </c>
      <c r="G22" s="192">
        <v>0</v>
      </c>
      <c r="H22" s="192">
        <f t="shared" si="7"/>
        <v>61.7</v>
      </c>
      <c r="I22" s="192">
        <f>'[2]GERAL 2025'!I15</f>
        <v>1.3720449172576832</v>
      </c>
      <c r="J22" s="192">
        <v>0</v>
      </c>
      <c r="K22" s="191">
        <f t="shared" si="3"/>
        <v>613.0720449172577</v>
      </c>
      <c r="L22" s="192">
        <f t="shared" si="6"/>
        <v>42.915043144208042</v>
      </c>
      <c r="M22" s="192">
        <f t="shared" si="5"/>
        <v>570.15700177304961</v>
      </c>
      <c r="N22" s="193" t="s">
        <v>658</v>
      </c>
      <c r="O22" s="197">
        <v>10</v>
      </c>
      <c r="P22" s="197">
        <v>11</v>
      </c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205"/>
      <c r="AG22" s="205"/>
      <c r="AH22" s="205"/>
      <c r="AI22" s="205"/>
      <c r="AJ22" s="205"/>
      <c r="AK22" s="205"/>
      <c r="AL22" s="205"/>
      <c r="AM22" s="205"/>
      <c r="AN22" s="205"/>
      <c r="AO22" s="205"/>
      <c r="AP22" s="205"/>
    </row>
    <row r="23" spans="1:47" s="148" customFormat="1" ht="24.6" customHeight="1" x14ac:dyDescent="0.3">
      <c r="A23" s="194" t="s">
        <v>747</v>
      </c>
      <c r="B23" s="194">
        <v>14</v>
      </c>
      <c r="C23" s="193" t="s">
        <v>832</v>
      </c>
      <c r="D23" s="196">
        <f>580+(4.52806%*580)</f>
        <v>606.26274799999999</v>
      </c>
      <c r="E23" s="192">
        <v>0</v>
      </c>
      <c r="F23" s="196">
        <f t="shared" si="2"/>
        <v>606.26274799999999</v>
      </c>
      <c r="G23" s="192">
        <f>50</f>
        <v>50</v>
      </c>
      <c r="H23" s="192">
        <f t="shared" si="7"/>
        <v>61.7</v>
      </c>
      <c r="I23" s="192">
        <f>'[2]GERAL 2025'!I16</f>
        <v>1.3720449172576832</v>
      </c>
      <c r="J23" s="192">
        <v>0</v>
      </c>
      <c r="K23" s="191">
        <f t="shared" si="3"/>
        <v>719.33479291725769</v>
      </c>
      <c r="L23" s="192">
        <f t="shared" si="6"/>
        <v>50.353435504208043</v>
      </c>
      <c r="M23" s="192">
        <f t="shared" si="5"/>
        <v>668.98135741304964</v>
      </c>
      <c r="N23" s="193" t="s">
        <v>1135</v>
      </c>
      <c r="O23" s="197">
        <v>10</v>
      </c>
      <c r="P23" s="194">
        <v>11</v>
      </c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  <c r="AD23" s="208"/>
      <c r="AE23" s="208"/>
      <c r="AF23" s="208"/>
      <c r="AG23" s="208"/>
      <c r="AH23" s="208"/>
      <c r="AI23" s="208"/>
      <c r="AJ23" s="208"/>
      <c r="AK23" s="208"/>
      <c r="AL23" s="208"/>
      <c r="AM23" s="208"/>
      <c r="AN23" s="208"/>
      <c r="AO23" s="208"/>
      <c r="AP23" s="208"/>
      <c r="AQ23" s="208"/>
      <c r="AR23" s="208"/>
      <c r="AS23" s="208"/>
      <c r="AT23" s="208"/>
      <c r="AU23" s="208"/>
    </row>
    <row r="24" spans="1:47" s="204" customFormat="1" ht="24.6" customHeight="1" x14ac:dyDescent="0.3">
      <c r="A24" s="193" t="s">
        <v>748</v>
      </c>
      <c r="B24" s="193">
        <v>15</v>
      </c>
      <c r="C24" s="193" t="s">
        <v>827</v>
      </c>
      <c r="D24" s="196">
        <f>'[2]GERAL 2023'!G36</f>
        <v>680</v>
      </c>
      <c r="E24" s="192">
        <v>0</v>
      </c>
      <c r="F24" s="196">
        <f t="shared" si="2"/>
        <v>680</v>
      </c>
      <c r="G24" s="192">
        <v>25</v>
      </c>
      <c r="H24" s="192">
        <f t="shared" si="7"/>
        <v>61.7</v>
      </c>
      <c r="I24" s="192">
        <f>'[2]GERAL 2025'!I17</f>
        <v>1.9208628841607567</v>
      </c>
      <c r="J24" s="192">
        <v>0</v>
      </c>
      <c r="K24" s="191">
        <f t="shared" si="3"/>
        <v>768.62086288416083</v>
      </c>
      <c r="L24" s="192">
        <f t="shared" si="6"/>
        <v>53.803460401891265</v>
      </c>
      <c r="M24" s="192">
        <f t="shared" si="5"/>
        <v>714.81740248226959</v>
      </c>
      <c r="N24" s="193" t="s">
        <v>1138</v>
      </c>
      <c r="O24" s="197">
        <v>10</v>
      </c>
      <c r="P24" s="194">
        <v>11</v>
      </c>
      <c r="Q24" s="200"/>
      <c r="R24" s="200"/>
      <c r="S24" s="200"/>
      <c r="T24" s="200"/>
      <c r="U24" s="200"/>
      <c r="V24" s="200"/>
      <c r="W24" s="200"/>
      <c r="X24" s="200"/>
      <c r="Y24" s="200"/>
    </row>
    <row r="25" spans="1:47" s="206" customFormat="1" ht="24.6" customHeight="1" x14ac:dyDescent="0.3">
      <c r="A25" s="197" t="s">
        <v>977</v>
      </c>
      <c r="B25" s="197">
        <v>16</v>
      </c>
      <c r="C25" s="193" t="s">
        <v>827</v>
      </c>
      <c r="D25" s="196">
        <f>'[2]GERAL 2024'!G40</f>
        <v>640</v>
      </c>
      <c r="E25" s="192">
        <v>0</v>
      </c>
      <c r="F25" s="196">
        <f>D25-E25</f>
        <v>640</v>
      </c>
      <c r="G25" s="192">
        <v>50</v>
      </c>
      <c r="H25" s="192">
        <f t="shared" si="7"/>
        <v>61.7</v>
      </c>
      <c r="I25" s="192">
        <f>'[2]GERAL 2025'!I18</f>
        <v>1.3720449172576832</v>
      </c>
      <c r="J25" s="192">
        <v>0</v>
      </c>
      <c r="K25" s="191">
        <f t="shared" si="3"/>
        <v>753.0720449172577</v>
      </c>
      <c r="L25" s="192">
        <f t="shared" si="6"/>
        <v>52.715043144208046</v>
      </c>
      <c r="M25" s="192">
        <f>K25-L25</f>
        <v>700.35700177304966</v>
      </c>
      <c r="N25" s="193" t="s">
        <v>1135</v>
      </c>
      <c r="O25" s="197">
        <v>10</v>
      </c>
      <c r="P25" s="197">
        <v>11</v>
      </c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</row>
    <row r="26" spans="1:47" s="206" customFormat="1" ht="24.6" customHeight="1" x14ac:dyDescent="0.3">
      <c r="A26" s="195" t="s">
        <v>1029</v>
      </c>
      <c r="B26" s="195">
        <v>17</v>
      </c>
      <c r="C26" s="195" t="s">
        <v>824</v>
      </c>
      <c r="D26" s="196">
        <f>'[2]GERAL 2024'!G45</f>
        <v>610</v>
      </c>
      <c r="E26" s="192">
        <v>0</v>
      </c>
      <c r="F26" s="196">
        <f t="shared" si="2"/>
        <v>610</v>
      </c>
      <c r="G26" s="192">
        <v>50</v>
      </c>
      <c r="H26" s="192">
        <f t="shared" si="7"/>
        <v>61.7</v>
      </c>
      <c r="I26" s="192">
        <f>'[2]GERAL 2025'!I19</f>
        <v>1.3720449172576832</v>
      </c>
      <c r="J26" s="192">
        <v>0</v>
      </c>
      <c r="K26" s="191">
        <f t="shared" si="3"/>
        <v>723.0720449172577</v>
      </c>
      <c r="L26" s="192">
        <f>7%*K26</f>
        <v>50.615043144208045</v>
      </c>
      <c r="M26" s="192">
        <f>K26-L26</f>
        <v>672.45700177304968</v>
      </c>
      <c r="N26" s="193" t="s">
        <v>1135</v>
      </c>
      <c r="O26" s="197">
        <v>10</v>
      </c>
      <c r="P26" s="197">
        <v>11</v>
      </c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</row>
    <row r="27" spans="1:47" s="206" customFormat="1" ht="24.6" customHeight="1" x14ac:dyDescent="0.3">
      <c r="A27" s="195" t="s">
        <v>1030</v>
      </c>
      <c r="B27" s="193">
        <v>18</v>
      </c>
      <c r="C27" s="195" t="s">
        <v>824</v>
      </c>
      <c r="D27" s="196">
        <f>'[2]GERAL 2024'!G46</f>
        <v>640</v>
      </c>
      <c r="E27" s="192">
        <v>0</v>
      </c>
      <c r="F27" s="196">
        <f>D27-E27</f>
        <v>640</v>
      </c>
      <c r="G27" s="192">
        <v>0</v>
      </c>
      <c r="H27" s="192">
        <f t="shared" si="7"/>
        <v>61.7</v>
      </c>
      <c r="I27" s="192">
        <f>'[2]GERAL 2025'!I20</f>
        <v>1.3720449172576832</v>
      </c>
      <c r="J27" s="192">
        <v>0</v>
      </c>
      <c r="K27" s="191">
        <f t="shared" si="3"/>
        <v>703.0720449172577</v>
      </c>
      <c r="L27" s="192">
        <f t="shared" si="6"/>
        <v>49.215043144208046</v>
      </c>
      <c r="M27" s="192">
        <f t="shared" si="5"/>
        <v>653.85700177304966</v>
      </c>
      <c r="N27" s="193" t="s">
        <v>658</v>
      </c>
      <c r="O27" s="197">
        <v>10</v>
      </c>
      <c r="P27" s="197">
        <v>11</v>
      </c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</row>
    <row r="28" spans="1:47" s="206" customFormat="1" ht="25.05" customHeight="1" x14ac:dyDescent="0.3">
      <c r="A28" s="193" t="s">
        <v>1012</v>
      </c>
      <c r="B28" s="193">
        <v>19</v>
      </c>
      <c r="C28" s="193" t="s">
        <v>822</v>
      </c>
      <c r="D28" s="196">
        <f>'[2]GERAL 2024'!G44</f>
        <v>580</v>
      </c>
      <c r="E28" s="192">
        <v>0</v>
      </c>
      <c r="F28" s="196">
        <f>(D28-E28)</f>
        <v>580</v>
      </c>
      <c r="G28" s="192">
        <v>50</v>
      </c>
      <c r="H28" s="192">
        <f t="shared" si="7"/>
        <v>61.7</v>
      </c>
      <c r="I28" s="192">
        <f>'[2]GERAL 2025'!I21</f>
        <v>1.3720449172576832</v>
      </c>
      <c r="J28" s="192">
        <v>0</v>
      </c>
      <c r="K28" s="191">
        <f t="shared" si="3"/>
        <v>693.0720449172577</v>
      </c>
      <c r="L28" s="192">
        <f t="shared" si="6"/>
        <v>48.515043144208043</v>
      </c>
      <c r="M28" s="192">
        <f t="shared" si="5"/>
        <v>644.55700177304971</v>
      </c>
      <c r="N28" s="193" t="s">
        <v>1135</v>
      </c>
      <c r="O28" s="207">
        <v>10</v>
      </c>
      <c r="P28" s="197">
        <v>11</v>
      </c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</row>
    <row r="29" spans="1:47" s="206" customFormat="1" ht="24" customHeight="1" x14ac:dyDescent="0.3">
      <c r="A29" s="195"/>
      <c r="B29" s="193">
        <v>20</v>
      </c>
      <c r="C29" s="193"/>
      <c r="D29" s="196">
        <v>0</v>
      </c>
      <c r="E29" s="192">
        <v>0</v>
      </c>
      <c r="F29" s="196">
        <f t="shared" ref="F29:F36" si="8">D29-E29</f>
        <v>0</v>
      </c>
      <c r="G29" s="192">
        <v>0</v>
      </c>
      <c r="H29" s="192">
        <v>0</v>
      </c>
      <c r="I29" s="192">
        <v>0</v>
      </c>
      <c r="J29" s="192">
        <v>0</v>
      </c>
      <c r="K29" s="191">
        <f t="shared" si="3"/>
        <v>0</v>
      </c>
      <c r="L29" s="192">
        <f t="shared" si="6"/>
        <v>0</v>
      </c>
      <c r="M29" s="192">
        <f t="shared" si="5"/>
        <v>0</v>
      </c>
      <c r="N29" s="193"/>
      <c r="O29" s="207"/>
      <c r="P29" s="197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</row>
    <row r="30" spans="1:47" s="206" customFormat="1" ht="24.6" customHeight="1" x14ac:dyDescent="0.3">
      <c r="A30" s="195" t="s">
        <v>788</v>
      </c>
      <c r="B30" s="193">
        <v>21</v>
      </c>
      <c r="C30" s="193" t="s">
        <v>822</v>
      </c>
      <c r="D30" s="196">
        <f>'[2]GERAL 2023'!G39+(2.45026%*580)</f>
        <v>594.21150799999998</v>
      </c>
      <c r="E30" s="192">
        <v>0</v>
      </c>
      <c r="F30" s="196">
        <f t="shared" si="8"/>
        <v>594.21150799999998</v>
      </c>
      <c r="G30" s="192">
        <v>25</v>
      </c>
      <c r="H30" s="192">
        <f t="shared" si="7"/>
        <v>61.7</v>
      </c>
      <c r="I30" s="192">
        <f>'[2]GERAL 2025'!I23</f>
        <v>1.3720449172576832</v>
      </c>
      <c r="J30" s="192">
        <v>0</v>
      </c>
      <c r="K30" s="191">
        <f t="shared" si="3"/>
        <v>682.28355291725768</v>
      </c>
      <c r="L30" s="192">
        <f t="shared" si="6"/>
        <v>47.759848704208039</v>
      </c>
      <c r="M30" s="192">
        <f t="shared" si="5"/>
        <v>634.52370421304965</v>
      </c>
      <c r="N30" s="193" t="s">
        <v>1138</v>
      </c>
      <c r="O30" s="207">
        <v>10</v>
      </c>
      <c r="P30" s="197">
        <v>11</v>
      </c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</row>
    <row r="31" spans="1:47" s="206" customFormat="1" ht="25.05" customHeight="1" x14ac:dyDescent="0.3">
      <c r="A31" s="195" t="s">
        <v>950</v>
      </c>
      <c r="B31" s="193">
        <v>22</v>
      </c>
      <c r="C31" s="193" t="s">
        <v>951</v>
      </c>
      <c r="D31" s="196">
        <f>'[2]GERAL 2024'!G38</f>
        <v>610</v>
      </c>
      <c r="E31" s="192">
        <v>0</v>
      </c>
      <c r="F31" s="196">
        <f t="shared" si="8"/>
        <v>610</v>
      </c>
      <c r="G31" s="192">
        <v>0</v>
      </c>
      <c r="H31" s="192">
        <f t="shared" si="7"/>
        <v>61.7</v>
      </c>
      <c r="I31" s="192">
        <f>'[2]GERAL 2025'!I24</f>
        <v>1.3720449172576832</v>
      </c>
      <c r="J31" s="192">
        <v>0</v>
      </c>
      <c r="K31" s="191">
        <f t="shared" si="3"/>
        <v>673.0720449172577</v>
      </c>
      <c r="L31" s="192">
        <f>7%*K31</f>
        <v>47.115043144208045</v>
      </c>
      <c r="M31" s="192">
        <f>K31-L31</f>
        <v>625.95700177304968</v>
      </c>
      <c r="N31" s="193" t="s">
        <v>658</v>
      </c>
      <c r="O31" s="207">
        <v>10</v>
      </c>
      <c r="P31" s="197">
        <v>11</v>
      </c>
      <c r="Q31" s="205"/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  <c r="AC31" s="205"/>
      <c r="AD31" s="205"/>
      <c r="AE31" s="205"/>
      <c r="AF31" s="205"/>
      <c r="AG31" s="205"/>
      <c r="AH31" s="205"/>
      <c r="AI31" s="205"/>
      <c r="AJ31" s="205"/>
      <c r="AK31" s="205"/>
      <c r="AL31" s="205"/>
      <c r="AM31" s="205"/>
      <c r="AN31" s="205"/>
      <c r="AO31" s="205"/>
      <c r="AP31" s="205"/>
    </row>
    <row r="32" spans="1:47" s="206" customFormat="1" ht="24.6" customHeight="1" x14ac:dyDescent="0.3">
      <c r="A32" s="195" t="s">
        <v>750</v>
      </c>
      <c r="B32" s="193">
        <v>23</v>
      </c>
      <c r="C32" s="193" t="s">
        <v>827</v>
      </c>
      <c r="D32" s="196">
        <f>'[2]GERAL 2022'!G25</f>
        <v>550</v>
      </c>
      <c r="E32" s="192">
        <v>0</v>
      </c>
      <c r="F32" s="196">
        <f t="shared" si="8"/>
        <v>550</v>
      </c>
      <c r="G32" s="192">
        <v>0</v>
      </c>
      <c r="H32" s="192">
        <f t="shared" si="7"/>
        <v>61.7</v>
      </c>
      <c r="I32" s="192">
        <f>'[2]GERAL 2025'!I25</f>
        <v>1.3720449172576832</v>
      </c>
      <c r="J32" s="192">
        <v>0</v>
      </c>
      <c r="K32" s="191">
        <f t="shared" si="3"/>
        <v>613.0720449172577</v>
      </c>
      <c r="L32" s="192">
        <f t="shared" si="6"/>
        <v>42.915043144208042</v>
      </c>
      <c r="M32" s="192">
        <f t="shared" si="5"/>
        <v>570.15700177304961</v>
      </c>
      <c r="N32" s="193" t="s">
        <v>658</v>
      </c>
      <c r="O32" s="197">
        <v>10</v>
      </c>
      <c r="P32" s="197">
        <v>11</v>
      </c>
      <c r="Q32" s="205"/>
      <c r="R32" s="205"/>
      <c r="S32" s="205"/>
      <c r="T32" s="205"/>
      <c r="U32" s="205"/>
      <c r="V32" s="205"/>
      <c r="W32" s="205"/>
      <c r="X32" s="205"/>
      <c r="Y32" s="205"/>
      <c r="Z32" s="205"/>
      <c r="AA32" s="205"/>
      <c r="AB32" s="205"/>
      <c r="AC32" s="205"/>
      <c r="AD32" s="205"/>
      <c r="AE32" s="205"/>
      <c r="AF32" s="205"/>
      <c r="AG32" s="205"/>
      <c r="AH32" s="205"/>
      <c r="AI32" s="205"/>
      <c r="AJ32" s="205"/>
      <c r="AK32" s="205"/>
      <c r="AL32" s="205"/>
      <c r="AM32" s="205"/>
      <c r="AN32" s="205"/>
      <c r="AO32" s="205"/>
      <c r="AP32" s="205"/>
    </row>
    <row r="33" spans="1:42" s="204" customFormat="1" ht="25.05" customHeight="1" x14ac:dyDescent="0.3">
      <c r="A33" s="193"/>
      <c r="B33" s="193">
        <v>24</v>
      </c>
      <c r="C33" s="193"/>
      <c r="D33" s="196">
        <v>0</v>
      </c>
      <c r="E33" s="192">
        <v>0</v>
      </c>
      <c r="F33" s="196">
        <f>D33-E33</f>
        <v>0</v>
      </c>
      <c r="G33" s="192">
        <v>0</v>
      </c>
      <c r="H33" s="192">
        <v>0</v>
      </c>
      <c r="I33" s="192">
        <v>0</v>
      </c>
      <c r="J33" s="192">
        <v>0</v>
      </c>
      <c r="K33" s="191">
        <f t="shared" si="3"/>
        <v>0</v>
      </c>
      <c r="L33" s="192">
        <f t="shared" si="6"/>
        <v>0</v>
      </c>
      <c r="M33" s="192">
        <f t="shared" si="5"/>
        <v>0</v>
      </c>
      <c r="N33" s="193" t="s">
        <v>525</v>
      </c>
      <c r="O33" s="207"/>
      <c r="P33" s="197"/>
      <c r="Q33" s="200"/>
      <c r="R33" s="200"/>
      <c r="S33" s="200"/>
      <c r="T33" s="200"/>
      <c r="U33" s="200"/>
      <c r="V33" s="200"/>
      <c r="W33" s="200"/>
      <c r="X33" s="200"/>
      <c r="Y33" s="200"/>
    </row>
    <row r="34" spans="1:42" s="204" customFormat="1" ht="25.05" customHeight="1" x14ac:dyDescent="0.3">
      <c r="A34" s="206" t="s">
        <v>1007</v>
      </c>
      <c r="B34" s="193">
        <v>25</v>
      </c>
      <c r="C34" s="193" t="s">
        <v>822</v>
      </c>
      <c r="D34" s="196">
        <f>'[2]GERAL 2024'!G43</f>
        <v>640</v>
      </c>
      <c r="E34" s="192">
        <v>0</v>
      </c>
      <c r="F34" s="196">
        <f t="shared" si="8"/>
        <v>640</v>
      </c>
      <c r="G34" s="192">
        <v>25</v>
      </c>
      <c r="H34" s="192">
        <f t="shared" si="7"/>
        <v>61.7</v>
      </c>
      <c r="I34" s="192">
        <f>'[2]GERAL 2025'!I27</f>
        <v>1.3720449172576832</v>
      </c>
      <c r="J34" s="192">
        <v>0</v>
      </c>
      <c r="K34" s="191">
        <f t="shared" si="3"/>
        <v>728.0720449172577</v>
      </c>
      <c r="L34" s="192">
        <f t="shared" si="6"/>
        <v>50.965043144208046</v>
      </c>
      <c r="M34" s="192">
        <f t="shared" si="5"/>
        <v>677.10700177304966</v>
      </c>
      <c r="N34" s="193" t="s">
        <v>1138</v>
      </c>
      <c r="O34" s="207">
        <v>10</v>
      </c>
      <c r="P34" s="197">
        <v>11</v>
      </c>
      <c r="Q34" s="200"/>
      <c r="R34" s="200"/>
      <c r="S34" s="200"/>
      <c r="T34" s="200"/>
      <c r="U34" s="200"/>
      <c r="V34" s="200"/>
      <c r="W34" s="200"/>
      <c r="X34" s="200"/>
      <c r="Y34" s="200"/>
    </row>
    <row r="35" spans="1:42" s="206" customFormat="1" ht="24.6" customHeight="1" x14ac:dyDescent="0.3">
      <c r="A35" s="195" t="s">
        <v>751</v>
      </c>
      <c r="B35" s="193">
        <v>26</v>
      </c>
      <c r="C35" s="193" t="s">
        <v>827</v>
      </c>
      <c r="D35" s="196">
        <f>'[2]GERAL 2022'!G28</f>
        <v>560</v>
      </c>
      <c r="E35" s="192">
        <v>0</v>
      </c>
      <c r="F35" s="196">
        <f t="shared" si="8"/>
        <v>560</v>
      </c>
      <c r="G35" s="192">
        <v>25</v>
      </c>
      <c r="H35" s="192">
        <f t="shared" si="7"/>
        <v>61.7</v>
      </c>
      <c r="I35" s="192">
        <f>'[2]GERAL 2025'!I28</f>
        <v>1.3720449172576832</v>
      </c>
      <c r="J35" s="192">
        <v>0</v>
      </c>
      <c r="K35" s="191">
        <f t="shared" si="3"/>
        <v>648.0720449172577</v>
      </c>
      <c r="L35" s="192">
        <f t="shared" si="6"/>
        <v>45.365043144208045</v>
      </c>
      <c r="M35" s="192">
        <f t="shared" si="5"/>
        <v>602.70700177304968</v>
      </c>
      <c r="N35" s="193" t="s">
        <v>1138</v>
      </c>
      <c r="O35" s="197">
        <v>10</v>
      </c>
      <c r="P35" s="197">
        <v>11</v>
      </c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</row>
    <row r="36" spans="1:42" s="206" customFormat="1" ht="25.05" customHeight="1" x14ac:dyDescent="0.3">
      <c r="A36" s="195" t="s">
        <v>752</v>
      </c>
      <c r="B36" s="193">
        <v>27</v>
      </c>
      <c r="C36" s="216" t="s">
        <v>827</v>
      </c>
      <c r="D36" s="217">
        <f>'[2]GERAL 2022'!G45</f>
        <v>580</v>
      </c>
      <c r="E36" s="210">
        <v>0</v>
      </c>
      <c r="F36" s="196">
        <f t="shared" si="8"/>
        <v>580</v>
      </c>
      <c r="G36" s="210">
        <v>0</v>
      </c>
      <c r="H36" s="192">
        <f t="shared" si="7"/>
        <v>61.7</v>
      </c>
      <c r="I36" s="210">
        <f>'[2]GERAL 2025'!I29</f>
        <v>1.3720449172576832</v>
      </c>
      <c r="J36" s="210">
        <v>0</v>
      </c>
      <c r="K36" s="191">
        <f t="shared" si="3"/>
        <v>643.0720449172577</v>
      </c>
      <c r="L36" s="192">
        <f t="shared" si="6"/>
        <v>45.015043144208043</v>
      </c>
      <c r="M36" s="192">
        <f>K36-L36</f>
        <v>598.05700177304971</v>
      </c>
      <c r="N36" s="193" t="s">
        <v>1139</v>
      </c>
      <c r="O36" s="197">
        <v>10</v>
      </c>
      <c r="P36" s="197">
        <v>11</v>
      </c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</row>
    <row r="37" spans="1:42" s="206" customFormat="1" ht="25.05" customHeight="1" x14ac:dyDescent="0.3">
      <c r="A37" s="584" t="s">
        <v>4</v>
      </c>
      <c r="B37" s="584"/>
      <c r="C37" s="209"/>
      <c r="D37" s="191">
        <f>SUM(D10:D36)</f>
        <v>14643.160321032257</v>
      </c>
      <c r="E37" s="191">
        <f t="shared" ref="E37:M37" si="9">SUM(E10:E36)</f>
        <v>0</v>
      </c>
      <c r="F37" s="191">
        <f t="shared" si="9"/>
        <v>14643.160321032257</v>
      </c>
      <c r="G37" s="191">
        <f t="shared" si="9"/>
        <v>566.9354838709678</v>
      </c>
      <c r="H37" s="191">
        <f t="shared" si="9"/>
        <v>1462.8870967741941</v>
      </c>
      <c r="I37" s="191">
        <f>SUM(I10:I36)</f>
        <v>33.628378326851205</v>
      </c>
      <c r="J37" s="191">
        <f>SUM(J10:J36)</f>
        <v>255.24</v>
      </c>
      <c r="K37" s="191">
        <f>SUM(K10:K36)</f>
        <v>16961.851280004277</v>
      </c>
      <c r="L37" s="191">
        <f t="shared" si="9"/>
        <v>1187.329589600299</v>
      </c>
      <c r="M37" s="191">
        <f t="shared" si="9"/>
        <v>15774.52169040397</v>
      </c>
      <c r="N37" s="193"/>
      <c r="O37" s="197"/>
      <c r="P37" s="197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  <c r="AC37" s="205"/>
      <c r="AD37" s="205"/>
      <c r="AE37" s="205"/>
      <c r="AF37" s="205"/>
      <c r="AG37" s="205"/>
      <c r="AH37" s="205"/>
      <c r="AI37" s="205"/>
      <c r="AJ37" s="205"/>
      <c r="AK37" s="205"/>
      <c r="AL37" s="205"/>
      <c r="AM37" s="205"/>
      <c r="AN37" s="205"/>
      <c r="AO37" s="205"/>
      <c r="AP37" s="205"/>
    </row>
    <row r="38" spans="1:42" s="11" customFormat="1" ht="28.5" customHeight="1" x14ac:dyDescent="0.3">
      <c r="A38" s="521" t="s">
        <v>1140</v>
      </c>
      <c r="B38" s="521"/>
      <c r="C38" s="521"/>
      <c r="D38" s="521"/>
      <c r="E38" s="521"/>
      <c r="F38" s="521"/>
      <c r="G38" s="521"/>
      <c r="H38" s="521"/>
      <c r="I38" s="521"/>
      <c r="J38" s="521"/>
      <c r="K38" s="521"/>
      <c r="L38" s="521"/>
      <c r="M38" s="521"/>
      <c r="N38" s="521"/>
      <c r="O38" s="521"/>
      <c r="P38" s="521"/>
      <c r="Q38" s="10"/>
      <c r="R38" s="10"/>
      <c r="S38" s="10"/>
      <c r="T38" s="10"/>
      <c r="U38" s="10"/>
      <c r="V38" s="10"/>
      <c r="W38" s="10"/>
      <c r="X38" s="10"/>
      <c r="Y38" s="10"/>
    </row>
    <row r="39" spans="1:42" s="11" customFormat="1" ht="27.6" customHeight="1" x14ac:dyDescent="0.3">
      <c r="A39" s="127" t="s">
        <v>3</v>
      </c>
      <c r="B39" s="127" t="s">
        <v>0</v>
      </c>
      <c r="C39" s="127" t="s">
        <v>821</v>
      </c>
      <c r="D39" s="128" t="s">
        <v>174</v>
      </c>
      <c r="E39" s="555" t="s">
        <v>175</v>
      </c>
      <c r="F39" s="556"/>
      <c r="G39" s="556"/>
      <c r="H39" s="556"/>
      <c r="I39" s="556"/>
      <c r="J39" s="557"/>
      <c r="K39" s="128" t="s">
        <v>4</v>
      </c>
      <c r="L39" s="128" t="s">
        <v>5</v>
      </c>
      <c r="M39" s="128" t="s">
        <v>70</v>
      </c>
      <c r="N39" s="127" t="s">
        <v>59</v>
      </c>
      <c r="O39" s="130" t="s">
        <v>8</v>
      </c>
      <c r="P39" s="130" t="s">
        <v>10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42" s="204" customFormat="1" ht="24.6" customHeight="1" x14ac:dyDescent="0.3">
      <c r="A40" s="194" t="s">
        <v>929</v>
      </c>
      <c r="B40" s="194">
        <v>12</v>
      </c>
      <c r="C40" s="194" t="s">
        <v>829</v>
      </c>
      <c r="D40" s="196">
        <v>1464</v>
      </c>
      <c r="E40" s="551" t="s">
        <v>715</v>
      </c>
      <c r="F40" s="580"/>
      <c r="G40" s="580"/>
      <c r="H40" s="580"/>
      <c r="I40" s="580"/>
      <c r="J40" s="552"/>
      <c r="K40" s="196">
        <v>183</v>
      </c>
      <c r="L40" s="192">
        <f t="shared" ref="L40" si="10">7%*K40</f>
        <v>12.81</v>
      </c>
      <c r="M40" s="192">
        <f t="shared" ref="M40" si="11">K40-L40</f>
        <v>170.19</v>
      </c>
      <c r="N40" s="193" t="s">
        <v>1141</v>
      </c>
      <c r="O40" s="207">
        <v>10</v>
      </c>
      <c r="P40" s="197">
        <v>11</v>
      </c>
      <c r="Q40" s="200"/>
      <c r="R40" s="200"/>
      <c r="S40" s="200"/>
      <c r="T40" s="200"/>
      <c r="U40" s="200"/>
      <c r="V40" s="200"/>
      <c r="W40" s="200"/>
      <c r="X40" s="200"/>
      <c r="Y40" s="200"/>
    </row>
    <row r="41" spans="1:42" s="204" customFormat="1" ht="25.05" customHeight="1" x14ac:dyDescent="0.3">
      <c r="A41" s="194"/>
      <c r="B41" s="194"/>
      <c r="C41" s="194"/>
      <c r="D41" s="196"/>
      <c r="E41" s="551"/>
      <c r="F41" s="580"/>
      <c r="G41" s="580"/>
      <c r="H41" s="580"/>
      <c r="I41" s="580"/>
      <c r="J41" s="552"/>
      <c r="K41" s="196"/>
      <c r="L41" s="192"/>
      <c r="M41" s="192"/>
      <c r="N41" s="193"/>
      <c r="O41" s="207"/>
      <c r="P41" s="197"/>
      <c r="Q41" s="200"/>
      <c r="R41" s="200"/>
      <c r="S41" s="200"/>
      <c r="T41" s="200"/>
      <c r="U41" s="200"/>
      <c r="V41" s="200"/>
      <c r="W41" s="200"/>
      <c r="X41" s="200"/>
      <c r="Y41" s="200"/>
    </row>
    <row r="42" spans="1:42" s="204" customFormat="1" ht="25.05" customHeight="1" x14ac:dyDescent="0.3">
      <c r="A42" s="194"/>
      <c r="B42" s="194"/>
      <c r="C42" s="194"/>
      <c r="D42" s="196"/>
      <c r="E42" s="551"/>
      <c r="F42" s="580"/>
      <c r="G42" s="580"/>
      <c r="H42" s="580"/>
      <c r="I42" s="580"/>
      <c r="J42" s="552"/>
      <c r="K42" s="196"/>
      <c r="L42" s="192"/>
      <c r="M42" s="192"/>
      <c r="N42" s="193"/>
      <c r="O42" s="207"/>
      <c r="P42" s="197"/>
      <c r="Q42" s="200"/>
      <c r="R42" s="200"/>
      <c r="S42" s="200"/>
      <c r="T42" s="200"/>
      <c r="U42" s="200"/>
      <c r="V42" s="200"/>
      <c r="W42" s="200"/>
      <c r="X42" s="200"/>
      <c r="Y42" s="200"/>
    </row>
    <row r="43" spans="1:42" s="11" customFormat="1" ht="25.05" customHeight="1" x14ac:dyDescent="0.3">
      <c r="A43" s="518" t="s">
        <v>4</v>
      </c>
      <c r="B43" s="518"/>
      <c r="C43" s="518"/>
      <c r="D43" s="518"/>
      <c r="E43" s="518"/>
      <c r="F43" s="518"/>
      <c r="G43" s="518"/>
      <c r="H43" s="518"/>
      <c r="I43" s="518"/>
      <c r="J43" s="518"/>
      <c r="K43" s="109">
        <f>SUM(K40:K42)</f>
        <v>183</v>
      </c>
      <c r="L43" s="109">
        <f>SUM(L40:L42)</f>
        <v>12.81</v>
      </c>
      <c r="M43" s="109">
        <f>SUM(M40:M42)</f>
        <v>170.19</v>
      </c>
      <c r="N43" s="527"/>
      <c r="O43" s="527"/>
      <c r="P43" s="527"/>
      <c r="Q43" s="10"/>
      <c r="R43" s="10"/>
      <c r="S43" s="10"/>
      <c r="T43" s="10"/>
      <c r="U43" s="10"/>
      <c r="V43" s="10"/>
      <c r="W43" s="10"/>
      <c r="X43" s="10"/>
      <c r="Y43" s="10"/>
    </row>
    <row r="44" spans="1:42" s="11" customFormat="1" x14ac:dyDescent="0.3">
      <c r="A44" s="518"/>
      <c r="B44" s="518"/>
      <c r="C44" s="518"/>
      <c r="D44" s="518"/>
      <c r="E44" s="518"/>
      <c r="F44" s="518"/>
      <c r="G44" s="518"/>
      <c r="H44" s="518"/>
      <c r="I44" s="518"/>
      <c r="J44" s="518"/>
      <c r="K44" s="518"/>
      <c r="L44" s="518"/>
      <c r="M44" s="518"/>
      <c r="N44" s="518"/>
      <c r="O44" s="109"/>
      <c r="P44" s="109"/>
      <c r="Q44" s="10"/>
      <c r="R44" s="10"/>
      <c r="S44" s="10"/>
      <c r="T44" s="10"/>
      <c r="U44" s="10"/>
      <c r="V44" s="10"/>
      <c r="W44" s="10"/>
      <c r="X44" s="10"/>
      <c r="Y44" s="10"/>
    </row>
    <row r="45" spans="1:42" s="11" customFormat="1" ht="28.5" customHeight="1" x14ac:dyDescent="0.3">
      <c r="A45" s="521" t="s">
        <v>177</v>
      </c>
      <c r="B45" s="521"/>
      <c r="C45" s="521"/>
      <c r="D45" s="521"/>
      <c r="E45" s="521"/>
      <c r="F45" s="521"/>
      <c r="G45" s="521"/>
      <c r="H45" s="521"/>
      <c r="I45" s="521"/>
      <c r="J45" s="521"/>
      <c r="K45" s="521"/>
      <c r="L45" s="521"/>
      <c r="M45" s="521"/>
      <c r="N45" s="521"/>
      <c r="O45" s="521"/>
      <c r="P45" s="521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42" s="11" customFormat="1" ht="25.5" customHeight="1" x14ac:dyDescent="0.3">
      <c r="A46" s="126" t="s">
        <v>173</v>
      </c>
      <c r="B46" s="126" t="s">
        <v>0</v>
      </c>
      <c r="C46" s="126"/>
      <c r="D46" s="126" t="s">
        <v>174</v>
      </c>
      <c r="E46" s="521" t="s">
        <v>175</v>
      </c>
      <c r="F46" s="521"/>
      <c r="G46" s="521"/>
      <c r="H46" s="521"/>
      <c r="I46" s="521"/>
      <c r="J46" s="521"/>
      <c r="K46" s="129" t="s">
        <v>4</v>
      </c>
      <c r="L46" s="128"/>
      <c r="M46" s="128"/>
      <c r="N46" s="127" t="s">
        <v>59</v>
      </c>
      <c r="O46" s="130" t="s">
        <v>8</v>
      </c>
      <c r="P46" s="130" t="s">
        <v>10</v>
      </c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42" x14ac:dyDescent="0.3">
      <c r="A47" s="148" t="s">
        <v>1005</v>
      </c>
      <c r="B47" s="148">
        <v>3</v>
      </c>
      <c r="C47" s="148" t="s">
        <v>822</v>
      </c>
      <c r="D47" s="150">
        <f>610+61.7+1.37</f>
        <v>673.07</v>
      </c>
      <c r="E47" s="595" t="s">
        <v>1142</v>
      </c>
      <c r="F47" s="595"/>
      <c r="G47" s="595"/>
      <c r="H47" s="595"/>
      <c r="I47" s="595"/>
      <c r="J47" s="595"/>
      <c r="K47" s="150">
        <f>610+61.7+1.37</f>
        <v>673.07</v>
      </c>
      <c r="L47" s="274"/>
      <c r="M47" s="274"/>
      <c r="N47" s="150" t="s">
        <v>1143</v>
      </c>
      <c r="O47" s="140">
        <v>10</v>
      </c>
      <c r="P47" s="4">
        <v>11</v>
      </c>
    </row>
    <row r="48" spans="1:42" s="69" customFormat="1" ht="15" customHeight="1" x14ac:dyDescent="0.3">
      <c r="A48" s="4" t="s">
        <v>132</v>
      </c>
      <c r="B48" s="4">
        <v>1</v>
      </c>
      <c r="C48" s="4"/>
      <c r="D48" s="5">
        <f>4977.59-1520</f>
        <v>3457.59</v>
      </c>
      <c r="E48" s="595" t="s">
        <v>284</v>
      </c>
      <c r="F48" s="595"/>
      <c r="G48" s="595"/>
      <c r="H48" s="595"/>
      <c r="I48" s="595"/>
      <c r="J48" s="595"/>
      <c r="K48" s="275">
        <f>4977.59-1520</f>
        <v>3457.59</v>
      </c>
      <c r="L48" s="5"/>
      <c r="M48" s="5"/>
      <c r="N48" s="276" t="s">
        <v>510</v>
      </c>
      <c r="O48" s="140">
        <v>10</v>
      </c>
      <c r="P48" s="4">
        <v>11</v>
      </c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</row>
    <row r="49" spans="1:60" s="11" customFormat="1" x14ac:dyDescent="0.3">
      <c r="A49" s="90" t="s">
        <v>87</v>
      </c>
      <c r="B49" s="90">
        <v>25</v>
      </c>
      <c r="C49" s="90"/>
      <c r="D49" s="5">
        <v>3013.33</v>
      </c>
      <c r="E49" s="595" t="s">
        <v>543</v>
      </c>
      <c r="F49" s="595"/>
      <c r="G49" s="595"/>
      <c r="H49" s="595"/>
      <c r="I49" s="595"/>
      <c r="J49" s="595"/>
      <c r="K49" s="275">
        <v>3040.58</v>
      </c>
      <c r="L49" s="2"/>
      <c r="M49" s="2"/>
      <c r="N49" s="276" t="s">
        <v>545</v>
      </c>
      <c r="O49" s="98">
        <v>10</v>
      </c>
      <c r="P49" s="3">
        <v>11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  <row r="50" spans="1:60" s="11" customFormat="1" ht="15" customHeight="1" x14ac:dyDescent="0.3">
      <c r="A50" s="3" t="s">
        <v>894</v>
      </c>
      <c r="B50" s="90">
        <v>16</v>
      </c>
      <c r="C50" s="90" t="s">
        <v>823</v>
      </c>
      <c r="D50" s="5">
        <f>144.52+11.29+12.89+0.3+0.18+1664</f>
        <v>1833.18</v>
      </c>
      <c r="E50" s="546" t="s">
        <v>969</v>
      </c>
      <c r="F50" s="547"/>
      <c r="G50" s="547"/>
      <c r="H50" s="547"/>
      <c r="I50" s="547"/>
      <c r="J50" s="548"/>
      <c r="K50" s="275">
        <f>144.52+11.29+12.89+0.3+0.18+1664</f>
        <v>1833.18</v>
      </c>
      <c r="L50" s="2"/>
      <c r="M50" s="2"/>
      <c r="N50" s="255" t="s">
        <v>969</v>
      </c>
      <c r="O50" s="98">
        <v>10</v>
      </c>
      <c r="P50" s="3">
        <v>11</v>
      </c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 spans="1:60" s="206" customFormat="1" ht="15" customHeight="1" x14ac:dyDescent="0.3">
      <c r="A51" s="237" t="s">
        <v>902</v>
      </c>
      <c r="B51" s="195">
        <v>17</v>
      </c>
      <c r="C51" s="195" t="s">
        <v>823</v>
      </c>
      <c r="D51" s="196">
        <v>2080.41</v>
      </c>
      <c r="E51" s="551" t="s">
        <v>1011</v>
      </c>
      <c r="F51" s="580"/>
      <c r="G51" s="580"/>
      <c r="H51" s="580"/>
      <c r="I51" s="580"/>
      <c r="J51" s="552"/>
      <c r="K51" s="196">
        <v>300</v>
      </c>
      <c r="L51" s="192"/>
      <c r="M51" s="192"/>
      <c r="N51" s="193" t="s">
        <v>1039</v>
      </c>
      <c r="O51" s="235">
        <v>10</v>
      </c>
      <c r="P51" s="197">
        <v>11</v>
      </c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  <c r="AC51" s="205"/>
      <c r="AD51" s="205"/>
      <c r="AE51" s="205"/>
      <c r="AF51" s="205"/>
      <c r="AG51" s="205"/>
      <c r="AH51" s="205"/>
      <c r="AI51" s="205"/>
      <c r="AJ51" s="205"/>
      <c r="AK51" s="205"/>
      <c r="AL51" s="205"/>
      <c r="AM51" s="205"/>
      <c r="AN51" s="205"/>
      <c r="AO51" s="205"/>
      <c r="AP51" s="205"/>
    </row>
    <row r="52" spans="1:60" s="206" customFormat="1" ht="15" customHeight="1" x14ac:dyDescent="0.3">
      <c r="A52" s="237" t="s">
        <v>902</v>
      </c>
      <c r="B52" s="195">
        <v>17</v>
      </c>
      <c r="C52" s="195" t="s">
        <v>823</v>
      </c>
      <c r="D52" s="196">
        <v>2080.41</v>
      </c>
      <c r="E52" s="551" t="s">
        <v>1011</v>
      </c>
      <c r="F52" s="580"/>
      <c r="G52" s="580"/>
      <c r="H52" s="580"/>
      <c r="I52" s="580"/>
      <c r="J52" s="552"/>
      <c r="K52" s="196">
        <v>300</v>
      </c>
      <c r="L52" s="192"/>
      <c r="M52" s="192"/>
      <c r="N52" s="193" t="s">
        <v>1049</v>
      </c>
      <c r="O52" s="235">
        <v>10</v>
      </c>
      <c r="P52" s="197">
        <v>11</v>
      </c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  <c r="AJ52" s="205"/>
      <c r="AK52" s="205"/>
      <c r="AL52" s="205"/>
      <c r="AM52" s="205"/>
      <c r="AN52" s="205"/>
      <c r="AO52" s="205"/>
      <c r="AP52" s="205"/>
    </row>
    <row r="53" spans="1:60" s="40" customFormat="1" ht="15" customHeight="1" thickBot="1" x14ac:dyDescent="0.35">
      <c r="A53" s="534" t="s">
        <v>4</v>
      </c>
      <c r="B53" s="549"/>
      <c r="C53" s="549"/>
      <c r="D53" s="549"/>
      <c r="E53" s="549"/>
      <c r="F53" s="549"/>
      <c r="G53" s="549"/>
      <c r="H53" s="549"/>
      <c r="I53" s="549"/>
      <c r="J53" s="535"/>
      <c r="K53" s="114">
        <f>SUM(K47:K52)</f>
        <v>9604.42</v>
      </c>
      <c r="L53" s="90"/>
      <c r="M53" s="90"/>
      <c r="N53" s="90"/>
      <c r="O53" s="90"/>
      <c r="P53" s="9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1"/>
      <c r="AU53" s="11"/>
      <c r="AV53" s="11"/>
      <c r="AW53" s="11"/>
    </row>
    <row r="54" spans="1:60" s="19" customFormat="1" x14ac:dyDescent="0.3">
      <c r="A54" s="179"/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1"/>
      <c r="P54" s="182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</row>
    <row r="55" spans="1:60" s="40" customFormat="1" x14ac:dyDescent="0.3">
      <c r="A55" s="585"/>
      <c r="B55" s="585"/>
      <c r="C55" s="585"/>
      <c r="D55" s="585"/>
      <c r="E55" s="585"/>
      <c r="F55" s="46"/>
      <c r="G55" s="46"/>
      <c r="H55" s="46"/>
      <c r="I55" s="46"/>
      <c r="J55" s="46"/>
      <c r="K55" s="46"/>
      <c r="L55" s="46"/>
      <c r="M55" s="46"/>
      <c r="N55" s="544" t="s">
        <v>315</v>
      </c>
      <c r="O55" s="544"/>
      <c r="P55" s="545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1"/>
      <c r="AU55" s="11"/>
      <c r="AV55" s="11"/>
      <c r="AW55" s="11"/>
    </row>
    <row r="56" spans="1:60" s="40" customFormat="1" x14ac:dyDescent="0.3">
      <c r="A56" s="206"/>
      <c r="B56" s="223"/>
      <c r="C56" s="223"/>
      <c r="D56" s="224"/>
      <c r="E56" s="223"/>
      <c r="F56" s="46"/>
      <c r="G56" s="46"/>
      <c r="H56" s="46"/>
      <c r="I56" s="11"/>
      <c r="J56" s="11"/>
      <c r="K56" s="87"/>
      <c r="L56" s="87"/>
      <c r="M56" s="87"/>
      <c r="N56" s="527" t="s">
        <v>94</v>
      </c>
      <c r="O56" s="527"/>
      <c r="P56" s="114">
        <f>L37+L43</f>
        <v>1200.1395896002989</v>
      </c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1"/>
      <c r="AU56" s="11"/>
      <c r="AV56" s="11"/>
      <c r="AW56" s="11"/>
    </row>
    <row r="57" spans="1:60" s="40" customFormat="1" x14ac:dyDescent="0.3">
      <c r="A57" s="206"/>
      <c r="B57" s="223"/>
      <c r="C57" s="223"/>
      <c r="D57" s="224"/>
      <c r="E57" s="223"/>
      <c r="F57" s="46"/>
      <c r="G57" s="46"/>
      <c r="H57" s="46"/>
      <c r="I57" s="11"/>
      <c r="J57" s="11"/>
      <c r="K57" s="14"/>
      <c r="L57" s="14"/>
      <c r="M57" s="14"/>
      <c r="N57" s="518" t="s">
        <v>260</v>
      </c>
      <c r="O57" s="518"/>
      <c r="P57" s="114">
        <f>L7</f>
        <v>0</v>
      </c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1"/>
      <c r="AU57" s="11"/>
      <c r="AV57" s="11"/>
      <c r="AW57" s="11"/>
    </row>
    <row r="58" spans="1:60" s="40" customFormat="1" x14ac:dyDescent="0.3">
      <c r="A58" s="206"/>
      <c r="B58" s="223"/>
      <c r="C58" s="223"/>
      <c r="D58" s="224"/>
      <c r="E58" s="223"/>
      <c r="F58" s="46"/>
      <c r="G58" s="46"/>
      <c r="H58" s="46"/>
      <c r="I58" s="11"/>
      <c r="J58" s="11"/>
      <c r="K58" s="14"/>
      <c r="L58" s="14"/>
      <c r="M58" s="14"/>
      <c r="N58" s="520"/>
      <c r="O58" s="520"/>
      <c r="P58" s="52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1"/>
      <c r="AU58" s="11"/>
      <c r="AV58" s="11"/>
      <c r="AW58" s="11"/>
    </row>
    <row r="59" spans="1:60" s="40" customFormat="1" x14ac:dyDescent="0.3">
      <c r="A59" s="206"/>
      <c r="B59" s="223"/>
      <c r="C59" s="223"/>
      <c r="D59" s="224"/>
      <c r="E59" s="223"/>
      <c r="F59" s="46"/>
      <c r="G59" s="46"/>
      <c r="H59" s="46"/>
      <c r="I59" s="11"/>
      <c r="J59" s="11"/>
      <c r="K59" s="62"/>
      <c r="L59" s="62"/>
      <c r="M59" s="62"/>
      <c r="N59" s="520"/>
      <c r="O59" s="520"/>
      <c r="P59" s="52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1"/>
      <c r="AU59" s="11"/>
      <c r="AV59" s="11"/>
      <c r="AW59" s="11"/>
    </row>
    <row r="60" spans="1:60" s="40" customFormat="1" ht="14.4" x14ac:dyDescent="0.3">
      <c r="A60" s="206"/>
      <c r="B60" s="223"/>
      <c r="C60" s="223"/>
      <c r="D60" s="224"/>
      <c r="E60" s="223"/>
      <c r="F60" s="46"/>
      <c r="G60" s="46"/>
      <c r="H60" s="46"/>
      <c r="I60" s="11"/>
      <c r="J60" s="11"/>
      <c r="K60" s="14"/>
      <c r="L60" s="14"/>
      <c r="M60" s="14"/>
      <c r="N60" s="529" t="s">
        <v>12</v>
      </c>
      <c r="O60" s="529"/>
      <c r="P60" s="529"/>
      <c r="Q60" s="175"/>
      <c r="R60" s="178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1"/>
      <c r="AU60" s="11"/>
      <c r="AV60" s="11"/>
      <c r="AW60" s="11"/>
    </row>
    <row r="61" spans="1:60" s="11" customFormat="1" ht="15" customHeight="1" x14ac:dyDescent="0.3">
      <c r="A61" s="206"/>
      <c r="B61" s="223"/>
      <c r="C61" s="223"/>
      <c r="D61" s="224"/>
      <c r="E61" s="223"/>
      <c r="F61" s="46"/>
      <c r="G61" s="46"/>
      <c r="H61" s="46"/>
      <c r="K61" s="63"/>
      <c r="L61" s="63"/>
      <c r="M61" s="63"/>
      <c r="N61" s="592" t="s">
        <v>126</v>
      </c>
      <c r="O61" s="592"/>
      <c r="P61" s="240">
        <v>100.23</v>
      </c>
      <c r="Q61" s="190"/>
      <c r="R61" s="178"/>
    </row>
    <row r="62" spans="1:60" s="11" customFormat="1" ht="15.6" x14ac:dyDescent="0.3">
      <c r="A62" s="206"/>
      <c r="B62" s="223"/>
      <c r="C62" s="223"/>
      <c r="D62" s="224"/>
      <c r="E62" s="223"/>
      <c r="F62" s="46"/>
      <c r="G62" s="46"/>
      <c r="H62" s="46"/>
      <c r="K62" s="14"/>
      <c r="L62" s="14"/>
      <c r="M62" s="14"/>
      <c r="N62" s="593" t="s">
        <v>127</v>
      </c>
      <c r="O62" s="593"/>
      <c r="P62" s="240">
        <v>1665.9</v>
      </c>
      <c r="Q62" s="175"/>
      <c r="R62" s="178"/>
    </row>
    <row r="63" spans="1:60" s="11" customFormat="1" ht="15" customHeight="1" x14ac:dyDescent="0.3">
      <c r="A63" s="206"/>
      <c r="B63" s="223"/>
      <c r="C63" s="223"/>
      <c r="D63" s="224"/>
      <c r="E63" s="223"/>
      <c r="F63" s="46"/>
      <c r="G63" s="46"/>
      <c r="H63" s="46"/>
      <c r="K63" s="63"/>
      <c r="L63" s="63"/>
      <c r="M63" s="63"/>
      <c r="N63" s="594" t="s">
        <v>1063</v>
      </c>
      <c r="O63" s="594"/>
      <c r="P63" s="239">
        <v>127.44</v>
      </c>
      <c r="Q63" s="190"/>
      <c r="R63" s="178"/>
    </row>
    <row r="64" spans="1:60" s="11" customFormat="1" ht="15.6" x14ac:dyDescent="0.3">
      <c r="A64" s="206"/>
      <c r="B64" s="223"/>
      <c r="C64" s="223"/>
      <c r="D64" s="224"/>
      <c r="E64" s="223"/>
      <c r="F64" s="46"/>
      <c r="G64" s="46"/>
      <c r="H64" s="46"/>
      <c r="K64" s="14"/>
      <c r="L64" s="14"/>
      <c r="M64" s="14"/>
      <c r="N64" s="594" t="s">
        <v>1018</v>
      </c>
      <c r="O64" s="594"/>
      <c r="P64" s="251">
        <v>127.8</v>
      </c>
      <c r="Q64" s="222"/>
      <c r="R64" s="178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</row>
    <row r="65" spans="1:48" s="11" customFormat="1" ht="15.6" x14ac:dyDescent="0.3">
      <c r="A65" s="206"/>
      <c r="B65" s="223"/>
      <c r="C65" s="223"/>
      <c r="D65" s="224"/>
      <c r="E65" s="223"/>
      <c r="F65" s="46"/>
      <c r="G65" s="46"/>
      <c r="H65" s="46"/>
      <c r="K65" s="63"/>
      <c r="L65" s="63"/>
      <c r="M65" s="63"/>
      <c r="N65" s="594"/>
      <c r="O65" s="594"/>
      <c r="P65" s="42"/>
      <c r="Q65" s="175"/>
      <c r="R65" s="178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</row>
    <row r="66" spans="1:48" s="11" customFormat="1" ht="15.6" x14ac:dyDescent="0.3">
      <c r="A66" s="206"/>
      <c r="B66" s="223"/>
      <c r="C66" s="223"/>
      <c r="D66" s="224"/>
      <c r="E66" s="223"/>
      <c r="F66" s="46"/>
      <c r="G66" s="46"/>
      <c r="H66" s="46"/>
      <c r="K66" s="14"/>
      <c r="L66" s="14"/>
      <c r="M66" s="14"/>
      <c r="N66" s="594"/>
      <c r="O66" s="594"/>
      <c r="P66" s="42"/>
      <c r="Q66" s="175"/>
      <c r="R66" s="185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</row>
    <row r="67" spans="1:48" s="11" customFormat="1" ht="15.6" x14ac:dyDescent="0.3">
      <c r="A67" s="206"/>
      <c r="B67" s="223"/>
      <c r="C67" s="223"/>
      <c r="D67" s="224"/>
      <c r="E67" s="223"/>
      <c r="F67" s="46"/>
      <c r="G67" s="46"/>
      <c r="H67" s="46"/>
      <c r="K67" s="14"/>
      <c r="L67" s="14"/>
      <c r="M67" s="14"/>
      <c r="N67" s="588"/>
      <c r="O67" s="589"/>
      <c r="P67" s="42"/>
      <c r="Q67" s="175"/>
      <c r="R67" s="185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</row>
    <row r="68" spans="1:48" s="11" customFormat="1" ht="15.6" x14ac:dyDescent="0.3">
      <c r="A68" s="206"/>
      <c r="B68" s="223"/>
      <c r="C68" s="223"/>
      <c r="D68" s="224"/>
      <c r="E68" s="223"/>
      <c r="F68" s="46"/>
      <c r="G68" s="46"/>
      <c r="H68" s="46"/>
      <c r="K68" s="63"/>
      <c r="L68" s="63"/>
      <c r="M68" s="63"/>
      <c r="N68" s="586" t="s">
        <v>26</v>
      </c>
      <c r="O68" s="586"/>
      <c r="P68" s="241">
        <f>SUM(P56:P67)</f>
        <v>3221.509589600299</v>
      </c>
      <c r="Q68" s="175"/>
      <c r="R68" s="178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</row>
    <row r="69" spans="1:48" s="11" customFormat="1" ht="15.6" x14ac:dyDescent="0.3">
      <c r="A69" s="206"/>
      <c r="B69" s="223"/>
      <c r="C69" s="223"/>
      <c r="D69" s="224"/>
      <c r="E69" s="223"/>
      <c r="F69" s="46"/>
      <c r="G69" s="46"/>
      <c r="H69" s="46"/>
      <c r="K69" s="14"/>
      <c r="L69" s="14"/>
      <c r="M69" s="14"/>
      <c r="N69" s="587"/>
      <c r="O69" s="587"/>
      <c r="P69" s="242"/>
      <c r="Q69" s="175"/>
      <c r="R69" s="178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</row>
    <row r="70" spans="1:48" s="11" customFormat="1" ht="15" customHeight="1" x14ac:dyDescent="0.3">
      <c r="A70" s="206"/>
      <c r="B70" s="223"/>
      <c r="C70" s="223"/>
      <c r="D70" s="224"/>
      <c r="E70" s="223"/>
      <c r="F70" s="46"/>
      <c r="G70" s="46"/>
      <c r="H70" s="46"/>
      <c r="K70" s="63"/>
      <c r="L70" s="63"/>
      <c r="M70" s="63"/>
      <c r="N70" s="564" t="s">
        <v>11</v>
      </c>
      <c r="O70" s="565"/>
      <c r="P70" s="153">
        <f>K7+K37+K43</f>
        <v>17144.851280004277</v>
      </c>
      <c r="R70" s="14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</row>
    <row r="71" spans="1:48" s="11" customFormat="1" ht="14.4" x14ac:dyDescent="0.3">
      <c r="A71" s="206"/>
      <c r="B71" s="223"/>
      <c r="C71" s="223"/>
      <c r="D71" s="224"/>
      <c r="E71" s="223"/>
      <c r="F71" s="46"/>
      <c r="G71" s="46"/>
      <c r="H71" s="46"/>
      <c r="K71" s="14"/>
      <c r="L71" s="14"/>
      <c r="M71" s="14"/>
      <c r="N71" s="518"/>
      <c r="O71" s="518"/>
      <c r="P71" s="519"/>
      <c r="Q71" s="190"/>
      <c r="R71" s="178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</row>
    <row r="72" spans="1:48" s="11" customFormat="1" ht="18.600000000000001" customHeight="1" x14ac:dyDescent="0.3">
      <c r="A72" s="206"/>
      <c r="B72" s="223"/>
      <c r="C72" s="223"/>
      <c r="D72" s="224"/>
      <c r="E72" s="223"/>
      <c r="F72" s="46"/>
      <c r="G72" s="46"/>
      <c r="H72" s="46"/>
      <c r="K72" s="63"/>
      <c r="L72" s="63"/>
      <c r="M72" s="63"/>
      <c r="N72" s="513" t="s">
        <v>13</v>
      </c>
      <c r="O72" s="513"/>
      <c r="P72" s="151">
        <f>P70-P68</f>
        <v>13923.341690403979</v>
      </c>
      <c r="Q72" s="175"/>
      <c r="R72" s="178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</row>
    <row r="73" spans="1:48" s="11" customFormat="1" ht="14.4" x14ac:dyDescent="0.3">
      <c r="A73" s="206"/>
      <c r="B73" s="223"/>
      <c r="C73" s="223"/>
      <c r="D73" s="224"/>
      <c r="E73" s="223"/>
      <c r="F73" s="46"/>
      <c r="G73" s="46"/>
      <c r="H73" s="46"/>
      <c r="N73" s="124"/>
      <c r="O73" s="124"/>
      <c r="P73" s="57"/>
      <c r="Q73" s="175"/>
      <c r="R73" s="178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</row>
    <row r="74" spans="1:48" s="11" customFormat="1" ht="14.4" x14ac:dyDescent="0.3">
      <c r="A74" s="206"/>
      <c r="B74" s="223"/>
      <c r="C74" s="223"/>
      <c r="D74" s="224"/>
      <c r="E74" s="223"/>
      <c r="F74" s="46"/>
      <c r="G74" s="46"/>
      <c r="H74" s="46"/>
      <c r="K74" s="63"/>
      <c r="L74" s="63"/>
      <c r="M74" s="63"/>
      <c r="N74" s="124"/>
      <c r="O74" s="124"/>
      <c r="P74" s="57"/>
      <c r="Q74" s="175"/>
      <c r="R74" s="178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</row>
    <row r="75" spans="1:48" s="11" customFormat="1" ht="14.4" x14ac:dyDescent="0.3">
      <c r="A75" s="206"/>
      <c r="B75" s="223"/>
      <c r="C75" s="223"/>
      <c r="D75" s="224"/>
      <c r="E75" s="223"/>
      <c r="F75" s="46"/>
      <c r="G75" s="46"/>
      <c r="H75" s="46"/>
      <c r="K75" s="14"/>
      <c r="L75" s="14"/>
      <c r="M75" s="14"/>
      <c r="N75" s="124"/>
      <c r="O75" s="124"/>
      <c r="P75" s="57"/>
      <c r="Q75" s="175"/>
      <c r="R75" s="185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</row>
    <row r="76" spans="1:48" s="11" customFormat="1" ht="14.4" x14ac:dyDescent="0.3">
      <c r="A76" s="206"/>
      <c r="B76" s="223"/>
      <c r="C76" s="223"/>
      <c r="D76" s="224"/>
      <c r="E76" s="223"/>
      <c r="F76" s="46"/>
      <c r="G76" s="46"/>
      <c r="H76" s="46"/>
      <c r="N76" s="124"/>
      <c r="O76" s="124"/>
      <c r="P76" s="57"/>
      <c r="Q76" s="175"/>
      <c r="R76" s="176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</row>
    <row r="77" spans="1:48" s="11" customFormat="1" ht="14.4" x14ac:dyDescent="0.3">
      <c r="A77" s="206"/>
      <c r="B77" s="223"/>
      <c r="C77" s="223"/>
      <c r="D77" s="224"/>
      <c r="E77" s="223"/>
      <c r="F77" s="46"/>
      <c r="G77" s="46"/>
      <c r="H77" s="46"/>
      <c r="N77" s="15"/>
      <c r="O77" s="14"/>
      <c r="P77" s="57"/>
      <c r="Q77" s="175"/>
      <c r="R77" s="176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</row>
    <row r="78" spans="1:48" s="11" customFormat="1" ht="14.4" x14ac:dyDescent="0.3">
      <c r="A78" s="206"/>
      <c r="B78" s="223"/>
      <c r="C78" s="223"/>
      <c r="D78" s="224"/>
      <c r="E78" s="223"/>
      <c r="F78" s="46"/>
      <c r="G78" s="46"/>
      <c r="H78" s="46"/>
      <c r="O78" s="15"/>
      <c r="P78" s="57"/>
      <c r="Q78" s="175"/>
      <c r="R78" s="178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</row>
    <row r="79" spans="1:48" s="11" customFormat="1" ht="14.4" x14ac:dyDescent="0.3">
      <c r="A79" s="206"/>
      <c r="B79" s="223"/>
      <c r="C79" s="223"/>
      <c r="D79" s="224"/>
      <c r="E79" s="223"/>
      <c r="F79" s="46"/>
      <c r="G79" s="46"/>
      <c r="H79" s="46"/>
      <c r="K79" s="14"/>
      <c r="L79" s="14"/>
      <c r="M79" s="14"/>
      <c r="P79" s="57"/>
      <c r="Q79" s="175"/>
      <c r="R79" s="178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</row>
    <row r="80" spans="1:48" s="11" customFormat="1" ht="14.4" x14ac:dyDescent="0.3">
      <c r="A80" s="206"/>
      <c r="B80" s="223"/>
      <c r="C80" s="223"/>
      <c r="D80" s="224"/>
      <c r="E80" s="223"/>
      <c r="F80" s="46"/>
      <c r="G80" s="46"/>
      <c r="H80" s="46"/>
      <c r="K80" s="15"/>
      <c r="L80" s="15"/>
      <c r="M80" s="15"/>
      <c r="N80" s="14"/>
      <c r="O80" s="14"/>
      <c r="P80" s="57"/>
      <c r="Q80" s="175"/>
      <c r="R80" s="178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</row>
    <row r="81" spans="1:47" s="11" customFormat="1" ht="14.4" x14ac:dyDescent="0.3">
      <c r="A81" s="206"/>
      <c r="B81" s="223"/>
      <c r="C81" s="223"/>
      <c r="D81" s="224"/>
      <c r="E81" s="223"/>
      <c r="F81" s="46"/>
      <c r="G81" s="46"/>
      <c r="H81" s="46"/>
      <c r="K81" s="14"/>
      <c r="L81" s="14"/>
      <c r="M81" s="14"/>
      <c r="N81" s="14"/>
      <c r="O81" s="15"/>
      <c r="P81" s="57"/>
      <c r="Q81" s="175"/>
      <c r="R81" s="178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</row>
    <row r="82" spans="1:47" s="11" customFormat="1" ht="14.4" x14ac:dyDescent="0.3">
      <c r="A82" s="206"/>
      <c r="B82" s="223"/>
      <c r="C82" s="223"/>
      <c r="D82" s="224"/>
      <c r="E82" s="223"/>
      <c r="F82" s="46"/>
      <c r="G82" s="46"/>
      <c r="H82" s="46"/>
      <c r="K82" s="14"/>
      <c r="L82" s="14"/>
      <c r="M82" s="14"/>
      <c r="N82" s="14"/>
      <c r="P82" s="57"/>
      <c r="Q82" s="175"/>
      <c r="R82" s="178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</row>
    <row r="83" spans="1:47" s="11" customFormat="1" ht="14.4" x14ac:dyDescent="0.3">
      <c r="A83" s="206"/>
      <c r="B83" s="223"/>
      <c r="C83" s="223"/>
      <c r="D83" s="224"/>
      <c r="E83" s="223"/>
      <c r="F83" s="46"/>
      <c r="G83" s="46"/>
      <c r="H83" s="46"/>
      <c r="K83" s="14"/>
      <c r="L83" s="14"/>
      <c r="M83" s="14"/>
      <c r="N83" s="14"/>
      <c r="P83" s="57"/>
      <c r="Q83" s="175"/>
      <c r="R83" s="178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</row>
    <row r="84" spans="1:47" s="11" customFormat="1" x14ac:dyDescent="0.3">
      <c r="A84" s="206"/>
      <c r="B84" s="223"/>
      <c r="C84" s="223"/>
      <c r="D84" s="224"/>
      <c r="E84" s="223"/>
      <c r="F84" s="46"/>
      <c r="G84" s="46"/>
      <c r="H84" s="46"/>
      <c r="K84" s="14"/>
      <c r="L84" s="14"/>
      <c r="M84" s="14"/>
      <c r="P84" s="57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</row>
    <row r="85" spans="1:47" s="69" customFormat="1" x14ac:dyDescent="0.3">
      <c r="A85" s="206"/>
      <c r="B85" s="223"/>
      <c r="C85" s="223"/>
      <c r="D85" s="224"/>
      <c r="E85" s="223"/>
      <c r="F85" s="46"/>
      <c r="G85" s="46"/>
      <c r="H85" s="46"/>
      <c r="I85" s="11"/>
      <c r="J85" s="11"/>
      <c r="K85" s="14"/>
      <c r="L85" s="14"/>
      <c r="M85" s="14"/>
      <c r="N85" s="11"/>
      <c r="O85" s="14"/>
      <c r="P85" s="57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</row>
    <row r="86" spans="1:47" s="69" customFormat="1" x14ac:dyDescent="0.3">
      <c r="A86" s="206"/>
      <c r="B86" s="223"/>
      <c r="C86" s="223"/>
      <c r="D86" s="224"/>
      <c r="E86" s="223"/>
      <c r="F86" s="46"/>
      <c r="G86" s="46"/>
      <c r="H86" s="46"/>
      <c r="I86" s="11"/>
      <c r="J86" s="11"/>
      <c r="K86" s="14"/>
      <c r="L86" s="14"/>
      <c r="M86" s="14"/>
      <c r="N86" s="11"/>
      <c r="O86" s="14"/>
      <c r="P86" s="57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</row>
    <row r="87" spans="1:47" s="69" customFormat="1" x14ac:dyDescent="0.3">
      <c r="A87" s="206"/>
      <c r="B87" s="223"/>
      <c r="C87" s="223"/>
      <c r="D87" s="224"/>
      <c r="E87" s="223"/>
      <c r="F87" s="46"/>
      <c r="G87" s="46"/>
      <c r="H87" s="46"/>
      <c r="I87" s="11"/>
      <c r="J87" s="11"/>
      <c r="K87" s="14"/>
      <c r="L87" s="14"/>
      <c r="M87" s="14"/>
      <c r="N87" s="11"/>
      <c r="O87" s="14"/>
      <c r="P87" s="57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</row>
    <row r="88" spans="1:47" s="69" customFormat="1" x14ac:dyDescent="0.3">
      <c r="A88" s="206"/>
      <c r="B88" s="223"/>
      <c r="C88" s="223"/>
      <c r="D88" s="224"/>
      <c r="E88" s="223"/>
      <c r="F88" s="46"/>
      <c r="G88" s="46"/>
      <c r="H88" s="46"/>
      <c r="I88" s="11"/>
      <c r="J88" s="11"/>
      <c r="K88" s="14"/>
      <c r="L88" s="14"/>
      <c r="M88" s="14"/>
      <c r="N88" s="11"/>
      <c r="O88" s="14"/>
      <c r="P88" s="57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</row>
    <row r="89" spans="1:47" s="69" customFormat="1" x14ac:dyDescent="0.3">
      <c r="A89" s="206"/>
      <c r="B89" s="223"/>
      <c r="C89" s="223"/>
      <c r="D89" s="224"/>
      <c r="E89" s="223"/>
      <c r="F89" s="46"/>
      <c r="G89" s="46"/>
      <c r="H89" s="46"/>
      <c r="I89" s="11"/>
      <c r="J89" s="11"/>
      <c r="K89" s="14"/>
      <c r="L89" s="14"/>
      <c r="M89" s="14"/>
      <c r="N89" s="11"/>
      <c r="O89" s="11"/>
      <c r="P89" s="57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</row>
    <row r="90" spans="1:47" s="69" customFormat="1" x14ac:dyDescent="0.3">
      <c r="A90" s="206"/>
      <c r="B90" s="223"/>
      <c r="C90" s="223"/>
      <c r="D90" s="224"/>
      <c r="E90" s="223"/>
      <c r="F90" s="46"/>
      <c r="G90" s="46"/>
      <c r="H90" s="46"/>
      <c r="I90" s="11"/>
      <c r="J90" s="11"/>
      <c r="K90" s="14"/>
      <c r="L90" s="14"/>
      <c r="M90" s="14"/>
      <c r="N90" s="11"/>
      <c r="O90" s="11"/>
      <c r="P90" s="57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</row>
    <row r="91" spans="1:47" s="69" customFormat="1" x14ac:dyDescent="0.3">
      <c r="A91" s="206"/>
      <c r="B91" s="223"/>
      <c r="C91" s="223"/>
      <c r="D91" s="224"/>
      <c r="E91" s="223"/>
      <c r="F91" s="46"/>
      <c r="G91" s="46"/>
      <c r="H91" s="46"/>
      <c r="I91" s="11"/>
      <c r="J91" s="11"/>
      <c r="K91" s="14"/>
      <c r="L91" s="14"/>
      <c r="M91" s="14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</row>
    <row r="92" spans="1:47" s="69" customFormat="1" x14ac:dyDescent="0.3">
      <c r="A92" s="206"/>
      <c r="B92" s="223"/>
      <c r="C92" s="223"/>
      <c r="D92" s="224"/>
      <c r="E92" s="223"/>
      <c r="F92" s="46"/>
      <c r="G92" s="46"/>
      <c r="H92" s="46"/>
      <c r="I92" s="11"/>
      <c r="J92" s="11"/>
      <c r="K92" s="14"/>
      <c r="L92" s="14"/>
      <c r="M92" s="14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</row>
    <row r="93" spans="1:47" s="69" customFormat="1" x14ac:dyDescent="0.3">
      <c r="A93" s="206"/>
      <c r="B93" s="223"/>
      <c r="C93" s="223"/>
      <c r="D93" s="224"/>
      <c r="E93" s="223"/>
      <c r="F93" s="46"/>
      <c r="G93" s="46"/>
      <c r="H93" s="46"/>
      <c r="I93" s="11"/>
      <c r="J93" s="11"/>
      <c r="K93" s="14"/>
      <c r="L93" s="14"/>
      <c r="M93" s="14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</row>
    <row r="94" spans="1:47" s="69" customFormat="1" x14ac:dyDescent="0.3">
      <c r="A94" s="206"/>
      <c r="B94" s="223"/>
      <c r="C94" s="223"/>
      <c r="D94" s="224"/>
      <c r="E94" s="223"/>
      <c r="F94" s="46"/>
      <c r="G94" s="46"/>
      <c r="H94" s="46"/>
      <c r="I94" s="11"/>
      <c r="J94" s="11"/>
      <c r="K94" s="14"/>
      <c r="L94" s="14"/>
      <c r="M94" s="14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</row>
    <row r="95" spans="1:47" s="69" customFormat="1" x14ac:dyDescent="0.3">
      <c r="A95" s="206"/>
      <c r="B95" s="223"/>
      <c r="C95" s="223"/>
      <c r="D95" s="224"/>
      <c r="E95" s="223"/>
      <c r="F95" s="46"/>
      <c r="G95" s="46"/>
      <c r="H95" s="46"/>
      <c r="I95" s="11"/>
      <c r="J95" s="11"/>
      <c r="K95" s="14"/>
      <c r="L95" s="14"/>
      <c r="M95" s="14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</row>
    <row r="96" spans="1:47" s="69" customFormat="1" x14ac:dyDescent="0.3">
      <c r="A96" s="206"/>
      <c r="B96" s="223"/>
      <c r="C96" s="223"/>
      <c r="D96" s="224"/>
      <c r="E96" s="223"/>
      <c r="F96" s="46"/>
      <c r="G96" s="46"/>
      <c r="H96" s="46"/>
      <c r="K96" s="142"/>
      <c r="L96" s="142"/>
      <c r="M96" s="142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</row>
    <row r="97" spans="1:48" s="70" customFormat="1" x14ac:dyDescent="0.3">
      <c r="A97" s="206"/>
      <c r="B97" s="223"/>
      <c r="C97" s="223"/>
      <c r="D97" s="224"/>
      <c r="E97" s="223"/>
      <c r="F97" s="46"/>
      <c r="G97" s="46"/>
      <c r="H97" s="46"/>
      <c r="I97" s="63"/>
      <c r="J97" s="63"/>
      <c r="K97" s="69"/>
      <c r="L97" s="69"/>
      <c r="M97" s="69"/>
      <c r="N97" s="69"/>
      <c r="O97" s="69"/>
      <c r="P97" s="69"/>
    </row>
    <row r="98" spans="1:48" s="70" customFormat="1" ht="15" customHeight="1" x14ac:dyDescent="0.3">
      <c r="A98" s="206"/>
      <c r="B98" s="223"/>
      <c r="C98" s="223"/>
      <c r="D98" s="224"/>
      <c r="E98" s="223"/>
      <c r="F98" s="46"/>
      <c r="G98" s="46"/>
      <c r="H98" s="46"/>
      <c r="I98" s="11"/>
      <c r="J98" s="63"/>
      <c r="K98" s="142"/>
      <c r="L98" s="142"/>
      <c r="M98" s="142"/>
      <c r="N98" s="144"/>
      <c r="O98" s="69"/>
      <c r="P98" s="69"/>
      <c r="AV98" s="69"/>
    </row>
    <row r="99" spans="1:48" s="70" customFormat="1" x14ac:dyDescent="0.3">
      <c r="A99" s="206"/>
      <c r="B99" s="223"/>
      <c r="C99" s="223"/>
      <c r="D99" s="224"/>
      <c r="E99" s="223"/>
      <c r="F99" s="46"/>
      <c r="G99" s="46"/>
      <c r="H99" s="46"/>
      <c r="I99" s="142"/>
      <c r="J99" s="142"/>
      <c r="K99" s="142"/>
      <c r="L99" s="142"/>
      <c r="M99" s="142"/>
      <c r="N99" s="144"/>
      <c r="O99" s="69"/>
      <c r="P99" s="69"/>
      <c r="AV99" s="69"/>
    </row>
    <row r="100" spans="1:48" s="70" customFormat="1" x14ac:dyDescent="0.3">
      <c r="A100" s="206"/>
      <c r="B100" s="223"/>
      <c r="C100" s="223"/>
      <c r="D100" s="224"/>
      <c r="E100" s="223"/>
      <c r="F100" s="46"/>
      <c r="G100" s="46"/>
      <c r="H100" s="46"/>
      <c r="I100" s="11"/>
      <c r="J100" s="63"/>
      <c r="K100" s="142"/>
      <c r="L100" s="142"/>
      <c r="M100" s="142"/>
      <c r="N100" s="144"/>
      <c r="O100" s="69"/>
      <c r="AV100" s="69"/>
    </row>
    <row r="101" spans="1:48" s="70" customFormat="1" x14ac:dyDescent="0.3">
      <c r="A101" s="206"/>
      <c r="B101" s="223"/>
      <c r="C101" s="223"/>
      <c r="D101" s="224"/>
      <c r="E101" s="223"/>
      <c r="F101" s="46"/>
      <c r="G101" s="46"/>
      <c r="H101" s="46"/>
      <c r="I101" s="142"/>
      <c r="J101" s="142"/>
      <c r="K101" s="142"/>
      <c r="L101" s="142"/>
      <c r="M101" s="142"/>
      <c r="N101" s="144"/>
      <c r="O101" s="69"/>
      <c r="AV101" s="69"/>
    </row>
    <row r="102" spans="1:48" s="70" customFormat="1" x14ac:dyDescent="0.3">
      <c r="A102" s="206"/>
      <c r="B102" s="223"/>
      <c r="C102" s="223"/>
      <c r="D102" s="224"/>
      <c r="E102" s="223"/>
      <c r="F102" s="46"/>
      <c r="G102" s="46"/>
      <c r="H102" s="46"/>
      <c r="I102" s="11"/>
      <c r="J102" s="63"/>
      <c r="K102" s="142"/>
      <c r="L102" s="142"/>
      <c r="M102" s="142"/>
      <c r="N102" s="144"/>
      <c r="O102" s="69"/>
      <c r="AV102" s="69"/>
    </row>
    <row r="103" spans="1:48" s="70" customFormat="1" x14ac:dyDescent="0.3">
      <c r="A103" s="206"/>
      <c r="B103" s="223"/>
      <c r="C103" s="223"/>
      <c r="D103" s="224"/>
      <c r="E103" s="223"/>
      <c r="F103" s="46"/>
      <c r="G103" s="46"/>
      <c r="H103" s="46"/>
      <c r="I103" s="142"/>
      <c r="J103" s="142"/>
      <c r="K103" s="142"/>
      <c r="L103" s="142"/>
      <c r="M103" s="142"/>
      <c r="N103" s="144"/>
      <c r="O103" s="144"/>
      <c r="AV103" s="69"/>
    </row>
    <row r="104" spans="1:48" s="70" customFormat="1" x14ac:dyDescent="0.3">
      <c r="A104" s="206"/>
      <c r="B104" s="223"/>
      <c r="C104" s="223"/>
      <c r="D104" s="224"/>
      <c r="E104" s="223"/>
      <c r="F104" s="46"/>
      <c r="G104" s="46"/>
      <c r="H104" s="46"/>
      <c r="I104" s="11"/>
      <c r="J104" s="63"/>
      <c r="K104" s="142"/>
      <c r="L104" s="142"/>
      <c r="M104" s="142"/>
      <c r="N104" s="144"/>
      <c r="O104" s="144"/>
      <c r="AV104" s="69"/>
    </row>
    <row r="105" spans="1:48" s="70" customFormat="1" x14ac:dyDescent="0.3">
      <c r="A105" s="206"/>
      <c r="B105" s="223"/>
      <c r="C105" s="223"/>
      <c r="D105" s="224"/>
      <c r="E105" s="223"/>
      <c r="F105" s="46"/>
      <c r="G105" s="46"/>
      <c r="H105" s="46"/>
      <c r="I105" s="142"/>
      <c r="J105" s="142"/>
      <c r="K105" s="142"/>
      <c r="L105" s="142"/>
      <c r="M105" s="142"/>
      <c r="N105" s="144"/>
      <c r="O105" s="144"/>
      <c r="AV105" s="69"/>
    </row>
    <row r="106" spans="1:48" s="70" customFormat="1" x14ac:dyDescent="0.3">
      <c r="A106" s="206"/>
      <c r="B106" s="223"/>
      <c r="C106" s="223"/>
      <c r="D106" s="224"/>
      <c r="E106" s="223"/>
      <c r="F106" s="46"/>
      <c r="G106" s="46"/>
      <c r="H106" s="46"/>
      <c r="I106" s="11"/>
      <c r="J106" s="63"/>
      <c r="K106" s="142"/>
      <c r="L106" s="142"/>
      <c r="M106" s="142"/>
      <c r="N106" s="144"/>
      <c r="O106" s="144"/>
      <c r="AV106" s="69"/>
    </row>
    <row r="107" spans="1:48" s="70" customFormat="1" x14ac:dyDescent="0.3">
      <c r="A107" s="148"/>
      <c r="B107" s="225"/>
      <c r="C107" s="225"/>
      <c r="D107" s="225"/>
      <c r="E107" s="225"/>
      <c r="F107" s="46"/>
      <c r="G107" s="46"/>
      <c r="H107" s="46"/>
      <c r="I107" s="142"/>
      <c r="J107" s="142"/>
      <c r="K107" s="142"/>
      <c r="L107" s="142"/>
      <c r="M107" s="142"/>
      <c r="N107" s="144"/>
      <c r="O107" s="144"/>
      <c r="AV107" s="69"/>
    </row>
    <row r="108" spans="1:48" s="70" customFormat="1" x14ac:dyDescent="0.3">
      <c r="A108" s="69"/>
      <c r="B108" s="69"/>
      <c r="C108" s="69"/>
      <c r="D108" s="69"/>
      <c r="E108" s="69"/>
      <c r="F108" s="69"/>
      <c r="G108" s="69"/>
      <c r="H108" s="69"/>
      <c r="I108" s="142"/>
      <c r="J108" s="142"/>
      <c r="K108" s="142"/>
      <c r="L108" s="142"/>
      <c r="M108" s="142"/>
      <c r="N108" s="144"/>
      <c r="O108" s="144"/>
      <c r="AV108" s="69"/>
    </row>
    <row r="109" spans="1:48" s="70" customFormat="1" x14ac:dyDescent="0.3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142"/>
      <c r="L109" s="142"/>
      <c r="M109" s="142"/>
      <c r="N109" s="144"/>
      <c r="O109" s="144"/>
      <c r="AV109" s="69"/>
    </row>
    <row r="110" spans="1:48" s="70" customFormat="1" x14ac:dyDescent="0.3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142"/>
      <c r="L110" s="142"/>
      <c r="M110" s="142"/>
      <c r="N110" s="144"/>
      <c r="O110" s="144"/>
      <c r="AV110" s="69"/>
    </row>
    <row r="111" spans="1:48" s="70" customFormat="1" x14ac:dyDescent="0.3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142"/>
      <c r="L111" s="142"/>
      <c r="M111" s="142"/>
      <c r="N111" s="144"/>
      <c r="O111" s="144"/>
      <c r="AV111" s="69"/>
    </row>
    <row r="112" spans="1:48" s="70" customFormat="1" x14ac:dyDescent="0.3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142"/>
      <c r="L112" s="142"/>
      <c r="M112" s="142"/>
      <c r="N112" s="144"/>
      <c r="O112" s="144"/>
      <c r="AV112" s="69"/>
    </row>
    <row r="113" spans="1:48" s="70" customFormat="1" x14ac:dyDescent="0.3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142"/>
      <c r="L113" s="142"/>
      <c r="M113" s="142"/>
      <c r="N113" s="144"/>
      <c r="O113" s="144"/>
      <c r="AV113" s="69"/>
    </row>
    <row r="114" spans="1:48" s="70" customFormat="1" x14ac:dyDescent="0.3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142"/>
      <c r="L114" s="142"/>
      <c r="M114" s="142"/>
      <c r="N114" s="144"/>
      <c r="O114" s="144"/>
      <c r="AV114" s="69"/>
    </row>
    <row r="115" spans="1:48" s="70" customFormat="1" x14ac:dyDescent="0.3">
      <c r="F115" s="69"/>
      <c r="G115" s="69"/>
      <c r="H115" s="69"/>
      <c r="I115" s="69"/>
      <c r="J115" s="69"/>
      <c r="K115" s="142"/>
      <c r="L115" s="142"/>
      <c r="M115" s="142"/>
      <c r="N115" s="144"/>
      <c r="O115" s="144"/>
      <c r="AV115" s="69"/>
    </row>
    <row r="116" spans="1:48" s="70" customFormat="1" x14ac:dyDescent="0.3">
      <c r="I116" s="69"/>
      <c r="J116" s="69"/>
      <c r="K116" s="142"/>
      <c r="L116" s="142"/>
      <c r="M116" s="142"/>
      <c r="N116" s="144"/>
      <c r="O116" s="144"/>
      <c r="AV116" s="69"/>
    </row>
    <row r="117" spans="1:48" s="70" customFormat="1" x14ac:dyDescent="0.3">
      <c r="K117" s="142"/>
      <c r="L117" s="142"/>
      <c r="M117" s="142"/>
      <c r="N117" s="144"/>
      <c r="O117" s="144"/>
      <c r="AV117" s="69"/>
    </row>
    <row r="118" spans="1:48" s="70" customFormat="1" x14ac:dyDescent="0.3">
      <c r="K118" s="142"/>
      <c r="L118" s="142"/>
      <c r="M118" s="142"/>
      <c r="N118" s="144"/>
      <c r="O118" s="144"/>
      <c r="AV118" s="69"/>
    </row>
    <row r="119" spans="1:48" s="70" customFormat="1" x14ac:dyDescent="0.3">
      <c r="K119" s="142"/>
      <c r="L119" s="142"/>
      <c r="M119" s="142"/>
      <c r="N119" s="144"/>
      <c r="O119" s="144"/>
      <c r="AV119" s="69"/>
    </row>
    <row r="120" spans="1:48" s="70" customFormat="1" x14ac:dyDescent="0.3">
      <c r="K120" s="142"/>
      <c r="L120" s="142"/>
      <c r="M120" s="142"/>
      <c r="N120" s="144"/>
      <c r="O120" s="144"/>
      <c r="AV120" s="69"/>
    </row>
    <row r="121" spans="1:48" s="70" customFormat="1" x14ac:dyDescent="0.3">
      <c r="K121" s="142"/>
      <c r="L121" s="142"/>
      <c r="M121" s="142"/>
      <c r="N121" s="144"/>
      <c r="O121" s="144"/>
      <c r="AV121" s="69"/>
    </row>
    <row r="122" spans="1:48" s="70" customFormat="1" x14ac:dyDescent="0.3">
      <c r="K122" s="142"/>
      <c r="L122" s="142"/>
      <c r="M122" s="142"/>
      <c r="N122" s="144"/>
      <c r="O122" s="144"/>
      <c r="AV122" s="69"/>
    </row>
    <row r="123" spans="1:48" s="70" customFormat="1" x14ac:dyDescent="0.3">
      <c r="K123" s="142"/>
      <c r="L123" s="142"/>
      <c r="M123" s="142"/>
      <c r="N123" s="144"/>
      <c r="O123" s="144"/>
      <c r="AV123" s="69"/>
    </row>
    <row r="124" spans="1:48" s="70" customFormat="1" x14ac:dyDescent="0.3">
      <c r="K124" s="142"/>
      <c r="L124" s="142"/>
      <c r="M124" s="142"/>
      <c r="N124" s="144"/>
      <c r="O124" s="144"/>
      <c r="AV124" s="69"/>
    </row>
    <row r="125" spans="1:48" s="70" customFormat="1" x14ac:dyDescent="0.3">
      <c r="K125" s="142"/>
      <c r="L125" s="142"/>
      <c r="M125" s="142"/>
      <c r="N125" s="144"/>
      <c r="O125" s="144"/>
      <c r="AV125" s="69"/>
    </row>
    <row r="126" spans="1:48" s="70" customFormat="1" x14ac:dyDescent="0.3">
      <c r="K126" s="142"/>
      <c r="L126" s="142"/>
      <c r="M126" s="142"/>
      <c r="N126" s="144"/>
      <c r="O126" s="144"/>
      <c r="AV126" s="69"/>
    </row>
    <row r="127" spans="1:48" s="70" customFormat="1" x14ac:dyDescent="0.3">
      <c r="K127" s="142"/>
      <c r="L127" s="142"/>
      <c r="M127" s="142"/>
      <c r="N127" s="144"/>
      <c r="O127" s="144"/>
      <c r="AV127" s="69"/>
    </row>
    <row r="128" spans="1:48" s="70" customFormat="1" x14ac:dyDescent="0.3">
      <c r="K128" s="142"/>
      <c r="L128" s="142"/>
      <c r="M128" s="142"/>
      <c r="N128" s="144"/>
      <c r="O128" s="144"/>
      <c r="AV128" s="69"/>
    </row>
    <row r="129" spans="11:48" s="70" customFormat="1" x14ac:dyDescent="0.3">
      <c r="K129" s="142"/>
      <c r="L129" s="142"/>
      <c r="M129" s="142"/>
      <c r="N129" s="144"/>
      <c r="O129" s="144"/>
      <c r="AV129" s="69"/>
    </row>
    <row r="130" spans="11:48" s="70" customFormat="1" x14ac:dyDescent="0.3">
      <c r="K130" s="142"/>
      <c r="L130" s="142"/>
      <c r="M130" s="142"/>
      <c r="N130" s="144"/>
      <c r="O130" s="144"/>
      <c r="AV130" s="69"/>
    </row>
    <row r="131" spans="11:48" s="70" customFormat="1" x14ac:dyDescent="0.3">
      <c r="K131" s="142"/>
      <c r="L131" s="142"/>
      <c r="M131" s="142"/>
      <c r="N131" s="144"/>
      <c r="O131" s="144"/>
      <c r="AV131" s="69"/>
    </row>
    <row r="132" spans="11:48" s="70" customFormat="1" x14ac:dyDescent="0.3">
      <c r="K132" s="142"/>
      <c r="L132" s="142"/>
      <c r="M132" s="142"/>
      <c r="N132" s="144"/>
      <c r="O132" s="144"/>
      <c r="AV132" s="69"/>
    </row>
    <row r="133" spans="11:48" s="70" customFormat="1" x14ac:dyDescent="0.3">
      <c r="K133" s="142"/>
      <c r="L133" s="142"/>
      <c r="M133" s="142"/>
      <c r="N133" s="144"/>
      <c r="O133" s="144"/>
      <c r="AV133" s="69"/>
    </row>
    <row r="134" spans="11:48" s="70" customFormat="1" x14ac:dyDescent="0.3">
      <c r="K134" s="142"/>
      <c r="L134" s="142"/>
      <c r="M134" s="142"/>
      <c r="N134" s="144"/>
      <c r="O134" s="144"/>
      <c r="AV134" s="69"/>
    </row>
    <row r="135" spans="11:48" s="70" customFormat="1" x14ac:dyDescent="0.3">
      <c r="K135" s="142"/>
      <c r="L135" s="142"/>
      <c r="M135" s="142"/>
      <c r="N135" s="144"/>
      <c r="O135" s="144"/>
      <c r="AV135" s="69"/>
    </row>
    <row r="136" spans="11:48" s="70" customFormat="1" x14ac:dyDescent="0.3">
      <c r="K136" s="142"/>
      <c r="L136" s="142"/>
      <c r="M136" s="142"/>
      <c r="N136" s="144"/>
      <c r="O136" s="144"/>
      <c r="AV136" s="69"/>
    </row>
    <row r="137" spans="11:48" s="70" customFormat="1" x14ac:dyDescent="0.3">
      <c r="K137" s="142"/>
      <c r="L137" s="142"/>
      <c r="M137" s="142"/>
      <c r="N137" s="144"/>
      <c r="O137" s="144"/>
      <c r="AV137" s="69"/>
    </row>
    <row r="138" spans="11:48" s="70" customFormat="1" x14ac:dyDescent="0.3">
      <c r="K138" s="142"/>
      <c r="L138" s="142"/>
      <c r="M138" s="142"/>
      <c r="N138" s="144"/>
      <c r="O138" s="144"/>
      <c r="AV138" s="69"/>
    </row>
    <row r="139" spans="11:48" s="70" customFormat="1" x14ac:dyDescent="0.3">
      <c r="K139" s="142"/>
      <c r="L139" s="142"/>
      <c r="M139" s="142"/>
      <c r="N139" s="144"/>
      <c r="O139" s="144"/>
      <c r="AV139" s="69"/>
    </row>
    <row r="140" spans="11:48" s="70" customFormat="1" x14ac:dyDescent="0.3">
      <c r="K140" s="142"/>
      <c r="L140" s="142"/>
      <c r="M140" s="142"/>
      <c r="N140" s="144"/>
      <c r="O140" s="144"/>
      <c r="AV140" s="69"/>
    </row>
    <row r="141" spans="11:48" s="70" customFormat="1" x14ac:dyDescent="0.3">
      <c r="K141" s="142"/>
      <c r="L141" s="142"/>
      <c r="M141" s="142"/>
      <c r="N141" s="144"/>
      <c r="O141" s="144"/>
      <c r="AV141" s="69"/>
    </row>
    <row r="142" spans="11:48" s="70" customFormat="1" x14ac:dyDescent="0.3">
      <c r="K142" s="142"/>
      <c r="L142" s="142"/>
      <c r="M142" s="142"/>
      <c r="N142" s="144"/>
      <c r="O142" s="144"/>
      <c r="AV142" s="69"/>
    </row>
    <row r="143" spans="11:48" s="70" customFormat="1" x14ac:dyDescent="0.3">
      <c r="K143" s="142"/>
      <c r="L143" s="142"/>
      <c r="M143" s="142"/>
      <c r="N143" s="144"/>
      <c r="O143" s="144"/>
      <c r="AV143" s="69"/>
    </row>
    <row r="144" spans="11:48" s="70" customFormat="1" x14ac:dyDescent="0.3">
      <c r="K144" s="142"/>
      <c r="L144" s="142"/>
      <c r="M144" s="142"/>
      <c r="N144" s="144"/>
      <c r="O144" s="144"/>
      <c r="AV144" s="69"/>
    </row>
    <row r="145" spans="11:48" s="70" customFormat="1" x14ac:dyDescent="0.3">
      <c r="K145" s="142"/>
      <c r="L145" s="142"/>
      <c r="M145" s="142"/>
      <c r="N145" s="144"/>
      <c r="O145" s="144"/>
      <c r="AV145" s="69"/>
    </row>
    <row r="146" spans="11:48" s="70" customFormat="1" x14ac:dyDescent="0.3">
      <c r="K146" s="142"/>
      <c r="L146" s="142"/>
      <c r="M146" s="142"/>
      <c r="N146" s="144"/>
      <c r="O146" s="144"/>
      <c r="AV146" s="69"/>
    </row>
    <row r="147" spans="11:48" s="70" customFormat="1" x14ac:dyDescent="0.3">
      <c r="K147" s="142"/>
      <c r="L147" s="142"/>
      <c r="M147" s="142"/>
      <c r="N147" s="144"/>
      <c r="O147" s="144"/>
      <c r="AV147" s="69"/>
    </row>
    <row r="148" spans="11:48" s="70" customFormat="1" x14ac:dyDescent="0.3">
      <c r="K148" s="142"/>
      <c r="L148" s="142"/>
      <c r="M148" s="142"/>
      <c r="N148" s="144"/>
      <c r="O148" s="144"/>
      <c r="AV148" s="69"/>
    </row>
    <row r="149" spans="11:48" s="70" customFormat="1" x14ac:dyDescent="0.3">
      <c r="K149" s="142"/>
      <c r="L149" s="142"/>
      <c r="M149" s="142"/>
      <c r="N149" s="144"/>
      <c r="O149" s="144"/>
      <c r="AV149" s="69"/>
    </row>
    <row r="150" spans="11:48" s="70" customFormat="1" x14ac:dyDescent="0.3">
      <c r="K150" s="142"/>
      <c r="L150" s="142"/>
      <c r="M150" s="142"/>
      <c r="N150" s="144"/>
      <c r="O150" s="144"/>
      <c r="AV150" s="69"/>
    </row>
    <row r="151" spans="11:48" s="70" customFormat="1" x14ac:dyDescent="0.3">
      <c r="K151" s="142"/>
      <c r="L151" s="142"/>
      <c r="M151" s="142"/>
      <c r="N151" s="144"/>
      <c r="O151" s="144"/>
      <c r="AV151" s="69"/>
    </row>
    <row r="152" spans="11:48" s="70" customFormat="1" x14ac:dyDescent="0.3">
      <c r="K152" s="142"/>
      <c r="L152" s="142"/>
      <c r="M152" s="142"/>
      <c r="N152" s="144"/>
      <c r="O152" s="144"/>
      <c r="AV152" s="69"/>
    </row>
    <row r="153" spans="11:48" s="70" customFormat="1" x14ac:dyDescent="0.3">
      <c r="K153" s="142"/>
      <c r="L153" s="142"/>
      <c r="M153" s="142"/>
      <c r="N153" s="144"/>
      <c r="O153" s="144"/>
      <c r="AV153" s="69"/>
    </row>
    <row r="154" spans="11:48" s="70" customFormat="1" x14ac:dyDescent="0.3">
      <c r="K154" s="142"/>
      <c r="L154" s="142"/>
      <c r="M154" s="142"/>
      <c r="N154" s="144"/>
      <c r="O154" s="144"/>
      <c r="AV154" s="69"/>
    </row>
    <row r="155" spans="11:48" s="70" customFormat="1" x14ac:dyDescent="0.3">
      <c r="K155" s="142"/>
      <c r="L155" s="142"/>
      <c r="M155" s="142"/>
      <c r="N155" s="144"/>
      <c r="O155" s="144"/>
      <c r="AV155" s="69"/>
    </row>
    <row r="156" spans="11:48" s="70" customFormat="1" x14ac:dyDescent="0.3">
      <c r="K156" s="142"/>
      <c r="L156" s="142"/>
      <c r="M156" s="142"/>
      <c r="N156" s="144"/>
      <c r="O156" s="144"/>
      <c r="AV156" s="69"/>
    </row>
    <row r="157" spans="11:48" s="70" customFormat="1" x14ac:dyDescent="0.3">
      <c r="K157" s="142"/>
      <c r="L157" s="142"/>
      <c r="M157" s="142"/>
      <c r="N157" s="144"/>
      <c r="O157" s="144"/>
      <c r="AV157" s="69"/>
    </row>
    <row r="158" spans="11:48" s="70" customFormat="1" x14ac:dyDescent="0.3">
      <c r="K158" s="142"/>
      <c r="L158" s="142"/>
      <c r="M158" s="142"/>
      <c r="N158" s="144"/>
      <c r="O158" s="144"/>
      <c r="AV158" s="69"/>
    </row>
    <row r="159" spans="11:48" s="70" customFormat="1" x14ac:dyDescent="0.3">
      <c r="K159" s="142"/>
      <c r="L159" s="142"/>
      <c r="M159" s="142"/>
      <c r="N159" s="144"/>
      <c r="O159" s="144"/>
      <c r="AV159" s="69"/>
    </row>
    <row r="160" spans="11:48" s="70" customFormat="1" x14ac:dyDescent="0.3">
      <c r="K160" s="142"/>
      <c r="L160" s="142"/>
      <c r="M160" s="142"/>
      <c r="N160" s="144"/>
      <c r="O160" s="144"/>
      <c r="AV160" s="69"/>
    </row>
    <row r="161" spans="1:49" s="70" customFormat="1" x14ac:dyDescent="0.3">
      <c r="K161" s="142"/>
      <c r="L161" s="142"/>
      <c r="M161" s="142"/>
      <c r="N161" s="144"/>
      <c r="O161" s="144"/>
      <c r="AV161" s="69"/>
    </row>
    <row r="162" spans="1:49" s="70" customFormat="1" x14ac:dyDescent="0.3">
      <c r="K162" s="142"/>
      <c r="L162" s="142"/>
      <c r="M162" s="142"/>
      <c r="N162" s="144"/>
      <c r="O162" s="144"/>
      <c r="AV162" s="69"/>
    </row>
    <row r="163" spans="1:49" s="70" customFormat="1" x14ac:dyDescent="0.3">
      <c r="K163" s="142"/>
      <c r="L163" s="142"/>
      <c r="M163" s="142"/>
      <c r="N163" s="144"/>
      <c r="O163" s="144"/>
      <c r="AV163" s="69"/>
    </row>
    <row r="164" spans="1:49" s="70" customFormat="1" x14ac:dyDescent="0.3">
      <c r="K164" s="142"/>
      <c r="L164" s="142"/>
      <c r="M164" s="142"/>
      <c r="N164" s="144"/>
      <c r="O164" s="144"/>
      <c r="AV164" s="69"/>
    </row>
    <row r="165" spans="1:49" s="70" customFormat="1" x14ac:dyDescent="0.3">
      <c r="K165" s="142"/>
      <c r="L165" s="142"/>
      <c r="M165" s="142"/>
      <c r="N165" s="144"/>
      <c r="O165" s="144"/>
      <c r="AV165" s="69"/>
    </row>
    <row r="166" spans="1:49" s="70" customFormat="1" x14ac:dyDescent="0.3">
      <c r="K166" s="142"/>
      <c r="L166" s="142"/>
      <c r="M166" s="142"/>
      <c r="N166" s="144"/>
      <c r="O166" s="144"/>
      <c r="AV166" s="69"/>
    </row>
    <row r="167" spans="1:49" s="70" customFormat="1" x14ac:dyDescent="0.3">
      <c r="K167" s="142"/>
      <c r="L167" s="142"/>
      <c r="M167" s="142"/>
      <c r="N167" s="144"/>
      <c r="O167" s="144"/>
      <c r="AV167" s="69"/>
    </row>
    <row r="168" spans="1:49" s="70" customFormat="1" x14ac:dyDescent="0.3">
      <c r="K168" s="142"/>
      <c r="L168" s="142"/>
      <c r="M168" s="142"/>
      <c r="N168" s="144"/>
      <c r="O168" s="144"/>
      <c r="AV168" s="69"/>
    </row>
    <row r="169" spans="1:49" s="70" customFormat="1" x14ac:dyDescent="0.3">
      <c r="K169" s="142"/>
      <c r="L169" s="142"/>
      <c r="M169" s="142"/>
      <c r="N169" s="144"/>
      <c r="O169" s="144"/>
      <c r="AV169" s="69"/>
    </row>
    <row r="170" spans="1:49" s="70" customFormat="1" x14ac:dyDescent="0.3">
      <c r="K170" s="142"/>
      <c r="L170" s="142"/>
      <c r="M170" s="142"/>
      <c r="N170" s="144"/>
      <c r="O170" s="144"/>
      <c r="AV170" s="69"/>
    </row>
    <row r="171" spans="1:49" s="70" customFormat="1" x14ac:dyDescent="0.3">
      <c r="K171" s="142"/>
      <c r="L171" s="142"/>
      <c r="M171" s="142"/>
      <c r="N171" s="144"/>
      <c r="O171" s="144"/>
      <c r="AV171" s="69"/>
    </row>
    <row r="172" spans="1:49" s="145" customFormat="1" x14ac:dyDescent="0.3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142"/>
      <c r="L172" s="142"/>
      <c r="M172" s="142"/>
      <c r="N172" s="144"/>
      <c r="O172" s="144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69"/>
      <c r="AW172" s="70"/>
    </row>
    <row r="173" spans="1:49" s="145" customFormat="1" x14ac:dyDescent="0.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142"/>
      <c r="L173" s="142"/>
      <c r="M173" s="142"/>
      <c r="N173" s="144"/>
      <c r="O173" s="144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69"/>
      <c r="AW173" s="70"/>
    </row>
    <row r="174" spans="1:49" s="145" customFormat="1" x14ac:dyDescent="0.3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142"/>
      <c r="L174" s="142"/>
      <c r="M174" s="142"/>
      <c r="N174" s="144"/>
      <c r="O174" s="144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69"/>
      <c r="AW174" s="70"/>
    </row>
    <row r="175" spans="1:49" s="145" customFormat="1" x14ac:dyDescent="0.3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142"/>
      <c r="L175" s="142"/>
      <c r="M175" s="142"/>
      <c r="N175" s="147"/>
      <c r="O175" s="144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69"/>
      <c r="AW175" s="70"/>
    </row>
    <row r="176" spans="1:49" s="145" customFormat="1" x14ac:dyDescent="0.3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142"/>
      <c r="L176" s="142"/>
      <c r="M176" s="142"/>
      <c r="N176" s="147"/>
      <c r="O176" s="144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69"/>
      <c r="AW176" s="70"/>
    </row>
    <row r="177" spans="1:49" s="145" customFormat="1" x14ac:dyDescent="0.3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142"/>
      <c r="L177" s="142"/>
      <c r="M177" s="142"/>
      <c r="N177" s="147"/>
      <c r="O177" s="144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69"/>
      <c r="AW177" s="70"/>
    </row>
    <row r="178" spans="1:49" s="145" customFormat="1" x14ac:dyDescent="0.3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142"/>
      <c r="L178" s="142"/>
      <c r="M178" s="142"/>
      <c r="N178" s="147"/>
      <c r="O178" s="144"/>
      <c r="P178" s="149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69"/>
      <c r="AW178" s="70"/>
    </row>
    <row r="179" spans="1:49" s="145" customFormat="1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142"/>
      <c r="L179" s="142"/>
      <c r="M179" s="142"/>
      <c r="N179" s="147"/>
      <c r="O179" s="144"/>
      <c r="P179" s="149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69"/>
      <c r="AW179" s="70"/>
    </row>
    <row r="180" spans="1:49" s="145" customFormat="1" x14ac:dyDescent="0.3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142"/>
      <c r="L180" s="142"/>
      <c r="M180" s="142"/>
      <c r="N180" s="147"/>
      <c r="O180" s="147"/>
      <c r="P180" s="149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69"/>
      <c r="AW180" s="70"/>
    </row>
    <row r="181" spans="1:49" s="145" customFormat="1" x14ac:dyDescent="0.3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142"/>
      <c r="L181" s="142"/>
      <c r="M181" s="142"/>
      <c r="N181" s="147"/>
      <c r="O181" s="147"/>
      <c r="P181" s="149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69"/>
      <c r="AW181" s="70"/>
    </row>
    <row r="182" spans="1:49" s="145" customFormat="1" x14ac:dyDescent="0.3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142"/>
      <c r="L182" s="142"/>
      <c r="M182" s="142"/>
      <c r="N182" s="147"/>
      <c r="O182" s="147"/>
      <c r="P182" s="149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69"/>
      <c r="AW182" s="70"/>
    </row>
    <row r="183" spans="1:49" s="145" customFormat="1" x14ac:dyDescent="0.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142"/>
      <c r="L183" s="142"/>
      <c r="M183" s="142"/>
      <c r="N183" s="147"/>
      <c r="O183" s="147"/>
      <c r="P183" s="149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69"/>
      <c r="AW183" s="70"/>
    </row>
    <row r="184" spans="1:49" s="145" customFormat="1" x14ac:dyDescent="0.3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146"/>
      <c r="L184" s="146"/>
      <c r="M184" s="146"/>
      <c r="N184" s="147"/>
      <c r="O184" s="147"/>
      <c r="P184" s="149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69"/>
      <c r="AW184" s="70"/>
    </row>
    <row r="185" spans="1:49" s="145" customFormat="1" x14ac:dyDescent="0.3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146"/>
      <c r="L185" s="146"/>
      <c r="M185" s="146"/>
      <c r="N185" s="147"/>
      <c r="O185" s="147"/>
      <c r="P185" s="149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69"/>
      <c r="AW185" s="70"/>
    </row>
    <row r="186" spans="1:49" s="145" customFormat="1" x14ac:dyDescent="0.3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146"/>
      <c r="L186" s="146"/>
      <c r="M186" s="146"/>
      <c r="N186" s="147"/>
      <c r="O186" s="147"/>
      <c r="P186" s="149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69"/>
      <c r="AW186" s="70"/>
    </row>
    <row r="187" spans="1:49" s="145" customFormat="1" x14ac:dyDescent="0.3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146"/>
      <c r="L187" s="146"/>
      <c r="M187" s="146"/>
      <c r="N187" s="147"/>
      <c r="O187" s="147"/>
      <c r="P187" s="149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69"/>
      <c r="AW187" s="70"/>
    </row>
    <row r="188" spans="1:49" s="145" customFormat="1" x14ac:dyDescent="0.3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146"/>
      <c r="L188" s="146"/>
      <c r="M188" s="146"/>
      <c r="N188" s="147"/>
      <c r="O188" s="147"/>
      <c r="P188" s="149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69"/>
      <c r="AW188" s="70"/>
    </row>
    <row r="189" spans="1:49" x14ac:dyDescent="0.3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146"/>
      <c r="L189" s="146"/>
      <c r="M189" s="146"/>
      <c r="N189" s="147"/>
      <c r="O189" s="147"/>
      <c r="P189" s="149"/>
      <c r="AV189" s="148"/>
      <c r="AW189" s="148"/>
    </row>
    <row r="190" spans="1:49" x14ac:dyDescent="0.3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146"/>
      <c r="L190" s="146"/>
      <c r="M190" s="146"/>
      <c r="N190" s="147"/>
      <c r="O190" s="147"/>
      <c r="AV190" s="148"/>
      <c r="AW190" s="148"/>
    </row>
    <row r="191" spans="1:49" x14ac:dyDescent="0.3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146"/>
      <c r="L191" s="146"/>
      <c r="M191" s="146"/>
      <c r="N191" s="147"/>
      <c r="O191" s="147"/>
      <c r="AV191" s="148"/>
      <c r="AW191" s="148"/>
    </row>
    <row r="192" spans="1:49" x14ac:dyDescent="0.3">
      <c r="A192" s="149"/>
      <c r="B192" s="149"/>
      <c r="C192" s="149"/>
      <c r="D192" s="149"/>
      <c r="E192" s="149"/>
      <c r="F192" s="70"/>
      <c r="G192" s="70"/>
      <c r="H192" s="70"/>
      <c r="I192" s="70"/>
      <c r="J192" s="70"/>
      <c r="K192" s="146"/>
      <c r="L192" s="146"/>
      <c r="M192" s="146"/>
      <c r="O192" s="147"/>
      <c r="AV192" s="148"/>
      <c r="AW192" s="148"/>
    </row>
    <row r="193" spans="1:49" x14ac:dyDescent="0.3">
      <c r="A193" s="149"/>
      <c r="B193" s="149"/>
      <c r="C193" s="149"/>
      <c r="D193" s="149"/>
      <c r="E193" s="149"/>
      <c r="F193" s="149"/>
      <c r="G193" s="149"/>
      <c r="H193" s="149"/>
      <c r="I193" s="70"/>
      <c r="J193" s="70"/>
      <c r="K193" s="146"/>
      <c r="L193" s="146"/>
      <c r="M193" s="146"/>
      <c r="O193" s="147"/>
      <c r="AV193" s="148"/>
      <c r="AW193" s="148"/>
    </row>
    <row r="194" spans="1:49" x14ac:dyDescent="0.3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6"/>
      <c r="L194" s="146"/>
      <c r="M194" s="146"/>
      <c r="O194" s="147"/>
      <c r="AV194" s="148"/>
      <c r="AW194" s="148"/>
    </row>
    <row r="195" spans="1:49" x14ac:dyDescent="0.3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6"/>
      <c r="L195" s="146"/>
      <c r="M195" s="146"/>
      <c r="O195" s="147"/>
      <c r="AV195" s="148"/>
      <c r="AW195" s="148"/>
    </row>
    <row r="196" spans="1:49" x14ac:dyDescent="0.3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6"/>
      <c r="L196" s="146"/>
      <c r="M196" s="146"/>
      <c r="N196" s="148"/>
      <c r="O196" s="147"/>
      <c r="AV196" s="148"/>
      <c r="AW196" s="148"/>
    </row>
    <row r="197" spans="1:49" x14ac:dyDescent="0.3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6"/>
      <c r="L197" s="146"/>
      <c r="M197" s="146"/>
      <c r="AV197" s="148"/>
      <c r="AW197" s="148"/>
    </row>
    <row r="198" spans="1:49" x14ac:dyDescent="0.3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6"/>
      <c r="L198" s="146"/>
      <c r="M198" s="146"/>
      <c r="AV198" s="148"/>
      <c r="AW198" s="148"/>
    </row>
    <row r="199" spans="1:49" x14ac:dyDescent="0.3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6"/>
      <c r="L199" s="146"/>
      <c r="M199" s="146"/>
      <c r="AV199" s="148"/>
      <c r="AW199" s="148"/>
    </row>
    <row r="200" spans="1:49" x14ac:dyDescent="0.3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6"/>
      <c r="L200" s="146"/>
      <c r="M200" s="146"/>
      <c r="AV200" s="148"/>
      <c r="AW200" s="148"/>
    </row>
    <row r="201" spans="1:49" x14ac:dyDescent="0.3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</row>
    <row r="202" spans="1:49" x14ac:dyDescent="0.3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  <c r="AP202" s="69"/>
      <c r="AQ202" s="69"/>
      <c r="AR202" s="69"/>
      <c r="AS202" s="69"/>
      <c r="AT202" s="69"/>
      <c r="AU202" s="69"/>
      <c r="AV202" s="148"/>
      <c r="AW202" s="148"/>
    </row>
    <row r="203" spans="1:49" x14ac:dyDescent="0.3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</row>
    <row r="204" spans="1:49" x14ac:dyDescent="0.3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</row>
    <row r="205" spans="1:49" x14ac:dyDescent="0.3">
      <c r="A205" s="149"/>
      <c r="B205" s="149"/>
      <c r="C205" s="149"/>
      <c r="D205" s="149"/>
      <c r="E205" s="149"/>
      <c r="F205" s="149"/>
      <c r="G205" s="149"/>
      <c r="H205" s="149"/>
      <c r="I205" s="149"/>
      <c r="J205" s="149"/>
    </row>
    <row r="206" spans="1:49" x14ac:dyDescent="0.3">
      <c r="A206" s="149"/>
      <c r="B206" s="149"/>
      <c r="C206" s="149"/>
      <c r="D206" s="149"/>
      <c r="E206" s="149"/>
      <c r="F206" s="149"/>
      <c r="G206" s="149"/>
      <c r="H206" s="149"/>
      <c r="I206" s="149"/>
      <c r="J206" s="149"/>
    </row>
    <row r="207" spans="1:49" x14ac:dyDescent="0.3">
      <c r="A207" s="149"/>
      <c r="B207" s="149"/>
      <c r="C207" s="149"/>
      <c r="D207" s="149"/>
      <c r="E207" s="149"/>
      <c r="F207" s="149"/>
      <c r="G207" s="149"/>
      <c r="H207" s="149"/>
      <c r="I207" s="149"/>
      <c r="J207" s="149"/>
    </row>
    <row r="208" spans="1:49" x14ac:dyDescent="0.3">
      <c r="A208" s="149"/>
      <c r="B208" s="149"/>
      <c r="C208" s="149"/>
      <c r="D208" s="149"/>
      <c r="E208" s="149"/>
      <c r="F208" s="149"/>
      <c r="G208" s="149"/>
      <c r="H208" s="149"/>
      <c r="I208" s="149"/>
      <c r="J208" s="149"/>
    </row>
    <row r="209" spans="6:13" x14ac:dyDescent="0.3">
      <c r="F209" s="149"/>
      <c r="G209" s="149"/>
      <c r="H209" s="149"/>
      <c r="I209" s="149"/>
      <c r="J209" s="149"/>
    </row>
    <row r="210" spans="6:13" x14ac:dyDescent="0.3">
      <c r="I210" s="149"/>
      <c r="J210" s="149"/>
    </row>
    <row r="214" spans="6:13" x14ac:dyDescent="0.3">
      <c r="K214" s="148"/>
      <c r="L214" s="148"/>
      <c r="M214" s="148"/>
    </row>
    <row r="1048534" spans="16:16" x14ac:dyDescent="0.3">
      <c r="P1048534" s="57"/>
    </row>
    <row r="1048546" spans="1:60" s="70" customFormat="1" x14ac:dyDescent="0.3">
      <c r="A1048546" s="148"/>
      <c r="B1048546" s="148"/>
      <c r="C1048546" s="148"/>
      <c r="D1048546" s="148"/>
      <c r="E1048546" s="148"/>
      <c r="F1048546" s="148"/>
      <c r="G1048546" s="148"/>
      <c r="H1048546" s="148"/>
      <c r="I1048546" s="148"/>
      <c r="J1048546" s="148"/>
      <c r="K1048546" s="150"/>
      <c r="L1048546" s="150"/>
      <c r="M1048546" s="150"/>
      <c r="N1048546" s="150"/>
      <c r="O1048546" s="150"/>
      <c r="P1048546" s="148"/>
      <c r="AV1048546" s="69"/>
      <c r="AW1048546" s="69"/>
      <c r="AX1048546" s="148"/>
      <c r="AY1048546" s="148"/>
      <c r="AZ1048546" s="148"/>
      <c r="BA1048546" s="148"/>
      <c r="BB1048546" s="148"/>
      <c r="BC1048546" s="148"/>
      <c r="BD1048546" s="148"/>
      <c r="BE1048546" s="148"/>
      <c r="BF1048546" s="148"/>
      <c r="BG1048546" s="148"/>
      <c r="BH1048546" s="148"/>
    </row>
  </sheetData>
  <mergeCells count="40">
    <mergeCell ref="N69:O69"/>
    <mergeCell ref="N70:O70"/>
    <mergeCell ref="N71:P71"/>
    <mergeCell ref="N72:O72"/>
    <mergeCell ref="N63:O63"/>
    <mergeCell ref="N64:O64"/>
    <mergeCell ref="N65:O65"/>
    <mergeCell ref="N66:O66"/>
    <mergeCell ref="N67:O67"/>
    <mergeCell ref="N68:O68"/>
    <mergeCell ref="N62:O62"/>
    <mergeCell ref="E50:J50"/>
    <mergeCell ref="E51:J51"/>
    <mergeCell ref="E52:J52"/>
    <mergeCell ref="A53:J53"/>
    <mergeCell ref="A55:E55"/>
    <mergeCell ref="N55:P55"/>
    <mergeCell ref="N56:O56"/>
    <mergeCell ref="N57:O57"/>
    <mergeCell ref="N58:P59"/>
    <mergeCell ref="N60:P60"/>
    <mergeCell ref="N61:O61"/>
    <mergeCell ref="E49:J49"/>
    <mergeCell ref="E39:J39"/>
    <mergeCell ref="E40:J40"/>
    <mergeCell ref="E41:J41"/>
    <mergeCell ref="E42:J42"/>
    <mergeCell ref="A43:J43"/>
    <mergeCell ref="A44:N44"/>
    <mergeCell ref="A45:P45"/>
    <mergeCell ref="E46:J46"/>
    <mergeCell ref="E47:J47"/>
    <mergeCell ref="E48:J48"/>
    <mergeCell ref="N43:P43"/>
    <mergeCell ref="A38:P38"/>
    <mergeCell ref="A1:P1"/>
    <mergeCell ref="A2:P2"/>
    <mergeCell ref="A7:B7"/>
    <mergeCell ref="A8:P8"/>
    <mergeCell ref="A37:B37"/>
  </mergeCells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2EFBF-1BD2-473D-810F-058E6FF158E6}">
  <dimension ref="A1:BH1048547"/>
  <sheetViews>
    <sheetView topLeftCell="E46" zoomScale="60" zoomScaleNormal="60" workbookViewId="0">
      <selection sqref="A1:XFD1048576"/>
    </sheetView>
  </sheetViews>
  <sheetFormatPr defaultColWidth="9.109375" defaultRowHeight="13.8" x14ac:dyDescent="0.3"/>
  <cols>
    <col min="1" max="1" width="50.6640625" style="148" bestFit="1" customWidth="1"/>
    <col min="2" max="2" width="8.33203125" style="148" bestFit="1" customWidth="1"/>
    <col min="3" max="3" width="17.33203125" style="148" customWidth="1"/>
    <col min="4" max="4" width="17.109375" style="148" bestFit="1" customWidth="1"/>
    <col min="5" max="5" width="18.33203125" style="148" customWidth="1"/>
    <col min="6" max="6" width="17.109375" style="148" bestFit="1" customWidth="1"/>
    <col min="7" max="7" width="16" style="148" bestFit="1" customWidth="1"/>
    <col min="8" max="8" width="15.88671875" style="297" bestFit="1" customWidth="1"/>
    <col min="9" max="9" width="12.6640625" style="148" customWidth="1"/>
    <col min="10" max="10" width="15.77734375" style="148" customWidth="1"/>
    <col min="11" max="11" width="16.77734375" style="150" bestFit="1" customWidth="1"/>
    <col min="12" max="12" width="15.88671875" style="150" bestFit="1" customWidth="1"/>
    <col min="13" max="13" width="17.109375" style="150" bestFit="1" customWidth="1"/>
    <col min="14" max="14" width="138.6640625" style="150" customWidth="1"/>
    <col min="15" max="15" width="8.6640625" style="150" customWidth="1"/>
    <col min="16" max="16" width="16.77734375" style="148" bestFit="1" customWidth="1"/>
    <col min="17" max="18" width="13.109375" style="70" bestFit="1" customWidth="1"/>
    <col min="19" max="47" width="9.109375" style="70"/>
    <col min="48" max="49" width="9.109375" style="69"/>
    <col min="50" max="16384" width="9.109375" style="148"/>
  </cols>
  <sheetData>
    <row r="1" spans="1:42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</row>
    <row r="2" spans="1:42" s="10" customFormat="1" ht="28.5" customHeight="1" x14ac:dyDescent="0.3">
      <c r="A2" s="571" t="s">
        <v>1144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3"/>
    </row>
    <row r="3" spans="1:42" s="10" customFormat="1" ht="33.6" customHeight="1" x14ac:dyDescent="0.3">
      <c r="A3" s="83" t="s">
        <v>3</v>
      </c>
      <c r="B3" s="83" t="s">
        <v>0</v>
      </c>
      <c r="C3" s="83" t="s">
        <v>821</v>
      </c>
      <c r="D3" s="84" t="s">
        <v>1</v>
      </c>
      <c r="E3" s="84" t="s">
        <v>68</v>
      </c>
      <c r="F3" s="84" t="s">
        <v>69</v>
      </c>
      <c r="G3" s="85" t="s">
        <v>2</v>
      </c>
      <c r="H3" s="85" t="s">
        <v>592</v>
      </c>
      <c r="I3" s="84" t="s">
        <v>6</v>
      </c>
      <c r="J3" s="84" t="s">
        <v>7</v>
      </c>
      <c r="K3" s="84" t="s">
        <v>4</v>
      </c>
      <c r="L3" s="84" t="s">
        <v>5</v>
      </c>
      <c r="M3" s="84" t="s">
        <v>70</v>
      </c>
      <c r="N3" s="83" t="s">
        <v>59</v>
      </c>
      <c r="O3" s="86" t="s">
        <v>8</v>
      </c>
      <c r="P3" s="86" t="s">
        <v>10</v>
      </c>
    </row>
    <row r="4" spans="1:42" s="203" customFormat="1" ht="25.05" customHeight="1" x14ac:dyDescent="0.3">
      <c r="A4" s="257" t="s">
        <v>1133</v>
      </c>
      <c r="B4" s="257">
        <v>4</v>
      </c>
      <c r="C4" s="257" t="s">
        <v>829</v>
      </c>
      <c r="D4" s="196">
        <f>'[2]GERAL 2025'!G34</f>
        <v>660</v>
      </c>
      <c r="E4" s="268">
        <v>0</v>
      </c>
      <c r="F4" s="268">
        <f t="shared" ref="F4:F6" si="0">D4-E4</f>
        <v>660</v>
      </c>
      <c r="G4" s="196">
        <f>50</f>
        <v>50</v>
      </c>
      <c r="H4" s="268">
        <f>( 2529.9/27)</f>
        <v>93.7</v>
      </c>
      <c r="I4" s="268">
        <f>'[2]GERAL 2025'!I34</f>
        <v>1.3720449172576832</v>
      </c>
      <c r="J4" s="268">
        <v>0</v>
      </c>
      <c r="K4" s="258">
        <f>SUM(F4:J4)</f>
        <v>805.0720449172577</v>
      </c>
      <c r="L4" s="268">
        <f>60%*(D4+G4)</f>
        <v>426</v>
      </c>
      <c r="M4" s="268">
        <f>K4-L4</f>
        <v>379.0720449172577</v>
      </c>
      <c r="N4" s="257" t="s">
        <v>1145</v>
      </c>
      <c r="O4" s="197">
        <v>10</v>
      </c>
      <c r="P4" s="197">
        <v>11</v>
      </c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1"/>
      <c r="AM4" s="202"/>
      <c r="AN4" s="202"/>
      <c r="AO4" s="202"/>
      <c r="AP4" s="202"/>
    </row>
    <row r="5" spans="1:42" s="206" customFormat="1" ht="25.05" customHeight="1" x14ac:dyDescent="0.3">
      <c r="A5" s="257" t="s">
        <v>1136</v>
      </c>
      <c r="B5" s="257">
        <v>7</v>
      </c>
      <c r="C5" s="257" t="s">
        <v>829</v>
      </c>
      <c r="D5" s="196">
        <f>'[2]GERAL 2025'!G35</f>
        <v>690</v>
      </c>
      <c r="E5" s="268">
        <v>0</v>
      </c>
      <c r="F5" s="196">
        <f t="shared" si="0"/>
        <v>690</v>
      </c>
      <c r="G5" s="268">
        <v>0</v>
      </c>
      <c r="H5" s="268">
        <f>( 2529.9/27)</f>
        <v>93.7</v>
      </c>
      <c r="I5" s="268">
        <f>'[2]GERAL 2025'!I35</f>
        <v>1.3720449172576832</v>
      </c>
      <c r="J5" s="268">
        <v>0</v>
      </c>
      <c r="K5" s="258">
        <f>SUM(F5:J5)</f>
        <v>785.0720449172577</v>
      </c>
      <c r="L5" s="268">
        <f>60%*(D5+G5)</f>
        <v>414</v>
      </c>
      <c r="M5" s="268">
        <f>K5-L5</f>
        <v>371.0720449172577</v>
      </c>
      <c r="N5" s="257" t="s">
        <v>1146</v>
      </c>
      <c r="O5" s="197">
        <v>10</v>
      </c>
      <c r="P5" s="197">
        <v>11</v>
      </c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</row>
    <row r="6" spans="1:42" s="206" customFormat="1" ht="25.05" customHeight="1" x14ac:dyDescent="0.3">
      <c r="A6" s="257"/>
      <c r="B6" s="257"/>
      <c r="C6" s="257"/>
      <c r="D6" s="196">
        <v>0</v>
      </c>
      <c r="E6" s="268">
        <v>0</v>
      </c>
      <c r="F6" s="196">
        <f t="shared" si="0"/>
        <v>0</v>
      </c>
      <c r="G6" s="196">
        <v>0</v>
      </c>
      <c r="H6" s="268">
        <v>0</v>
      </c>
      <c r="I6" s="268">
        <v>0</v>
      </c>
      <c r="J6" s="196">
        <v>0</v>
      </c>
      <c r="K6" s="258">
        <f>SUM(F6:J6)</f>
        <v>0</v>
      </c>
      <c r="L6" s="268">
        <f>60%*(D6+G6)</f>
        <v>0</v>
      </c>
      <c r="M6" s="268">
        <f>K6-L6</f>
        <v>0</v>
      </c>
      <c r="N6" s="196"/>
      <c r="O6" s="197"/>
      <c r="P6" s="197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  <c r="AD6" s="205"/>
      <c r="AE6" s="205"/>
      <c r="AF6" s="205"/>
      <c r="AG6" s="205"/>
      <c r="AH6" s="205"/>
      <c r="AI6" s="205"/>
      <c r="AJ6" s="205"/>
      <c r="AK6" s="205"/>
      <c r="AL6" s="205"/>
      <c r="AM6" s="205"/>
      <c r="AN6" s="205"/>
      <c r="AO6" s="205"/>
      <c r="AP6" s="205"/>
    </row>
    <row r="7" spans="1:42" s="10" customFormat="1" ht="25.05" customHeight="1" x14ac:dyDescent="0.3">
      <c r="A7" s="518" t="s">
        <v>4</v>
      </c>
      <c r="B7" s="518"/>
      <c r="C7" s="260"/>
      <c r="D7" s="263">
        <f>SUM(D4:D6)</f>
        <v>1350</v>
      </c>
      <c r="E7" s="263">
        <f t="shared" ref="E7:J7" si="1">SUM(E4:E6)</f>
        <v>0</v>
      </c>
      <c r="F7" s="263">
        <f t="shared" si="1"/>
        <v>1350</v>
      </c>
      <c r="G7" s="263">
        <f>SUM(G4:G6)</f>
        <v>50</v>
      </c>
      <c r="H7" s="258">
        <f>SUM(H4:H6)</f>
        <v>187.4</v>
      </c>
      <c r="I7" s="263">
        <f t="shared" si="1"/>
        <v>2.7440898345153664</v>
      </c>
      <c r="J7" s="263">
        <f t="shared" si="1"/>
        <v>0</v>
      </c>
      <c r="K7" s="263">
        <f>SUM(K4:K6)</f>
        <v>1590.1440898345154</v>
      </c>
      <c r="L7" s="263">
        <f>SUM(L4:L6)</f>
        <v>840</v>
      </c>
      <c r="M7" s="263">
        <f>SUM(M4:M6)</f>
        <v>750.1440898345154</v>
      </c>
      <c r="N7" s="261"/>
      <c r="O7" s="3"/>
      <c r="P7" s="3"/>
    </row>
    <row r="8" spans="1:42" s="10" customFormat="1" ht="25.05" customHeight="1" x14ac:dyDescent="0.3">
      <c r="A8" s="571" t="s">
        <v>1147</v>
      </c>
      <c r="B8" s="572"/>
      <c r="C8" s="572"/>
      <c r="D8" s="572"/>
      <c r="E8" s="572"/>
      <c r="F8" s="572"/>
      <c r="G8" s="572"/>
      <c r="H8" s="572"/>
      <c r="I8" s="572"/>
      <c r="J8" s="572"/>
      <c r="K8" s="572"/>
      <c r="L8" s="572"/>
      <c r="M8" s="572"/>
      <c r="N8" s="572"/>
      <c r="O8" s="572"/>
      <c r="P8" s="573"/>
    </row>
    <row r="9" spans="1:42" s="11" customFormat="1" ht="34.799999999999997" customHeight="1" x14ac:dyDescent="0.3">
      <c r="A9" s="83" t="s">
        <v>3</v>
      </c>
      <c r="B9" s="83" t="s">
        <v>0</v>
      </c>
      <c r="C9" s="83" t="s">
        <v>821</v>
      </c>
      <c r="D9" s="84" t="s">
        <v>1</v>
      </c>
      <c r="E9" s="84" t="s">
        <v>68</v>
      </c>
      <c r="F9" s="84" t="s">
        <v>69</v>
      </c>
      <c r="G9" s="85" t="s">
        <v>2</v>
      </c>
      <c r="H9" s="85" t="s">
        <v>592</v>
      </c>
      <c r="I9" s="84" t="s">
        <v>6</v>
      </c>
      <c r="J9" s="84" t="s">
        <v>7</v>
      </c>
      <c r="K9" s="84" t="s">
        <v>4</v>
      </c>
      <c r="L9" s="84" t="s">
        <v>5</v>
      </c>
      <c r="M9" s="84" t="s">
        <v>70</v>
      </c>
      <c r="N9" s="83" t="s">
        <v>59</v>
      </c>
      <c r="O9" s="86" t="s">
        <v>8</v>
      </c>
      <c r="P9" s="86" t="s">
        <v>10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</row>
    <row r="10" spans="1:42" s="272" customFormat="1" ht="25.05" customHeight="1" x14ac:dyDescent="0.3">
      <c r="A10" s="195" t="s">
        <v>1079</v>
      </c>
      <c r="B10" s="257">
        <v>1</v>
      </c>
      <c r="C10" s="257" t="s">
        <v>830</v>
      </c>
      <c r="D10" s="196">
        <f>'[2]GERAL 2025'!G3</f>
        <v>610</v>
      </c>
      <c r="E10" s="268">
        <v>0</v>
      </c>
      <c r="F10" s="268">
        <f t="shared" ref="F10:F26" si="2">D10-E10</f>
        <v>610</v>
      </c>
      <c r="G10" s="196">
        <v>50</v>
      </c>
      <c r="H10" s="268">
        <f>( 2529.9/27)</f>
        <v>93.7</v>
      </c>
      <c r="I10" s="268">
        <f>'[2]GERAL 2025'!I3</f>
        <v>1.3720449172576832</v>
      </c>
      <c r="J10" s="268">
        <v>0</v>
      </c>
      <c r="K10" s="258">
        <f t="shared" ref="K10:K36" si="3">SUM(F10:J10)</f>
        <v>755.0720449172577</v>
      </c>
      <c r="L10" s="268">
        <f>7%*K10</f>
        <v>52.855043144208047</v>
      </c>
      <c r="M10" s="268">
        <f>K10-L10</f>
        <v>702.21700177304967</v>
      </c>
      <c r="N10" s="196" t="s">
        <v>1148</v>
      </c>
      <c r="O10" s="197">
        <v>10</v>
      </c>
      <c r="P10" s="197">
        <v>11</v>
      </c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</row>
    <row r="11" spans="1:42" s="203" customFormat="1" ht="24.6" customHeight="1" x14ac:dyDescent="0.3">
      <c r="A11" s="257" t="s">
        <v>1004</v>
      </c>
      <c r="B11" s="267">
        <v>2</v>
      </c>
      <c r="C11" s="257" t="s">
        <v>822</v>
      </c>
      <c r="D11" s="196">
        <f>'[2]GERAL 2024'!G41</f>
        <v>610</v>
      </c>
      <c r="E11" s="196">
        <v>0</v>
      </c>
      <c r="F11" s="196">
        <f t="shared" si="2"/>
        <v>610</v>
      </c>
      <c r="G11" s="196">
        <v>0</v>
      </c>
      <c r="H11" s="268">
        <f t="shared" ref="H11:H30" si="4">( 2529.9/27)</f>
        <v>93.7</v>
      </c>
      <c r="I11" s="268">
        <f>'[2]GERAL 2025'!I4</f>
        <v>1.3720449172576832</v>
      </c>
      <c r="J11" s="196">
        <v>0</v>
      </c>
      <c r="K11" s="258">
        <f t="shared" si="3"/>
        <v>705.0720449172577</v>
      </c>
      <c r="L11" s="268">
        <f>7%*K11</f>
        <v>49.355043144208047</v>
      </c>
      <c r="M11" s="268">
        <f t="shared" ref="M11:M35" si="5">K11-L11</f>
        <v>655.71700177304967</v>
      </c>
      <c r="N11" s="257" t="s">
        <v>1146</v>
      </c>
      <c r="O11" s="197">
        <v>10</v>
      </c>
      <c r="P11" s="197">
        <v>11</v>
      </c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1"/>
      <c r="AM11" s="202"/>
      <c r="AN11" s="202"/>
      <c r="AO11" s="202"/>
      <c r="AP11" s="202"/>
    </row>
    <row r="12" spans="1:42" s="204" customFormat="1" ht="24.6" customHeight="1" x14ac:dyDescent="0.3">
      <c r="A12" s="257" t="s">
        <v>1005</v>
      </c>
      <c r="B12" s="267">
        <v>3</v>
      </c>
      <c r="C12" s="257" t="s">
        <v>822</v>
      </c>
      <c r="D12" s="196">
        <f>'[2]GERAL 2025'!G5</f>
        <v>610</v>
      </c>
      <c r="E12" s="196">
        <v>0</v>
      </c>
      <c r="F12" s="196">
        <f t="shared" si="2"/>
        <v>610</v>
      </c>
      <c r="G12" s="196">
        <v>0</v>
      </c>
      <c r="H12" s="268">
        <f t="shared" si="4"/>
        <v>93.7</v>
      </c>
      <c r="I12" s="268">
        <f>'[2]GERAL 2025'!I5</f>
        <v>1.3720449172576832</v>
      </c>
      <c r="J12" s="196">
        <v>0</v>
      </c>
      <c r="K12" s="258">
        <f t="shared" si="3"/>
        <v>705.0720449172577</v>
      </c>
      <c r="L12" s="268">
        <f>7%*K12</f>
        <v>49.355043144208047</v>
      </c>
      <c r="M12" s="268">
        <f>K12-L12</f>
        <v>655.71700177304967</v>
      </c>
      <c r="N12" s="257" t="s">
        <v>1146</v>
      </c>
      <c r="O12" s="197">
        <v>10</v>
      </c>
      <c r="P12" s="197">
        <v>11</v>
      </c>
      <c r="Q12" s="200"/>
      <c r="R12" s="200"/>
      <c r="S12" s="200"/>
      <c r="T12" s="200"/>
      <c r="U12" s="200"/>
      <c r="V12" s="200"/>
      <c r="W12" s="200"/>
      <c r="X12" s="200"/>
      <c r="Y12" s="200"/>
      <c r="Z12" s="200"/>
      <c r="AA12" s="200"/>
      <c r="AB12" s="200"/>
      <c r="AC12" s="200"/>
      <c r="AD12" s="200"/>
      <c r="AE12" s="200"/>
      <c r="AF12" s="200"/>
      <c r="AG12" s="200"/>
      <c r="AH12" s="200"/>
      <c r="AI12" s="200"/>
      <c r="AJ12" s="200"/>
      <c r="AK12" s="200"/>
      <c r="AL12" s="200"/>
      <c r="AM12" s="200"/>
      <c r="AN12" s="200"/>
      <c r="AO12" s="200"/>
      <c r="AP12" s="200"/>
    </row>
    <row r="13" spans="1:42" s="272" customFormat="1" ht="24.6" customHeight="1" x14ac:dyDescent="0.3">
      <c r="A13" s="257" t="s">
        <v>1133</v>
      </c>
      <c r="B13" s="257">
        <v>4</v>
      </c>
      <c r="C13" s="257" t="s">
        <v>829</v>
      </c>
      <c r="D13" s="196">
        <v>0</v>
      </c>
      <c r="E13" s="196">
        <v>0</v>
      </c>
      <c r="F13" s="196">
        <f t="shared" si="2"/>
        <v>0</v>
      </c>
      <c r="G13" s="268">
        <v>0</v>
      </c>
      <c r="H13" s="268">
        <v>0</v>
      </c>
      <c r="I13" s="268">
        <v>0</v>
      </c>
      <c r="J13" s="268">
        <v>0</v>
      </c>
      <c r="K13" s="258">
        <f t="shared" si="3"/>
        <v>0</v>
      </c>
      <c r="L13" s="268">
        <f>7%*K13</f>
        <v>0</v>
      </c>
      <c r="M13" s="268">
        <f t="shared" si="5"/>
        <v>0</v>
      </c>
      <c r="N13" s="257" t="s">
        <v>108</v>
      </c>
      <c r="O13" s="197">
        <v>10</v>
      </c>
      <c r="P13" s="267">
        <v>11</v>
      </c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</row>
    <row r="14" spans="1:42" s="272" customFormat="1" ht="25.05" customHeight="1" x14ac:dyDescent="0.3">
      <c r="A14" s="257" t="s">
        <v>744</v>
      </c>
      <c r="B14" s="257">
        <v>5</v>
      </c>
      <c r="C14" s="257" t="s">
        <v>823</v>
      </c>
      <c r="D14" s="196">
        <f>'[2]GERAL 2023'!G7+(6.53784 %*580)</f>
        <v>617.91947200000004</v>
      </c>
      <c r="E14" s="268">
        <v>0</v>
      </c>
      <c r="F14" s="268">
        <f t="shared" si="2"/>
        <v>617.91947200000004</v>
      </c>
      <c r="G14" s="268">
        <f>50</f>
        <v>50</v>
      </c>
      <c r="H14" s="268">
        <f t="shared" si="4"/>
        <v>93.7</v>
      </c>
      <c r="I14" s="268">
        <f>'[2]GERAL 2025'!I7</f>
        <v>1.3720449172576832</v>
      </c>
      <c r="J14" s="268">
        <v>0</v>
      </c>
      <c r="K14" s="258">
        <f t="shared" si="3"/>
        <v>762.99151691725774</v>
      </c>
      <c r="L14" s="268">
        <f>7%*K14</f>
        <v>53.409406184208045</v>
      </c>
      <c r="M14" s="268">
        <f t="shared" si="5"/>
        <v>709.58211073304972</v>
      </c>
      <c r="N14" s="257" t="s">
        <v>1145</v>
      </c>
      <c r="O14" s="197">
        <v>10</v>
      </c>
      <c r="P14" s="197">
        <v>11</v>
      </c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</row>
    <row r="15" spans="1:42" s="206" customFormat="1" ht="24.6" customHeight="1" x14ac:dyDescent="0.3">
      <c r="A15" s="257" t="s">
        <v>745</v>
      </c>
      <c r="B15" s="257">
        <v>6</v>
      </c>
      <c r="C15" s="257" t="s">
        <v>823</v>
      </c>
      <c r="D15" s="196">
        <f>'[2]GERAL 2023'!G8+(6.53784%*680)</f>
        <v>724.457312</v>
      </c>
      <c r="E15" s="196">
        <v>0</v>
      </c>
      <c r="F15" s="268">
        <f t="shared" si="2"/>
        <v>724.457312</v>
      </c>
      <c r="G15" s="268">
        <v>50</v>
      </c>
      <c r="H15" s="268">
        <f t="shared" si="4"/>
        <v>93.7</v>
      </c>
      <c r="I15" s="268">
        <f>'[2]GERAL 2025'!I8</f>
        <v>1.9208628841607567</v>
      </c>
      <c r="J15" s="268">
        <v>0</v>
      </c>
      <c r="K15" s="258">
        <f t="shared" si="3"/>
        <v>870.07817488416083</v>
      </c>
      <c r="L15" s="268">
        <f t="shared" ref="L15:L36" si="6">7%*K15</f>
        <v>60.90547224189126</v>
      </c>
      <c r="M15" s="268">
        <f>K15-L15</f>
        <v>809.17270264226954</v>
      </c>
      <c r="N15" s="257" t="s">
        <v>1145</v>
      </c>
      <c r="O15" s="197">
        <v>10</v>
      </c>
      <c r="P15" s="197">
        <v>11</v>
      </c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205"/>
      <c r="AC15" s="205"/>
      <c r="AD15" s="205"/>
      <c r="AE15" s="205"/>
      <c r="AF15" s="205"/>
      <c r="AG15" s="205"/>
      <c r="AH15" s="205"/>
      <c r="AI15" s="205"/>
      <c r="AJ15" s="205"/>
      <c r="AK15" s="205"/>
      <c r="AL15" s="205"/>
      <c r="AM15" s="205"/>
      <c r="AN15" s="205"/>
      <c r="AO15" s="205"/>
      <c r="AP15" s="205"/>
    </row>
    <row r="16" spans="1:42" s="272" customFormat="1" ht="24.6" customHeight="1" x14ac:dyDescent="0.3">
      <c r="A16" s="257" t="s">
        <v>1136</v>
      </c>
      <c r="B16" s="257">
        <v>7</v>
      </c>
      <c r="C16" s="257" t="s">
        <v>829</v>
      </c>
      <c r="D16" s="196">
        <v>0</v>
      </c>
      <c r="E16" s="268">
        <v>0</v>
      </c>
      <c r="F16" s="196">
        <f t="shared" si="2"/>
        <v>0</v>
      </c>
      <c r="G16" s="268">
        <v>0</v>
      </c>
      <c r="H16" s="268">
        <v>0</v>
      </c>
      <c r="I16" s="268">
        <v>0</v>
      </c>
      <c r="J16" s="268">
        <v>0</v>
      </c>
      <c r="K16" s="258">
        <f t="shared" si="3"/>
        <v>0</v>
      </c>
      <c r="L16" s="268">
        <f>7%*K16</f>
        <v>0</v>
      </c>
      <c r="M16" s="268">
        <f t="shared" si="5"/>
        <v>0</v>
      </c>
      <c r="N16" s="257" t="s">
        <v>108</v>
      </c>
      <c r="O16" s="197">
        <v>10</v>
      </c>
      <c r="P16" s="197">
        <v>11</v>
      </c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</row>
    <row r="17" spans="1:47" s="272" customFormat="1" ht="24.6" customHeight="1" x14ac:dyDescent="0.3">
      <c r="A17" s="257" t="s">
        <v>1085</v>
      </c>
      <c r="B17" s="257">
        <v>8</v>
      </c>
      <c r="C17" s="257" t="s">
        <v>830</v>
      </c>
      <c r="D17" s="196">
        <f>'[2]GERAL 2025'!G10</f>
        <v>640</v>
      </c>
      <c r="E17" s="268">
        <v>0</v>
      </c>
      <c r="F17" s="196">
        <f t="shared" si="2"/>
        <v>640</v>
      </c>
      <c r="G17" s="268">
        <v>0</v>
      </c>
      <c r="H17" s="268">
        <f t="shared" si="4"/>
        <v>93.7</v>
      </c>
      <c r="I17" s="268">
        <f>'[2]GERAL 2025'!I10</f>
        <v>1.3720449172576832</v>
      </c>
      <c r="J17" s="268">
        <v>0</v>
      </c>
      <c r="K17" s="258">
        <f t="shared" si="3"/>
        <v>735.0720449172577</v>
      </c>
      <c r="L17" s="268">
        <f>7%*K17</f>
        <v>51.455043144208041</v>
      </c>
      <c r="M17" s="268">
        <f>K17-L17</f>
        <v>683.61700177304965</v>
      </c>
      <c r="N17" s="196" t="s">
        <v>1146</v>
      </c>
      <c r="O17" s="197">
        <v>10</v>
      </c>
      <c r="P17" s="197">
        <v>11</v>
      </c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</row>
    <row r="18" spans="1:47" s="272" customFormat="1" ht="24.6" customHeight="1" x14ac:dyDescent="0.3">
      <c r="A18" s="257" t="s">
        <v>852</v>
      </c>
      <c r="B18" s="257">
        <v>9</v>
      </c>
      <c r="C18" s="257" t="s">
        <v>828</v>
      </c>
      <c r="D18" s="196">
        <f>640+(5.59268%*640)</f>
        <v>675.79315199999996</v>
      </c>
      <c r="E18" s="268">
        <v>0</v>
      </c>
      <c r="F18" s="196">
        <f t="shared" si="2"/>
        <v>675.79315199999996</v>
      </c>
      <c r="G18" s="268">
        <v>0</v>
      </c>
      <c r="H18" s="268">
        <f t="shared" si="4"/>
        <v>93.7</v>
      </c>
      <c r="I18" s="268">
        <f>'[2]GERAL 2025'!I11</f>
        <v>1.3720449172576832</v>
      </c>
      <c r="J18" s="268">
        <v>0</v>
      </c>
      <c r="K18" s="258">
        <f t="shared" si="3"/>
        <v>770.86519691725766</v>
      </c>
      <c r="L18" s="268">
        <f>7%*K18</f>
        <v>53.960563784208041</v>
      </c>
      <c r="M18" s="268">
        <f>K18-L18</f>
        <v>716.90463313304963</v>
      </c>
      <c r="N18" s="257" t="s">
        <v>1146</v>
      </c>
      <c r="O18" s="207">
        <v>10</v>
      </c>
      <c r="P18" s="197">
        <v>11</v>
      </c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</row>
    <row r="19" spans="1:47" s="148" customFormat="1" ht="25.05" customHeight="1" x14ac:dyDescent="0.3">
      <c r="A19" s="267" t="s">
        <v>739</v>
      </c>
      <c r="B19" s="267">
        <v>10</v>
      </c>
      <c r="C19" s="267" t="s">
        <v>825</v>
      </c>
      <c r="D19" s="196">
        <f>'[2]GERAL 2025'!G12</f>
        <v>550</v>
      </c>
      <c r="E19" s="268">
        <v>0</v>
      </c>
      <c r="F19" s="196">
        <f t="shared" si="2"/>
        <v>550</v>
      </c>
      <c r="G19" s="268">
        <v>25</v>
      </c>
      <c r="H19" s="268">
        <f t="shared" si="4"/>
        <v>93.7</v>
      </c>
      <c r="I19" s="268">
        <f>'[2]GERAL 2025'!I12</f>
        <v>1.3720449172576832</v>
      </c>
      <c r="J19" s="268">
        <v>0</v>
      </c>
      <c r="K19" s="258">
        <f t="shared" si="3"/>
        <v>670.0720449172577</v>
      </c>
      <c r="L19" s="268">
        <f t="shared" si="6"/>
        <v>46.905043144208044</v>
      </c>
      <c r="M19" s="268">
        <f t="shared" si="5"/>
        <v>623.16700177304961</v>
      </c>
      <c r="N19" s="196" t="s">
        <v>1149</v>
      </c>
      <c r="O19" s="197">
        <v>10</v>
      </c>
      <c r="P19" s="267">
        <v>11</v>
      </c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8"/>
      <c r="AR19" s="208"/>
      <c r="AS19" s="208"/>
      <c r="AT19" s="208"/>
      <c r="AU19" s="208"/>
    </row>
    <row r="20" spans="1:47" s="148" customFormat="1" ht="24.6" customHeight="1" x14ac:dyDescent="0.3">
      <c r="A20" s="267" t="s">
        <v>965</v>
      </c>
      <c r="B20" s="267">
        <v>11</v>
      </c>
      <c r="C20" s="267" t="s">
        <v>827</v>
      </c>
      <c r="D20" s="268">
        <f>'[2]GERAL 2024'!G39</f>
        <v>610</v>
      </c>
      <c r="E20" s="268">
        <v>0</v>
      </c>
      <c r="F20" s="196">
        <f t="shared" si="2"/>
        <v>610</v>
      </c>
      <c r="G20" s="268">
        <v>0</v>
      </c>
      <c r="H20" s="268">
        <f t="shared" si="4"/>
        <v>93.7</v>
      </c>
      <c r="I20" s="268">
        <f>'[2]GERAL 2025'!I13</f>
        <v>1.3720449172576832</v>
      </c>
      <c r="J20" s="268">
        <v>0</v>
      </c>
      <c r="K20" s="258">
        <f t="shared" si="3"/>
        <v>705.0720449172577</v>
      </c>
      <c r="L20" s="268">
        <f>7%*K20</f>
        <v>49.355043144208047</v>
      </c>
      <c r="M20" s="268">
        <f t="shared" si="5"/>
        <v>655.71700177304967</v>
      </c>
      <c r="N20" s="257" t="s">
        <v>1146</v>
      </c>
      <c r="O20" s="197">
        <v>10</v>
      </c>
      <c r="P20" s="267">
        <v>11</v>
      </c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208"/>
      <c r="AC20" s="208"/>
      <c r="AD20" s="208"/>
      <c r="AE20" s="208"/>
      <c r="AF20" s="208"/>
      <c r="AG20" s="208"/>
      <c r="AH20" s="208"/>
      <c r="AI20" s="208"/>
      <c r="AJ20" s="208"/>
      <c r="AK20" s="208"/>
      <c r="AL20" s="208"/>
      <c r="AM20" s="208"/>
      <c r="AN20" s="208"/>
      <c r="AO20" s="208"/>
      <c r="AP20" s="208"/>
      <c r="AQ20" s="208"/>
      <c r="AR20" s="208"/>
      <c r="AS20" s="208"/>
      <c r="AT20" s="208"/>
      <c r="AU20" s="208"/>
    </row>
    <row r="21" spans="1:47" s="272" customFormat="1" ht="25.05" customHeight="1" x14ac:dyDescent="0.3">
      <c r="A21" s="257" t="s">
        <v>1087</v>
      </c>
      <c r="B21" s="257">
        <v>12</v>
      </c>
      <c r="C21" s="257" t="s">
        <v>830</v>
      </c>
      <c r="D21" s="196">
        <f>'[2]GERAL 2025'!G14</f>
        <v>610</v>
      </c>
      <c r="E21" s="268">
        <v>0</v>
      </c>
      <c r="F21" s="196">
        <f t="shared" si="2"/>
        <v>610</v>
      </c>
      <c r="G21" s="196">
        <v>50</v>
      </c>
      <c r="H21" s="268">
        <f t="shared" si="4"/>
        <v>93.7</v>
      </c>
      <c r="I21" s="268">
        <f>'[2]GERAL 2025'!I14</f>
        <v>1.3720449172576832</v>
      </c>
      <c r="J21" s="196">
        <v>0</v>
      </c>
      <c r="K21" s="258">
        <f t="shared" si="3"/>
        <v>755.0720449172577</v>
      </c>
      <c r="L21" s="268">
        <f t="shared" si="6"/>
        <v>52.855043144208047</v>
      </c>
      <c r="M21" s="268">
        <f t="shared" si="5"/>
        <v>702.21700177304967</v>
      </c>
      <c r="N21" s="196" t="s">
        <v>1145</v>
      </c>
      <c r="O21" s="197">
        <v>10</v>
      </c>
      <c r="P21" s="197">
        <v>11</v>
      </c>
      <c r="Q21" s="198"/>
      <c r="R21" s="198"/>
      <c r="S21" s="198"/>
      <c r="T21" s="198"/>
      <c r="U21" s="198"/>
      <c r="V21" s="198"/>
      <c r="W21" s="198"/>
      <c r="X21" s="198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  <c r="AK21" s="198"/>
      <c r="AL21" s="198"/>
      <c r="AM21" s="198"/>
      <c r="AN21" s="198"/>
      <c r="AO21" s="198"/>
      <c r="AP21" s="198"/>
    </row>
    <row r="22" spans="1:47" s="206" customFormat="1" ht="25.05" customHeight="1" x14ac:dyDescent="0.3">
      <c r="A22" s="257" t="s">
        <v>756</v>
      </c>
      <c r="B22" s="257">
        <v>13</v>
      </c>
      <c r="C22" s="257" t="s">
        <v>827</v>
      </c>
      <c r="D22" s="196">
        <f>'[2]GERAL 2022'!G15</f>
        <v>550</v>
      </c>
      <c r="E22" s="196">
        <v>0</v>
      </c>
      <c r="F22" s="196">
        <f t="shared" si="2"/>
        <v>550</v>
      </c>
      <c r="G22" s="268">
        <v>0</v>
      </c>
      <c r="H22" s="268">
        <f t="shared" si="4"/>
        <v>93.7</v>
      </c>
      <c r="I22" s="268">
        <f>'[2]GERAL 2025'!I15</f>
        <v>1.3720449172576832</v>
      </c>
      <c r="J22" s="268">
        <v>0</v>
      </c>
      <c r="K22" s="258">
        <f t="shared" si="3"/>
        <v>645.0720449172577</v>
      </c>
      <c r="L22" s="268">
        <f t="shared" si="6"/>
        <v>45.155043144208044</v>
      </c>
      <c r="M22" s="268">
        <f t="shared" si="5"/>
        <v>599.91700177304961</v>
      </c>
      <c r="N22" s="257" t="s">
        <v>1146</v>
      </c>
      <c r="O22" s="197">
        <v>10</v>
      </c>
      <c r="P22" s="197">
        <v>11</v>
      </c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205"/>
      <c r="AG22" s="205"/>
      <c r="AH22" s="205"/>
      <c r="AI22" s="205"/>
      <c r="AJ22" s="205"/>
      <c r="AK22" s="205"/>
      <c r="AL22" s="205"/>
      <c r="AM22" s="205"/>
      <c r="AN22" s="205"/>
      <c r="AO22" s="205"/>
      <c r="AP22" s="205"/>
    </row>
    <row r="23" spans="1:47" s="148" customFormat="1" ht="24.6" customHeight="1" x14ac:dyDescent="0.3">
      <c r="A23" s="267" t="s">
        <v>747</v>
      </c>
      <c r="B23" s="267">
        <v>14</v>
      </c>
      <c r="C23" s="257" t="s">
        <v>832</v>
      </c>
      <c r="D23" s="196">
        <f>580+(4.52806%*580)</f>
        <v>606.26274799999999</v>
      </c>
      <c r="E23" s="268">
        <v>0</v>
      </c>
      <c r="F23" s="196">
        <f t="shared" si="2"/>
        <v>606.26274799999999</v>
      </c>
      <c r="G23" s="268">
        <f>50</f>
        <v>50</v>
      </c>
      <c r="H23" s="268">
        <f t="shared" si="4"/>
        <v>93.7</v>
      </c>
      <c r="I23" s="268">
        <f>'[2]GERAL 2025'!I16</f>
        <v>1.3720449172576832</v>
      </c>
      <c r="J23" s="268">
        <v>0</v>
      </c>
      <c r="K23" s="258">
        <f t="shared" si="3"/>
        <v>751.33479291725769</v>
      </c>
      <c r="L23" s="268">
        <f t="shared" si="6"/>
        <v>52.593435504208045</v>
      </c>
      <c r="M23" s="268">
        <f t="shared" si="5"/>
        <v>698.74135741304963</v>
      </c>
      <c r="N23" s="257" t="s">
        <v>1150</v>
      </c>
      <c r="O23" s="197">
        <v>10</v>
      </c>
      <c r="P23" s="267">
        <v>11</v>
      </c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  <c r="AD23" s="208"/>
      <c r="AE23" s="208"/>
      <c r="AF23" s="208"/>
      <c r="AG23" s="208"/>
      <c r="AH23" s="208"/>
      <c r="AI23" s="208"/>
      <c r="AJ23" s="208"/>
      <c r="AK23" s="208"/>
      <c r="AL23" s="208"/>
      <c r="AM23" s="208"/>
      <c r="AN23" s="208"/>
      <c r="AO23" s="208"/>
      <c r="AP23" s="208"/>
      <c r="AQ23" s="208"/>
      <c r="AR23" s="208"/>
      <c r="AS23" s="208"/>
      <c r="AT23" s="208"/>
      <c r="AU23" s="208"/>
    </row>
    <row r="24" spans="1:47" s="204" customFormat="1" ht="24.6" customHeight="1" x14ac:dyDescent="0.3">
      <c r="A24" s="257" t="s">
        <v>748</v>
      </c>
      <c r="B24" s="257">
        <v>15</v>
      </c>
      <c r="C24" s="257" t="s">
        <v>827</v>
      </c>
      <c r="D24" s="196">
        <f>'[2]GERAL 2023'!G36</f>
        <v>680</v>
      </c>
      <c r="E24" s="268">
        <v>0</v>
      </c>
      <c r="F24" s="196">
        <f t="shared" si="2"/>
        <v>680</v>
      </c>
      <c r="G24" s="268">
        <v>25</v>
      </c>
      <c r="H24" s="268">
        <f t="shared" si="4"/>
        <v>93.7</v>
      </c>
      <c r="I24" s="268">
        <f>'[2]GERAL 2025'!I17</f>
        <v>1.9208628841607567</v>
      </c>
      <c r="J24" s="268">
        <v>0</v>
      </c>
      <c r="K24" s="258">
        <f t="shared" si="3"/>
        <v>800.62086288416083</v>
      </c>
      <c r="L24" s="268">
        <f t="shared" si="6"/>
        <v>56.043460401891267</v>
      </c>
      <c r="M24" s="268">
        <f t="shared" si="5"/>
        <v>744.57740248226958</v>
      </c>
      <c r="N24" s="257" t="s">
        <v>1149</v>
      </c>
      <c r="O24" s="197">
        <v>10</v>
      </c>
      <c r="P24" s="267">
        <v>11</v>
      </c>
      <c r="Q24" s="200"/>
      <c r="R24" s="200"/>
      <c r="S24" s="200"/>
      <c r="T24" s="200"/>
      <c r="U24" s="200"/>
      <c r="V24" s="200"/>
      <c r="W24" s="200"/>
      <c r="X24" s="200"/>
      <c r="Y24" s="200"/>
    </row>
    <row r="25" spans="1:47" s="206" customFormat="1" ht="24.6" customHeight="1" x14ac:dyDescent="0.3">
      <c r="A25" s="197" t="s">
        <v>977</v>
      </c>
      <c r="B25" s="197">
        <v>16</v>
      </c>
      <c r="C25" s="257" t="s">
        <v>827</v>
      </c>
      <c r="D25" s="196">
        <f>'[2]GERAL 2024'!G40</f>
        <v>640</v>
      </c>
      <c r="E25" s="268">
        <v>0</v>
      </c>
      <c r="F25" s="196">
        <f>D25-E25</f>
        <v>640</v>
      </c>
      <c r="G25" s="268">
        <v>50</v>
      </c>
      <c r="H25" s="268">
        <f t="shared" si="4"/>
        <v>93.7</v>
      </c>
      <c r="I25" s="268">
        <f>'[2]GERAL 2025'!I18</f>
        <v>1.3720449172576832</v>
      </c>
      <c r="J25" s="268">
        <v>0</v>
      </c>
      <c r="K25" s="258">
        <f t="shared" si="3"/>
        <v>785.0720449172577</v>
      </c>
      <c r="L25" s="268">
        <f t="shared" si="6"/>
        <v>54.955043144208041</v>
      </c>
      <c r="M25" s="268">
        <f>K25-L25</f>
        <v>730.11700177304965</v>
      </c>
      <c r="N25" s="257" t="s">
        <v>1145</v>
      </c>
      <c r="O25" s="197">
        <v>10</v>
      </c>
      <c r="P25" s="197">
        <v>11</v>
      </c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</row>
    <row r="26" spans="1:47" s="206" customFormat="1" ht="24.6" customHeight="1" x14ac:dyDescent="0.3">
      <c r="A26" s="195" t="s">
        <v>1029</v>
      </c>
      <c r="B26" s="195">
        <v>17</v>
      </c>
      <c r="C26" s="195" t="s">
        <v>824</v>
      </c>
      <c r="D26" s="196">
        <f>'[2]GERAL 2024'!G45</f>
        <v>610</v>
      </c>
      <c r="E26" s="268">
        <v>0</v>
      </c>
      <c r="F26" s="196">
        <f t="shared" si="2"/>
        <v>610</v>
      </c>
      <c r="G26" s="268">
        <v>50</v>
      </c>
      <c r="H26" s="268">
        <f t="shared" si="4"/>
        <v>93.7</v>
      </c>
      <c r="I26" s="268">
        <f>'[2]GERAL 2025'!I19</f>
        <v>1.3720449172576832</v>
      </c>
      <c r="J26" s="268">
        <v>0</v>
      </c>
      <c r="K26" s="258">
        <f t="shared" si="3"/>
        <v>755.0720449172577</v>
      </c>
      <c r="L26" s="268">
        <f>7%*K26</f>
        <v>52.855043144208047</v>
      </c>
      <c r="M26" s="268">
        <f>K26-L26</f>
        <v>702.21700177304967</v>
      </c>
      <c r="N26" s="257" t="s">
        <v>1145</v>
      </c>
      <c r="O26" s="197">
        <v>10</v>
      </c>
      <c r="P26" s="197">
        <v>11</v>
      </c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</row>
    <row r="27" spans="1:47" s="206" customFormat="1" ht="24.6" customHeight="1" x14ac:dyDescent="0.3">
      <c r="A27" s="195" t="s">
        <v>1030</v>
      </c>
      <c r="B27" s="257">
        <v>18</v>
      </c>
      <c r="C27" s="195" t="s">
        <v>824</v>
      </c>
      <c r="D27" s="196">
        <f>'[2]GERAL 2024'!G46</f>
        <v>640</v>
      </c>
      <c r="E27" s="268">
        <v>0</v>
      </c>
      <c r="F27" s="196">
        <f>D27-E27</f>
        <v>640</v>
      </c>
      <c r="G27" s="268">
        <v>0</v>
      </c>
      <c r="H27" s="268">
        <f t="shared" si="4"/>
        <v>93.7</v>
      </c>
      <c r="I27" s="268">
        <f>'[2]GERAL 2025'!I20</f>
        <v>1.3720449172576832</v>
      </c>
      <c r="J27" s="268">
        <v>0</v>
      </c>
      <c r="K27" s="258">
        <f t="shared" si="3"/>
        <v>735.0720449172577</v>
      </c>
      <c r="L27" s="268">
        <f t="shared" si="6"/>
        <v>51.455043144208041</v>
      </c>
      <c r="M27" s="268">
        <f t="shared" si="5"/>
        <v>683.61700177304965</v>
      </c>
      <c r="N27" s="257" t="s">
        <v>1146</v>
      </c>
      <c r="O27" s="197">
        <v>10</v>
      </c>
      <c r="P27" s="197">
        <v>11</v>
      </c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</row>
    <row r="28" spans="1:47" s="206" customFormat="1" ht="25.05" customHeight="1" x14ac:dyDescent="0.3">
      <c r="A28" s="257" t="s">
        <v>1012</v>
      </c>
      <c r="B28" s="257">
        <v>19</v>
      </c>
      <c r="C28" s="257" t="s">
        <v>822</v>
      </c>
      <c r="D28" s="196">
        <f>'[2]GERAL 2024'!G44</f>
        <v>580</v>
      </c>
      <c r="E28" s="268">
        <v>0</v>
      </c>
      <c r="F28" s="196">
        <f>(D28-E28)</f>
        <v>580</v>
      </c>
      <c r="G28" s="268">
        <v>50</v>
      </c>
      <c r="H28" s="268">
        <f t="shared" si="4"/>
        <v>93.7</v>
      </c>
      <c r="I28" s="268">
        <f>'[2]GERAL 2025'!I21</f>
        <v>1.3720449172576832</v>
      </c>
      <c r="J28" s="268">
        <v>0</v>
      </c>
      <c r="K28" s="258">
        <f t="shared" si="3"/>
        <v>725.0720449172577</v>
      </c>
      <c r="L28" s="268">
        <f t="shared" si="6"/>
        <v>50.755043144208045</v>
      </c>
      <c r="M28" s="268">
        <f t="shared" si="5"/>
        <v>674.3170017730497</v>
      </c>
      <c r="N28" s="257" t="s">
        <v>1145</v>
      </c>
      <c r="O28" s="207">
        <v>10</v>
      </c>
      <c r="P28" s="197">
        <v>11</v>
      </c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</row>
    <row r="29" spans="1:47" s="206" customFormat="1" ht="24" customHeight="1" x14ac:dyDescent="0.3">
      <c r="A29" s="195"/>
      <c r="B29" s="257">
        <v>20</v>
      </c>
      <c r="C29" s="257"/>
      <c r="D29" s="196">
        <v>0</v>
      </c>
      <c r="E29" s="268">
        <v>0</v>
      </c>
      <c r="F29" s="196">
        <f t="shared" ref="F29:F36" si="7">D29-E29</f>
        <v>0</v>
      </c>
      <c r="G29" s="268">
        <v>0</v>
      </c>
      <c r="H29" s="268">
        <v>0</v>
      </c>
      <c r="I29" s="268">
        <v>0</v>
      </c>
      <c r="J29" s="268">
        <v>0</v>
      </c>
      <c r="K29" s="258">
        <f t="shared" si="3"/>
        <v>0</v>
      </c>
      <c r="L29" s="268">
        <f t="shared" si="6"/>
        <v>0</v>
      </c>
      <c r="M29" s="268">
        <f t="shared" si="5"/>
        <v>0</v>
      </c>
      <c r="N29" s="257"/>
      <c r="O29" s="207"/>
      <c r="P29" s="197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</row>
    <row r="30" spans="1:47" s="206" customFormat="1" ht="24.6" customHeight="1" x14ac:dyDescent="0.3">
      <c r="A30" s="195" t="s">
        <v>788</v>
      </c>
      <c r="B30" s="257">
        <v>21</v>
      </c>
      <c r="C30" s="257" t="s">
        <v>822</v>
      </c>
      <c r="D30" s="196">
        <f>'[2]GERAL 2023'!G39+(2.45026%*580)</f>
        <v>594.21150799999998</v>
      </c>
      <c r="E30" s="268">
        <v>0</v>
      </c>
      <c r="F30" s="196">
        <f t="shared" si="7"/>
        <v>594.21150799999998</v>
      </c>
      <c r="G30" s="268">
        <v>25</v>
      </c>
      <c r="H30" s="268">
        <f t="shared" si="4"/>
        <v>93.7</v>
      </c>
      <c r="I30" s="268">
        <f>'[2]GERAL 2025'!I23</f>
        <v>1.3720449172576832</v>
      </c>
      <c r="J30" s="268">
        <v>0</v>
      </c>
      <c r="K30" s="258">
        <f t="shared" si="3"/>
        <v>714.28355291725768</v>
      </c>
      <c r="L30" s="268">
        <f t="shared" si="6"/>
        <v>49.999848704208041</v>
      </c>
      <c r="M30" s="268">
        <f t="shared" si="5"/>
        <v>664.28370421304965</v>
      </c>
      <c r="N30" s="257" t="s">
        <v>1149</v>
      </c>
      <c r="O30" s="207">
        <v>10</v>
      </c>
      <c r="P30" s="197">
        <v>11</v>
      </c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</row>
    <row r="31" spans="1:47" s="206" customFormat="1" ht="25.05" customHeight="1" x14ac:dyDescent="0.3">
      <c r="A31" s="195" t="s">
        <v>950</v>
      </c>
      <c r="B31" s="257">
        <v>22</v>
      </c>
      <c r="C31" s="271" t="s">
        <v>951</v>
      </c>
      <c r="D31" s="196">
        <v>662.35</v>
      </c>
      <c r="E31" s="268">
        <v>0</v>
      </c>
      <c r="F31" s="196">
        <f t="shared" si="7"/>
        <v>662.35</v>
      </c>
      <c r="G31" s="268">
        <v>0</v>
      </c>
      <c r="H31" s="268">
        <f>( 2529.9/27)</f>
        <v>93.7</v>
      </c>
      <c r="I31" s="268">
        <f>'[2]GERAL 2025'!I24</f>
        <v>1.3720449172576832</v>
      </c>
      <c r="J31" s="268">
        <v>133.16999999999999</v>
      </c>
      <c r="K31" s="258">
        <f t="shared" si="3"/>
        <v>890.59204491725768</v>
      </c>
      <c r="L31" s="268">
        <f>7%*K31</f>
        <v>62.341443144208043</v>
      </c>
      <c r="M31" s="268">
        <f>K31-L31</f>
        <v>828.25060177304965</v>
      </c>
      <c r="N31" s="257" t="s">
        <v>1151</v>
      </c>
      <c r="O31" s="207">
        <v>10</v>
      </c>
      <c r="P31" s="197">
        <v>11</v>
      </c>
      <c r="Q31" s="205"/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  <c r="AC31" s="205"/>
      <c r="AD31" s="205"/>
      <c r="AE31" s="205"/>
      <c r="AF31" s="205"/>
      <c r="AG31" s="205"/>
      <c r="AH31" s="205"/>
      <c r="AI31" s="205"/>
      <c r="AJ31" s="205"/>
      <c r="AK31" s="205"/>
      <c r="AL31" s="205"/>
      <c r="AM31" s="205"/>
      <c r="AN31" s="205"/>
      <c r="AO31" s="205"/>
      <c r="AP31" s="205"/>
    </row>
    <row r="32" spans="1:47" s="206" customFormat="1" ht="24.6" customHeight="1" x14ac:dyDescent="0.3">
      <c r="A32" s="195" t="s">
        <v>750</v>
      </c>
      <c r="B32" s="257">
        <v>23</v>
      </c>
      <c r="C32" s="257" t="s">
        <v>827</v>
      </c>
      <c r="D32" s="196">
        <f>'[2]GERAL 2022'!G25/30*2</f>
        <v>36.666666666666664</v>
      </c>
      <c r="E32" s="268">
        <v>0</v>
      </c>
      <c r="F32" s="196">
        <f t="shared" si="7"/>
        <v>36.666666666666664</v>
      </c>
      <c r="G32" s="268">
        <v>0</v>
      </c>
      <c r="H32" s="268">
        <f>(2529.9/27)/30*2</f>
        <v>6.246666666666667</v>
      </c>
      <c r="I32" s="268">
        <f>'[2]GERAL 2025'!I25/30*2</f>
        <v>9.1469661150512208E-2</v>
      </c>
      <c r="J32" s="268">
        <v>0</v>
      </c>
      <c r="K32" s="258">
        <f t="shared" si="3"/>
        <v>43.004802994483846</v>
      </c>
      <c r="L32" s="268">
        <f t="shared" si="6"/>
        <v>3.0103362096138695</v>
      </c>
      <c r="M32" s="268">
        <f t="shared" si="5"/>
        <v>39.994466784869978</v>
      </c>
      <c r="N32" s="257" t="s">
        <v>1152</v>
      </c>
      <c r="O32" s="197">
        <v>10</v>
      </c>
      <c r="P32" s="197">
        <v>11</v>
      </c>
      <c r="Q32" s="205"/>
      <c r="R32" s="205"/>
      <c r="S32" s="205"/>
      <c r="T32" s="205"/>
      <c r="U32" s="205"/>
      <c r="V32" s="205"/>
      <c r="W32" s="205"/>
      <c r="X32" s="205"/>
      <c r="Y32" s="205"/>
      <c r="Z32" s="205"/>
      <c r="AA32" s="205"/>
      <c r="AB32" s="205"/>
      <c r="AC32" s="205"/>
      <c r="AD32" s="205"/>
      <c r="AE32" s="205"/>
      <c r="AF32" s="205"/>
      <c r="AG32" s="205"/>
      <c r="AH32" s="205"/>
      <c r="AI32" s="205"/>
      <c r="AJ32" s="205"/>
      <c r="AK32" s="205"/>
      <c r="AL32" s="205"/>
      <c r="AM32" s="205"/>
      <c r="AN32" s="205"/>
      <c r="AO32" s="205"/>
      <c r="AP32" s="205"/>
    </row>
    <row r="33" spans="1:42" s="204" customFormat="1" ht="25.05" customHeight="1" x14ac:dyDescent="0.3">
      <c r="A33" s="257"/>
      <c r="B33" s="257">
        <v>24</v>
      </c>
      <c r="C33" s="257"/>
      <c r="D33" s="196">
        <v>0</v>
      </c>
      <c r="E33" s="268">
        <v>0</v>
      </c>
      <c r="F33" s="196">
        <f>D33-E33</f>
        <v>0</v>
      </c>
      <c r="G33" s="268">
        <v>0</v>
      </c>
      <c r="H33" s="268">
        <v>0</v>
      </c>
      <c r="I33" s="268">
        <v>0</v>
      </c>
      <c r="J33" s="268">
        <v>0</v>
      </c>
      <c r="K33" s="258">
        <f t="shared" si="3"/>
        <v>0</v>
      </c>
      <c r="L33" s="268">
        <f t="shared" si="6"/>
        <v>0</v>
      </c>
      <c r="M33" s="268">
        <f t="shared" si="5"/>
        <v>0</v>
      </c>
      <c r="N33" s="257" t="s">
        <v>525</v>
      </c>
      <c r="O33" s="207"/>
      <c r="P33" s="197"/>
      <c r="Q33" s="200"/>
      <c r="R33" s="200"/>
      <c r="S33" s="200"/>
      <c r="T33" s="200"/>
      <c r="U33" s="200"/>
      <c r="V33" s="200"/>
      <c r="W33" s="200"/>
      <c r="X33" s="200"/>
      <c r="Y33" s="200"/>
    </row>
    <row r="34" spans="1:42" s="204" customFormat="1" ht="25.05" customHeight="1" x14ac:dyDescent="0.3">
      <c r="A34" s="206" t="s">
        <v>1007</v>
      </c>
      <c r="B34" s="257">
        <v>25</v>
      </c>
      <c r="C34" s="257" t="s">
        <v>822</v>
      </c>
      <c r="D34" s="196">
        <v>0</v>
      </c>
      <c r="E34" s="268">
        <v>0</v>
      </c>
      <c r="F34" s="196">
        <f t="shared" si="7"/>
        <v>0</v>
      </c>
      <c r="G34" s="268">
        <v>0</v>
      </c>
      <c r="H34" s="268">
        <v>0</v>
      </c>
      <c r="I34" s="268">
        <v>0</v>
      </c>
      <c r="J34" s="268">
        <v>0</v>
      </c>
      <c r="K34" s="258">
        <f t="shared" si="3"/>
        <v>0</v>
      </c>
      <c r="L34" s="268">
        <f t="shared" si="6"/>
        <v>0</v>
      </c>
      <c r="M34" s="268">
        <f t="shared" si="5"/>
        <v>0</v>
      </c>
      <c r="N34" s="257" t="s">
        <v>179</v>
      </c>
      <c r="O34" s="207">
        <v>10</v>
      </c>
      <c r="P34" s="197">
        <v>11</v>
      </c>
      <c r="Q34" s="200"/>
      <c r="R34" s="200"/>
      <c r="S34" s="200"/>
      <c r="T34" s="200"/>
      <c r="U34" s="200"/>
      <c r="V34" s="200"/>
      <c r="W34" s="200"/>
      <c r="X34" s="200"/>
      <c r="Y34" s="200"/>
    </row>
    <row r="35" spans="1:42" s="206" customFormat="1" ht="24.6" customHeight="1" x14ac:dyDescent="0.3">
      <c r="A35" s="195" t="s">
        <v>751</v>
      </c>
      <c r="B35" s="257">
        <v>26</v>
      </c>
      <c r="C35" s="257" t="s">
        <v>827</v>
      </c>
      <c r="D35" s="196">
        <f>'[2]GERAL 2022'!G28</f>
        <v>560</v>
      </c>
      <c r="E35" s="268">
        <v>0</v>
      </c>
      <c r="F35" s="196">
        <f t="shared" si="7"/>
        <v>560</v>
      </c>
      <c r="G35" s="268">
        <v>25</v>
      </c>
      <c r="H35" s="268">
        <f t="shared" ref="H35:H36" si="8">( 2529.9/27)</f>
        <v>93.7</v>
      </c>
      <c r="I35" s="268">
        <f>'[2]GERAL 2025'!I28</f>
        <v>1.3720449172576832</v>
      </c>
      <c r="J35" s="268">
        <v>0</v>
      </c>
      <c r="K35" s="258">
        <f t="shared" si="3"/>
        <v>680.0720449172577</v>
      </c>
      <c r="L35" s="268">
        <f t="shared" si="6"/>
        <v>47.605043144208047</v>
      </c>
      <c r="M35" s="268">
        <f t="shared" si="5"/>
        <v>632.46700177304967</v>
      </c>
      <c r="N35" s="257" t="s">
        <v>1149</v>
      </c>
      <c r="O35" s="197">
        <v>10</v>
      </c>
      <c r="P35" s="197">
        <v>11</v>
      </c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</row>
    <row r="36" spans="1:42" s="206" customFormat="1" ht="25.05" customHeight="1" x14ac:dyDescent="0.3">
      <c r="A36" s="195" t="s">
        <v>752</v>
      </c>
      <c r="B36" s="257">
        <v>27</v>
      </c>
      <c r="C36" s="216" t="s">
        <v>827</v>
      </c>
      <c r="D36" s="217">
        <f>'[2]GERAL 2022'!G45</f>
        <v>580</v>
      </c>
      <c r="E36" s="210">
        <v>0</v>
      </c>
      <c r="F36" s="196">
        <f t="shared" si="7"/>
        <v>580</v>
      </c>
      <c r="G36" s="210">
        <v>0</v>
      </c>
      <c r="H36" s="268">
        <f t="shared" si="8"/>
        <v>93.7</v>
      </c>
      <c r="I36" s="210">
        <f>'[2]GERAL 2025'!I29</f>
        <v>1.3720449172576832</v>
      </c>
      <c r="J36" s="210">
        <v>0</v>
      </c>
      <c r="K36" s="258">
        <f t="shared" si="3"/>
        <v>675.0720449172577</v>
      </c>
      <c r="L36" s="268">
        <f t="shared" si="6"/>
        <v>47.255043144208045</v>
      </c>
      <c r="M36" s="268">
        <f>K36-L36</f>
        <v>627.8170017730497</v>
      </c>
      <c r="N36" s="257" t="s">
        <v>1153</v>
      </c>
      <c r="O36" s="197">
        <v>10</v>
      </c>
      <c r="P36" s="197">
        <v>11</v>
      </c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</row>
    <row r="37" spans="1:42" s="206" customFormat="1" ht="25.05" customHeight="1" x14ac:dyDescent="0.3">
      <c r="A37" s="584" t="s">
        <v>4</v>
      </c>
      <c r="B37" s="584"/>
      <c r="C37" s="271"/>
      <c r="D37" s="258">
        <f>SUM(D10:D36)</f>
        <v>12997.660858666666</v>
      </c>
      <c r="E37" s="258">
        <f t="shared" ref="E37:M37" si="9">SUM(E10:E36)</f>
        <v>0</v>
      </c>
      <c r="F37" s="258">
        <f t="shared" si="9"/>
        <v>12997.660858666666</v>
      </c>
      <c r="G37" s="258">
        <f t="shared" si="9"/>
        <v>500</v>
      </c>
      <c r="H37" s="258">
        <f>SUM(H10:H36)</f>
        <v>1973.9466666666674</v>
      </c>
      <c r="I37" s="258">
        <f>SUM(I10:I36)</f>
        <v>30.002048857368003</v>
      </c>
      <c r="J37" s="258">
        <f>SUM(J10:J36)</f>
        <v>133.16999999999999</v>
      </c>
      <c r="K37" s="258">
        <f>SUM(K10:K36)</f>
        <v>15634.779574190707</v>
      </c>
      <c r="L37" s="258">
        <f t="shared" si="9"/>
        <v>1094.4345701933491</v>
      </c>
      <c r="M37" s="258">
        <f t="shared" si="9"/>
        <v>14540.345003997354</v>
      </c>
      <c r="N37" s="257"/>
      <c r="O37" s="197"/>
      <c r="P37" s="197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  <c r="AC37" s="205"/>
      <c r="AD37" s="205"/>
      <c r="AE37" s="205"/>
      <c r="AF37" s="205"/>
      <c r="AG37" s="205"/>
      <c r="AH37" s="205"/>
      <c r="AI37" s="205"/>
      <c r="AJ37" s="205"/>
      <c r="AK37" s="205"/>
      <c r="AL37" s="205"/>
      <c r="AM37" s="205"/>
      <c r="AN37" s="205"/>
      <c r="AO37" s="205"/>
      <c r="AP37" s="205"/>
    </row>
    <row r="38" spans="1:42" s="11" customFormat="1" ht="28.5" customHeight="1" x14ac:dyDescent="0.3">
      <c r="A38" s="521" t="s">
        <v>1154</v>
      </c>
      <c r="B38" s="521"/>
      <c r="C38" s="521"/>
      <c r="D38" s="521"/>
      <c r="E38" s="521"/>
      <c r="F38" s="521"/>
      <c r="G38" s="521"/>
      <c r="H38" s="521"/>
      <c r="I38" s="521"/>
      <c r="J38" s="521"/>
      <c r="K38" s="521"/>
      <c r="L38" s="521"/>
      <c r="M38" s="521"/>
      <c r="N38" s="521"/>
      <c r="O38" s="521"/>
      <c r="P38" s="521"/>
      <c r="Q38" s="10"/>
      <c r="R38" s="10"/>
      <c r="S38" s="10"/>
      <c r="T38" s="10"/>
      <c r="U38" s="10"/>
      <c r="V38" s="10"/>
      <c r="W38" s="10"/>
      <c r="X38" s="10"/>
      <c r="Y38" s="10"/>
    </row>
    <row r="39" spans="1:42" s="11" customFormat="1" ht="27.6" customHeight="1" x14ac:dyDescent="0.3">
      <c r="A39" s="256" t="s">
        <v>3</v>
      </c>
      <c r="B39" s="256" t="s">
        <v>0</v>
      </c>
      <c r="C39" s="256" t="s">
        <v>821</v>
      </c>
      <c r="D39" s="264" t="s">
        <v>174</v>
      </c>
      <c r="E39" s="555" t="s">
        <v>175</v>
      </c>
      <c r="F39" s="556"/>
      <c r="G39" s="556"/>
      <c r="H39" s="556"/>
      <c r="I39" s="556"/>
      <c r="J39" s="557"/>
      <c r="K39" s="264" t="s">
        <v>4</v>
      </c>
      <c r="L39" s="264" t="s">
        <v>5</v>
      </c>
      <c r="M39" s="264" t="s">
        <v>70</v>
      </c>
      <c r="N39" s="256" t="s">
        <v>59</v>
      </c>
      <c r="O39" s="130" t="s">
        <v>8</v>
      </c>
      <c r="P39" s="130" t="s">
        <v>10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42" s="204" customFormat="1" ht="24.6" customHeight="1" x14ac:dyDescent="0.3">
      <c r="A40" s="267" t="s">
        <v>929</v>
      </c>
      <c r="B40" s="267">
        <v>12</v>
      </c>
      <c r="C40" s="267" t="s">
        <v>829</v>
      </c>
      <c r="D40" s="196">
        <v>1464</v>
      </c>
      <c r="E40" s="551" t="s">
        <v>715</v>
      </c>
      <c r="F40" s="580"/>
      <c r="G40" s="580"/>
      <c r="H40" s="580"/>
      <c r="I40" s="580"/>
      <c r="J40" s="552"/>
      <c r="K40" s="196">
        <v>183</v>
      </c>
      <c r="L40" s="268">
        <f t="shared" ref="L40" si="10">7%*K40</f>
        <v>12.81</v>
      </c>
      <c r="M40" s="268">
        <f t="shared" ref="M40" si="11">K40-L40</f>
        <v>170.19</v>
      </c>
      <c r="N40" s="257" t="s">
        <v>1155</v>
      </c>
      <c r="O40" s="207">
        <v>10</v>
      </c>
      <c r="P40" s="197">
        <v>11</v>
      </c>
      <c r="Q40" s="200"/>
      <c r="R40" s="200"/>
      <c r="S40" s="200"/>
      <c r="T40" s="200"/>
      <c r="U40" s="200"/>
      <c r="V40" s="200"/>
      <c r="W40" s="200"/>
      <c r="X40" s="200"/>
      <c r="Y40" s="200"/>
    </row>
    <row r="41" spans="1:42" s="204" customFormat="1" ht="25.05" customHeight="1" x14ac:dyDescent="0.3">
      <c r="A41" s="267"/>
      <c r="B41" s="267"/>
      <c r="C41" s="267"/>
      <c r="D41" s="196"/>
      <c r="E41" s="551"/>
      <c r="F41" s="580"/>
      <c r="G41" s="580"/>
      <c r="H41" s="580"/>
      <c r="I41" s="580"/>
      <c r="J41" s="552"/>
      <c r="K41" s="196"/>
      <c r="L41" s="268"/>
      <c r="M41" s="268"/>
      <c r="N41" s="257"/>
      <c r="O41" s="207"/>
      <c r="P41" s="197"/>
      <c r="Q41" s="200"/>
      <c r="R41" s="200"/>
      <c r="S41" s="200"/>
      <c r="T41" s="200"/>
      <c r="U41" s="200"/>
      <c r="V41" s="200"/>
      <c r="W41" s="200"/>
      <c r="X41" s="200"/>
      <c r="Y41" s="200"/>
    </row>
    <row r="42" spans="1:42" s="204" customFormat="1" ht="25.05" customHeight="1" x14ac:dyDescent="0.3">
      <c r="A42" s="267"/>
      <c r="B42" s="267"/>
      <c r="C42" s="267"/>
      <c r="D42" s="196"/>
      <c r="E42" s="551"/>
      <c r="F42" s="580"/>
      <c r="G42" s="580"/>
      <c r="H42" s="580"/>
      <c r="I42" s="580"/>
      <c r="J42" s="552"/>
      <c r="K42" s="196"/>
      <c r="L42" s="268"/>
      <c r="M42" s="268"/>
      <c r="N42" s="257"/>
      <c r="O42" s="207"/>
      <c r="P42" s="197"/>
      <c r="Q42" s="200"/>
      <c r="R42" s="200"/>
      <c r="S42" s="200"/>
      <c r="T42" s="200"/>
      <c r="U42" s="200"/>
      <c r="V42" s="200"/>
      <c r="W42" s="200"/>
      <c r="X42" s="200"/>
      <c r="Y42" s="200"/>
    </row>
    <row r="43" spans="1:42" s="11" customFormat="1" ht="25.05" customHeight="1" x14ac:dyDescent="0.3">
      <c r="A43" s="518" t="s">
        <v>4</v>
      </c>
      <c r="B43" s="518"/>
      <c r="C43" s="518"/>
      <c r="D43" s="518"/>
      <c r="E43" s="518"/>
      <c r="F43" s="518"/>
      <c r="G43" s="518"/>
      <c r="H43" s="518"/>
      <c r="I43" s="518"/>
      <c r="J43" s="518"/>
      <c r="K43" s="263">
        <f>SUM(K40:K42)</f>
        <v>183</v>
      </c>
      <c r="L43" s="263">
        <f>SUM(L40:L42)</f>
        <v>12.81</v>
      </c>
      <c r="M43" s="263">
        <f>SUM(M40:M42)</f>
        <v>170.19</v>
      </c>
      <c r="N43" s="527"/>
      <c r="O43" s="527"/>
      <c r="P43" s="527"/>
      <c r="Q43" s="10"/>
      <c r="R43" s="10"/>
      <c r="S43" s="10"/>
      <c r="T43" s="10"/>
      <c r="U43" s="10"/>
      <c r="V43" s="10"/>
      <c r="W43" s="10"/>
      <c r="X43" s="10"/>
      <c r="Y43" s="10"/>
    </row>
    <row r="44" spans="1:42" s="11" customFormat="1" x14ac:dyDescent="0.3">
      <c r="A44" s="518"/>
      <c r="B44" s="518"/>
      <c r="C44" s="518"/>
      <c r="D44" s="518"/>
      <c r="E44" s="518"/>
      <c r="F44" s="518"/>
      <c r="G44" s="518"/>
      <c r="H44" s="518"/>
      <c r="I44" s="518"/>
      <c r="J44" s="518"/>
      <c r="K44" s="518"/>
      <c r="L44" s="518"/>
      <c r="M44" s="518"/>
      <c r="N44" s="518"/>
      <c r="O44" s="263"/>
      <c r="P44" s="263"/>
      <c r="Q44" s="10"/>
      <c r="R44" s="10"/>
      <c r="S44" s="10"/>
      <c r="T44" s="10"/>
      <c r="U44" s="10"/>
      <c r="V44" s="10"/>
      <c r="W44" s="10"/>
      <c r="X44" s="10"/>
      <c r="Y44" s="10"/>
    </row>
    <row r="45" spans="1:42" s="11" customFormat="1" ht="28.5" customHeight="1" x14ac:dyDescent="0.3">
      <c r="A45" s="521" t="s">
        <v>177</v>
      </c>
      <c r="B45" s="521"/>
      <c r="C45" s="521"/>
      <c r="D45" s="521"/>
      <c r="E45" s="521"/>
      <c r="F45" s="521"/>
      <c r="G45" s="521"/>
      <c r="H45" s="521"/>
      <c r="I45" s="521"/>
      <c r="J45" s="521"/>
      <c r="K45" s="521"/>
      <c r="L45" s="521"/>
      <c r="M45" s="521"/>
      <c r="N45" s="521"/>
      <c r="O45" s="521"/>
      <c r="P45" s="521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42" s="11" customFormat="1" ht="25.5" customHeight="1" x14ac:dyDescent="0.3">
      <c r="A46" s="262" t="s">
        <v>173</v>
      </c>
      <c r="B46" s="262" t="s">
        <v>0</v>
      </c>
      <c r="C46" s="262"/>
      <c r="D46" s="262" t="s">
        <v>174</v>
      </c>
      <c r="E46" s="521" t="s">
        <v>175</v>
      </c>
      <c r="F46" s="521"/>
      <c r="G46" s="521"/>
      <c r="H46" s="521"/>
      <c r="I46" s="521"/>
      <c r="J46" s="521"/>
      <c r="K46" s="270" t="s">
        <v>4</v>
      </c>
      <c r="L46" s="264"/>
      <c r="M46" s="264"/>
      <c r="N46" s="256" t="s">
        <v>59</v>
      </c>
      <c r="O46" s="130" t="s">
        <v>8</v>
      </c>
      <c r="P46" s="130" t="s">
        <v>10</v>
      </c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42" x14ac:dyDescent="0.3">
      <c r="A47" s="267" t="s">
        <v>1007</v>
      </c>
      <c r="B47" s="267">
        <v>25</v>
      </c>
      <c r="C47" s="267" t="s">
        <v>822</v>
      </c>
      <c r="D47" s="274">
        <f>640+25+93.7+1.37</f>
        <v>760.07</v>
      </c>
      <c r="E47" s="595" t="s">
        <v>1156</v>
      </c>
      <c r="F47" s="595"/>
      <c r="G47" s="595"/>
      <c r="H47" s="595"/>
      <c r="I47" s="595"/>
      <c r="J47" s="595"/>
      <c r="K47" s="274">
        <f>640+25+93.7+1.37</f>
        <v>760.07</v>
      </c>
      <c r="L47" s="274"/>
      <c r="M47" s="274"/>
      <c r="N47" s="274" t="s">
        <v>1157</v>
      </c>
      <c r="O47" s="140">
        <v>10</v>
      </c>
      <c r="P47" s="269">
        <v>11</v>
      </c>
    </row>
    <row r="48" spans="1:42" x14ac:dyDescent="0.3">
      <c r="A48" s="267" t="s">
        <v>1005</v>
      </c>
      <c r="B48" s="267">
        <v>3</v>
      </c>
      <c r="C48" s="267" t="s">
        <v>822</v>
      </c>
      <c r="D48" s="274">
        <f>610+61.7+1.37</f>
        <v>673.07</v>
      </c>
      <c r="E48" s="595" t="s">
        <v>1142</v>
      </c>
      <c r="F48" s="595"/>
      <c r="G48" s="595"/>
      <c r="H48" s="595"/>
      <c r="I48" s="595"/>
      <c r="J48" s="595"/>
      <c r="K48" s="150">
        <f>610+61.7+1.37</f>
        <v>673.07</v>
      </c>
      <c r="L48" s="274"/>
      <c r="M48" s="274"/>
      <c r="N48" s="274" t="s">
        <v>1143</v>
      </c>
      <c r="O48" s="140">
        <v>10</v>
      </c>
      <c r="P48" s="269">
        <v>11</v>
      </c>
    </row>
    <row r="49" spans="1:60" s="69" customFormat="1" ht="15" customHeight="1" x14ac:dyDescent="0.3">
      <c r="A49" s="269" t="s">
        <v>132</v>
      </c>
      <c r="B49" s="269">
        <v>1</v>
      </c>
      <c r="C49" s="269"/>
      <c r="D49" s="5">
        <f>4977.59-1520</f>
        <v>3457.59</v>
      </c>
      <c r="E49" s="595" t="s">
        <v>284</v>
      </c>
      <c r="F49" s="595"/>
      <c r="G49" s="595"/>
      <c r="H49" s="595"/>
      <c r="I49" s="595"/>
      <c r="J49" s="595"/>
      <c r="K49" s="275">
        <f>4977.59-1520</f>
        <v>3457.59</v>
      </c>
      <c r="L49" s="5"/>
      <c r="M49" s="5"/>
      <c r="N49" s="5" t="s">
        <v>510</v>
      </c>
      <c r="O49" s="140">
        <v>10</v>
      </c>
      <c r="P49" s="269">
        <v>11</v>
      </c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</row>
    <row r="50" spans="1:60" s="11" customFormat="1" x14ac:dyDescent="0.3">
      <c r="A50" s="261" t="s">
        <v>87</v>
      </c>
      <c r="B50" s="261">
        <v>25</v>
      </c>
      <c r="C50" s="261"/>
      <c r="D50" s="5">
        <v>3013.33</v>
      </c>
      <c r="E50" s="595" t="s">
        <v>543</v>
      </c>
      <c r="F50" s="595"/>
      <c r="G50" s="595"/>
      <c r="H50" s="595"/>
      <c r="I50" s="595"/>
      <c r="J50" s="595"/>
      <c r="K50" s="275">
        <v>3040.58</v>
      </c>
      <c r="L50" s="273"/>
      <c r="M50" s="273"/>
      <c r="N50" s="5" t="s">
        <v>545</v>
      </c>
      <c r="O50" s="98">
        <v>10</v>
      </c>
      <c r="P50" s="3">
        <v>11</v>
      </c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 spans="1:60" s="11" customFormat="1" x14ac:dyDescent="0.3">
      <c r="A51" s="3" t="s">
        <v>894</v>
      </c>
      <c r="B51" s="261">
        <v>16</v>
      </c>
      <c r="C51" s="261" t="s">
        <v>823</v>
      </c>
      <c r="D51" s="5">
        <f>144.52+11.29+12.89+0.3+0.18+1664</f>
        <v>1833.18</v>
      </c>
      <c r="E51" s="595" t="s">
        <v>1158</v>
      </c>
      <c r="F51" s="595"/>
      <c r="G51" s="595"/>
      <c r="H51" s="595"/>
      <c r="I51" s="595"/>
      <c r="J51" s="595"/>
      <c r="K51" s="275">
        <f>144.52+11.29+12.89+0.3+0.18+1664</f>
        <v>1833.18</v>
      </c>
      <c r="L51" s="273"/>
      <c r="M51" s="273"/>
      <c r="N51" s="259" t="s">
        <v>969</v>
      </c>
      <c r="O51" s="98">
        <v>10</v>
      </c>
      <c r="P51" s="3">
        <v>11</v>
      </c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60" s="206" customFormat="1" ht="15" customHeight="1" x14ac:dyDescent="0.3">
      <c r="A52" s="237" t="s">
        <v>902</v>
      </c>
      <c r="B52" s="195">
        <v>17</v>
      </c>
      <c r="C52" s="195" t="s">
        <v>823</v>
      </c>
      <c r="D52" s="196">
        <v>2080.41</v>
      </c>
      <c r="E52" s="551" t="s">
        <v>1011</v>
      </c>
      <c r="F52" s="580"/>
      <c r="G52" s="580"/>
      <c r="H52" s="580"/>
      <c r="I52" s="580"/>
      <c r="J52" s="552"/>
      <c r="K52" s="196">
        <v>300</v>
      </c>
      <c r="L52" s="268"/>
      <c r="M52" s="268"/>
      <c r="N52" s="257" t="s">
        <v>1039</v>
      </c>
      <c r="O52" s="235">
        <v>10</v>
      </c>
      <c r="P52" s="197">
        <v>11</v>
      </c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  <c r="AJ52" s="205"/>
      <c r="AK52" s="205"/>
      <c r="AL52" s="205"/>
      <c r="AM52" s="205"/>
      <c r="AN52" s="205"/>
      <c r="AO52" s="205"/>
      <c r="AP52" s="205"/>
    </row>
    <row r="53" spans="1:60" s="206" customFormat="1" ht="15" customHeight="1" x14ac:dyDescent="0.3">
      <c r="A53" s="237" t="s">
        <v>902</v>
      </c>
      <c r="B53" s="195">
        <v>17</v>
      </c>
      <c r="C53" s="195" t="s">
        <v>823</v>
      </c>
      <c r="D53" s="196">
        <v>2080.41</v>
      </c>
      <c r="E53" s="551" t="s">
        <v>1011</v>
      </c>
      <c r="F53" s="580"/>
      <c r="G53" s="580"/>
      <c r="H53" s="580"/>
      <c r="I53" s="580"/>
      <c r="J53" s="552"/>
      <c r="K53" s="196">
        <v>300</v>
      </c>
      <c r="L53" s="268"/>
      <c r="M53" s="268"/>
      <c r="N53" s="257" t="s">
        <v>1049</v>
      </c>
      <c r="O53" s="235">
        <v>10</v>
      </c>
      <c r="P53" s="197">
        <v>11</v>
      </c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  <c r="AC53" s="205"/>
      <c r="AD53" s="205"/>
      <c r="AE53" s="205"/>
      <c r="AF53" s="205"/>
      <c r="AG53" s="205"/>
      <c r="AH53" s="205"/>
      <c r="AI53" s="205"/>
      <c r="AJ53" s="205"/>
      <c r="AK53" s="205"/>
      <c r="AL53" s="205"/>
      <c r="AM53" s="205"/>
      <c r="AN53" s="205"/>
      <c r="AO53" s="205"/>
      <c r="AP53" s="205"/>
    </row>
    <row r="54" spans="1:60" s="40" customFormat="1" ht="15" customHeight="1" thickBot="1" x14ac:dyDescent="0.35">
      <c r="A54" s="534" t="s">
        <v>4</v>
      </c>
      <c r="B54" s="549"/>
      <c r="C54" s="549"/>
      <c r="D54" s="549"/>
      <c r="E54" s="549"/>
      <c r="F54" s="549"/>
      <c r="G54" s="549"/>
      <c r="H54" s="549"/>
      <c r="I54" s="549"/>
      <c r="J54" s="535"/>
      <c r="K54" s="265">
        <f>SUM(K47:K53)</f>
        <v>10364.49</v>
      </c>
      <c r="L54" s="261"/>
      <c r="M54" s="261"/>
      <c r="N54" s="261"/>
      <c r="O54" s="261"/>
      <c r="P54" s="261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1"/>
      <c r="AU54" s="11"/>
      <c r="AV54" s="11"/>
      <c r="AW54" s="11"/>
    </row>
    <row r="55" spans="1:60" s="19" customFormat="1" x14ac:dyDescent="0.3">
      <c r="A55" s="179"/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1"/>
      <c r="P55" s="182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</row>
    <row r="56" spans="1:60" s="40" customFormat="1" x14ac:dyDescent="0.3">
      <c r="A56" s="585"/>
      <c r="B56" s="585"/>
      <c r="C56" s="585"/>
      <c r="D56" s="585"/>
      <c r="E56" s="585"/>
      <c r="F56" s="46"/>
      <c r="G56" s="46"/>
      <c r="H56" s="295"/>
      <c r="I56" s="46"/>
      <c r="J56" s="46"/>
      <c r="K56" s="46"/>
      <c r="L56" s="46"/>
      <c r="M56" s="46"/>
      <c r="N56" s="544" t="s">
        <v>315</v>
      </c>
      <c r="O56" s="544"/>
      <c r="P56" s="545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1"/>
      <c r="AU56" s="11"/>
      <c r="AV56" s="11"/>
      <c r="AW56" s="11"/>
    </row>
    <row r="57" spans="1:60" s="40" customFormat="1" x14ac:dyDescent="0.3">
      <c r="A57" s="206"/>
      <c r="B57" s="223"/>
      <c r="C57" s="223"/>
      <c r="D57" s="224"/>
      <c r="E57" s="223"/>
      <c r="F57" s="46"/>
      <c r="G57" s="46"/>
      <c r="H57" s="295"/>
      <c r="I57" s="11"/>
      <c r="J57" s="11"/>
      <c r="K57" s="87"/>
      <c r="L57" s="87"/>
      <c r="M57" s="87"/>
      <c r="N57" s="527" t="s">
        <v>94</v>
      </c>
      <c r="O57" s="527"/>
      <c r="P57" s="265">
        <f>L37+L43</f>
        <v>1107.2445701933491</v>
      </c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1"/>
      <c r="AU57" s="11"/>
      <c r="AV57" s="11"/>
      <c r="AW57" s="11"/>
    </row>
    <row r="58" spans="1:60" s="40" customFormat="1" x14ac:dyDescent="0.3">
      <c r="A58" s="206"/>
      <c r="B58" s="223"/>
      <c r="C58" s="223"/>
      <c r="D58" s="224"/>
      <c r="E58" s="223"/>
      <c r="F58" s="46"/>
      <c r="G58" s="46"/>
      <c r="H58" s="295"/>
      <c r="I58" s="11"/>
      <c r="J58" s="11"/>
      <c r="K58" s="14"/>
      <c r="L58" s="14"/>
      <c r="M58" s="14"/>
      <c r="N58" s="518" t="s">
        <v>260</v>
      </c>
      <c r="O58" s="518"/>
      <c r="P58" s="265">
        <f>L7</f>
        <v>840</v>
      </c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1"/>
      <c r="AU58" s="11"/>
      <c r="AV58" s="11"/>
      <c r="AW58" s="11"/>
    </row>
    <row r="59" spans="1:60" s="40" customFormat="1" x14ac:dyDescent="0.3">
      <c r="A59" s="206"/>
      <c r="B59" s="223"/>
      <c r="C59" s="223"/>
      <c r="D59" s="224"/>
      <c r="E59" s="223"/>
      <c r="F59" s="46"/>
      <c r="G59" s="46"/>
      <c r="H59" s="295"/>
      <c r="I59" s="11"/>
      <c r="J59" s="11"/>
      <c r="K59" s="14"/>
      <c r="L59" s="14"/>
      <c r="M59" s="14"/>
      <c r="N59" s="520"/>
      <c r="O59" s="520"/>
      <c r="P59" s="52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1"/>
      <c r="AU59" s="11"/>
      <c r="AV59" s="11"/>
      <c r="AW59" s="11"/>
    </row>
    <row r="60" spans="1:60" s="40" customFormat="1" x14ac:dyDescent="0.3">
      <c r="A60" s="206"/>
      <c r="B60" s="223"/>
      <c r="C60" s="223"/>
      <c r="D60" s="224"/>
      <c r="E60" s="223"/>
      <c r="F60" s="46"/>
      <c r="G60" s="46"/>
      <c r="H60" s="295"/>
      <c r="I60" s="11"/>
      <c r="J60" s="11"/>
      <c r="K60" s="62"/>
      <c r="L60" s="62"/>
      <c r="M60" s="62"/>
      <c r="N60" s="520"/>
      <c r="O60" s="520"/>
      <c r="P60" s="52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1"/>
      <c r="AU60" s="11"/>
      <c r="AV60" s="11"/>
      <c r="AW60" s="11"/>
    </row>
    <row r="61" spans="1:60" s="40" customFormat="1" ht="14.4" x14ac:dyDescent="0.3">
      <c r="A61" s="206"/>
      <c r="B61" s="223"/>
      <c r="C61" s="223"/>
      <c r="D61" s="224"/>
      <c r="E61" s="223"/>
      <c r="F61" s="46"/>
      <c r="G61" s="46"/>
      <c r="H61" s="295"/>
      <c r="I61" s="11"/>
      <c r="J61" s="11"/>
      <c r="K61" s="14"/>
      <c r="L61" s="14"/>
      <c r="M61" s="14"/>
      <c r="N61" s="529" t="s">
        <v>12</v>
      </c>
      <c r="O61" s="529"/>
      <c r="P61" s="529"/>
      <c r="Q61" s="175"/>
      <c r="R61" s="178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1"/>
      <c r="AU61" s="11"/>
      <c r="AV61" s="11"/>
      <c r="AW61" s="11"/>
    </row>
    <row r="62" spans="1:60" s="11" customFormat="1" ht="15" customHeight="1" x14ac:dyDescent="0.3">
      <c r="A62" s="206"/>
      <c r="B62" s="223"/>
      <c r="C62" s="223"/>
      <c r="D62" s="224"/>
      <c r="E62" s="223"/>
      <c r="F62" s="46"/>
      <c r="G62" s="46"/>
      <c r="H62" s="295"/>
      <c r="K62" s="63"/>
      <c r="L62" s="63"/>
      <c r="M62" s="63"/>
      <c r="N62" s="592" t="s">
        <v>126</v>
      </c>
      <c r="O62" s="592"/>
      <c r="P62" s="240">
        <v>103.63</v>
      </c>
      <c r="Q62" s="190"/>
      <c r="R62" s="178"/>
    </row>
    <row r="63" spans="1:60" s="11" customFormat="1" ht="15.6" x14ac:dyDescent="0.3">
      <c r="A63" s="206"/>
      <c r="B63" s="223"/>
      <c r="C63" s="223"/>
      <c r="D63" s="224"/>
      <c r="E63" s="223"/>
      <c r="F63" s="46"/>
      <c r="G63" s="46"/>
      <c r="H63" s="295"/>
      <c r="K63" s="14"/>
      <c r="L63" s="14"/>
      <c r="M63" s="14"/>
      <c r="N63" s="593" t="s">
        <v>127</v>
      </c>
      <c r="O63" s="593"/>
      <c r="P63" s="240">
        <v>2529.9</v>
      </c>
      <c r="Q63" s="175"/>
      <c r="R63" s="178"/>
    </row>
    <row r="64" spans="1:60" s="11" customFormat="1" ht="15" customHeight="1" x14ac:dyDescent="0.3">
      <c r="A64" s="206"/>
      <c r="B64" s="223"/>
      <c r="C64" s="223"/>
      <c r="D64" s="224"/>
      <c r="E64" s="223"/>
      <c r="F64" s="46"/>
      <c r="G64" s="46"/>
      <c r="H64" s="295"/>
      <c r="K64" s="63"/>
      <c r="L64" s="63"/>
      <c r="M64" s="63"/>
      <c r="N64" s="594" t="s">
        <v>953</v>
      </c>
      <c r="O64" s="594"/>
      <c r="P64" s="239">
        <v>133.16999999999999</v>
      </c>
      <c r="Q64" s="190"/>
      <c r="R64" s="178"/>
    </row>
    <row r="65" spans="1:48" s="11" customFormat="1" ht="15.6" x14ac:dyDescent="0.3">
      <c r="A65" s="206"/>
      <c r="B65" s="223"/>
      <c r="C65" s="223"/>
      <c r="D65" s="224"/>
      <c r="E65" s="223"/>
      <c r="F65" s="46"/>
      <c r="G65" s="46"/>
      <c r="H65" s="295"/>
      <c r="K65" s="14"/>
      <c r="L65" s="14"/>
      <c r="M65" s="14"/>
      <c r="N65" s="594"/>
      <c r="O65" s="594"/>
      <c r="P65" s="251"/>
      <c r="Q65" s="222"/>
      <c r="R65" s="178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</row>
    <row r="66" spans="1:48" s="11" customFormat="1" ht="15.6" x14ac:dyDescent="0.3">
      <c r="A66" s="206"/>
      <c r="B66" s="223"/>
      <c r="C66" s="223"/>
      <c r="D66" s="224"/>
      <c r="E66" s="223"/>
      <c r="F66" s="46"/>
      <c r="G66" s="46"/>
      <c r="H66" s="295"/>
      <c r="K66" s="63"/>
      <c r="L66" s="63"/>
      <c r="M66" s="63"/>
      <c r="N66" s="594"/>
      <c r="O66" s="594"/>
      <c r="P66" s="42"/>
      <c r="Q66" s="175"/>
      <c r="R66" s="178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</row>
    <row r="67" spans="1:48" s="11" customFormat="1" ht="15.6" x14ac:dyDescent="0.3">
      <c r="A67" s="206"/>
      <c r="B67" s="223"/>
      <c r="C67" s="223"/>
      <c r="D67" s="224"/>
      <c r="E67" s="223"/>
      <c r="F67" s="46"/>
      <c r="G67" s="46"/>
      <c r="H67" s="295"/>
      <c r="K67" s="14"/>
      <c r="L67" s="14"/>
      <c r="M67" s="14"/>
      <c r="N67" s="594"/>
      <c r="O67" s="594"/>
      <c r="P67" s="42"/>
      <c r="Q67" s="175"/>
      <c r="R67" s="185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</row>
    <row r="68" spans="1:48" s="11" customFormat="1" ht="15.6" x14ac:dyDescent="0.3">
      <c r="A68" s="206"/>
      <c r="B68" s="223"/>
      <c r="C68" s="223"/>
      <c r="D68" s="224"/>
      <c r="E68" s="223"/>
      <c r="F68" s="46"/>
      <c r="G68" s="46"/>
      <c r="H68" s="295"/>
      <c r="K68" s="14"/>
      <c r="L68" s="14"/>
      <c r="M68" s="14"/>
      <c r="N68" s="588"/>
      <c r="O68" s="589"/>
      <c r="P68" s="42"/>
      <c r="Q68" s="175"/>
      <c r="R68" s="185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</row>
    <row r="69" spans="1:48" s="11" customFormat="1" ht="15.6" x14ac:dyDescent="0.3">
      <c r="A69" s="206"/>
      <c r="B69" s="223"/>
      <c r="C69" s="223"/>
      <c r="D69" s="224"/>
      <c r="E69" s="223"/>
      <c r="F69" s="46"/>
      <c r="G69" s="46"/>
      <c r="H69" s="295"/>
      <c r="K69" s="63"/>
      <c r="L69" s="63"/>
      <c r="M69" s="63"/>
      <c r="N69" s="586" t="s">
        <v>26</v>
      </c>
      <c r="O69" s="586"/>
      <c r="P69" s="241">
        <f>SUM(P57:P68)</f>
        <v>4713.9445701933491</v>
      </c>
      <c r="Q69" s="175"/>
      <c r="R69" s="178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</row>
    <row r="70" spans="1:48" s="11" customFormat="1" ht="15.6" x14ac:dyDescent="0.3">
      <c r="A70" s="206"/>
      <c r="B70" s="223"/>
      <c r="C70" s="223"/>
      <c r="D70" s="224"/>
      <c r="E70" s="223"/>
      <c r="F70" s="46"/>
      <c r="G70" s="46"/>
      <c r="H70" s="295"/>
      <c r="K70" s="14"/>
      <c r="L70" s="14"/>
      <c r="M70" s="14"/>
      <c r="N70" s="587"/>
      <c r="O70" s="587"/>
      <c r="P70" s="242"/>
      <c r="Q70" s="175"/>
      <c r="R70" s="178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</row>
    <row r="71" spans="1:48" s="11" customFormat="1" ht="15" customHeight="1" x14ac:dyDescent="0.3">
      <c r="A71" s="206"/>
      <c r="B71" s="223"/>
      <c r="C71" s="223"/>
      <c r="D71" s="224"/>
      <c r="E71" s="223"/>
      <c r="F71" s="46"/>
      <c r="G71" s="46"/>
      <c r="H71" s="295"/>
      <c r="K71" s="63"/>
      <c r="L71" s="63"/>
      <c r="M71" s="63"/>
      <c r="N71" s="564" t="s">
        <v>11</v>
      </c>
      <c r="O71" s="565"/>
      <c r="P71" s="153">
        <f>K7+K37+K43</f>
        <v>17407.92366402522</v>
      </c>
      <c r="R71" s="14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</row>
    <row r="72" spans="1:48" s="11" customFormat="1" ht="14.4" x14ac:dyDescent="0.3">
      <c r="A72" s="206"/>
      <c r="B72" s="223"/>
      <c r="C72" s="223"/>
      <c r="D72" s="224"/>
      <c r="E72" s="223"/>
      <c r="F72" s="46"/>
      <c r="G72" s="46"/>
      <c r="H72" s="295"/>
      <c r="K72" s="14"/>
      <c r="L72" s="14"/>
      <c r="M72" s="14"/>
      <c r="N72" s="518"/>
      <c r="O72" s="518"/>
      <c r="P72" s="519"/>
      <c r="Q72" s="190"/>
      <c r="R72" s="178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</row>
    <row r="73" spans="1:48" s="11" customFormat="1" ht="18.600000000000001" customHeight="1" x14ac:dyDescent="0.3">
      <c r="A73" s="206"/>
      <c r="B73" s="223"/>
      <c r="C73" s="223"/>
      <c r="D73" s="224"/>
      <c r="E73" s="223"/>
      <c r="F73" s="46"/>
      <c r="G73" s="46"/>
      <c r="H73" s="295"/>
      <c r="K73" s="63"/>
      <c r="L73" s="63"/>
      <c r="M73" s="63"/>
      <c r="N73" s="513" t="s">
        <v>13</v>
      </c>
      <c r="O73" s="513"/>
      <c r="P73" s="151">
        <f>P71-P69</f>
        <v>12693.979093831871</v>
      </c>
      <c r="Q73" s="175"/>
      <c r="R73" s="178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</row>
    <row r="74" spans="1:48" s="11" customFormat="1" ht="14.4" x14ac:dyDescent="0.3">
      <c r="A74" s="206"/>
      <c r="B74" s="223"/>
      <c r="C74" s="223"/>
      <c r="D74" s="224"/>
      <c r="E74" s="223"/>
      <c r="F74" s="46"/>
      <c r="G74" s="46"/>
      <c r="H74" s="295"/>
      <c r="N74" s="124"/>
      <c r="O74" s="124"/>
      <c r="P74" s="57"/>
      <c r="Q74" s="175"/>
      <c r="R74" s="178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</row>
    <row r="75" spans="1:48" s="11" customFormat="1" ht="14.4" x14ac:dyDescent="0.3">
      <c r="A75" s="206"/>
      <c r="B75" s="223"/>
      <c r="C75" s="223"/>
      <c r="D75" s="224"/>
      <c r="E75" s="223"/>
      <c r="F75" s="46"/>
      <c r="G75" s="46"/>
      <c r="H75" s="295"/>
      <c r="K75" s="63"/>
      <c r="L75" s="63"/>
      <c r="M75" s="63"/>
      <c r="N75" s="124"/>
      <c r="O75" s="124"/>
      <c r="P75" s="57"/>
      <c r="Q75" s="175"/>
      <c r="R75" s="178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</row>
    <row r="76" spans="1:48" s="11" customFormat="1" ht="14.4" x14ac:dyDescent="0.3">
      <c r="A76" s="206"/>
      <c r="B76" s="223"/>
      <c r="C76" s="223"/>
      <c r="D76" s="224"/>
      <c r="E76" s="223"/>
      <c r="F76" s="46"/>
      <c r="G76" s="46"/>
      <c r="H76" s="296"/>
      <c r="K76" s="14"/>
      <c r="L76" s="14"/>
      <c r="M76" s="14"/>
      <c r="N76" s="124"/>
      <c r="O76" s="124"/>
      <c r="P76" s="57"/>
      <c r="Q76" s="175"/>
      <c r="R76" s="185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</row>
    <row r="77" spans="1:48" s="11" customFormat="1" ht="14.4" x14ac:dyDescent="0.3">
      <c r="A77" s="206"/>
      <c r="B77" s="223"/>
      <c r="C77" s="223"/>
      <c r="D77" s="224"/>
      <c r="E77" s="223"/>
      <c r="F77" s="46"/>
      <c r="G77" s="46"/>
      <c r="H77" s="296"/>
      <c r="N77" s="124"/>
      <c r="O77" s="124"/>
      <c r="P77" s="57"/>
      <c r="Q77" s="175"/>
      <c r="R77" s="176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</row>
    <row r="78" spans="1:48" s="11" customFormat="1" ht="14.4" x14ac:dyDescent="0.3">
      <c r="A78" s="206"/>
      <c r="B78" s="223"/>
      <c r="C78" s="223"/>
      <c r="D78" s="224"/>
      <c r="E78" s="223"/>
      <c r="F78" s="46"/>
      <c r="G78" s="46"/>
      <c r="H78" s="296"/>
      <c r="N78" s="266"/>
      <c r="O78" s="14"/>
      <c r="P78" s="57"/>
      <c r="Q78" s="175"/>
      <c r="R78" s="176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</row>
    <row r="79" spans="1:48" s="11" customFormat="1" ht="14.4" x14ac:dyDescent="0.3">
      <c r="A79" s="206"/>
      <c r="B79" s="223"/>
      <c r="C79" s="223"/>
      <c r="D79" s="224"/>
      <c r="E79" s="223"/>
      <c r="F79" s="46"/>
      <c r="G79" s="46"/>
      <c r="H79" s="296"/>
      <c r="O79" s="266"/>
      <c r="P79" s="57"/>
      <c r="Q79" s="175"/>
      <c r="R79" s="178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</row>
    <row r="80" spans="1:48" s="11" customFormat="1" ht="14.4" x14ac:dyDescent="0.3">
      <c r="A80" s="206"/>
      <c r="B80" s="223"/>
      <c r="C80" s="223"/>
      <c r="D80" s="224"/>
      <c r="E80" s="223"/>
      <c r="F80" s="46"/>
      <c r="G80" s="46"/>
      <c r="H80" s="296"/>
      <c r="K80" s="14"/>
      <c r="L80" s="14"/>
      <c r="M80" s="14"/>
      <c r="P80" s="57"/>
      <c r="Q80" s="175"/>
      <c r="R80" s="178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</row>
    <row r="81" spans="1:47" s="11" customFormat="1" ht="14.4" x14ac:dyDescent="0.3">
      <c r="A81" s="206"/>
      <c r="B81" s="223"/>
      <c r="C81" s="223"/>
      <c r="D81" s="224"/>
      <c r="E81" s="223"/>
      <c r="F81" s="46"/>
      <c r="G81" s="46"/>
      <c r="H81" s="296"/>
      <c r="K81" s="266"/>
      <c r="L81" s="266"/>
      <c r="M81" s="266"/>
      <c r="N81" s="14"/>
      <c r="O81" s="14"/>
      <c r="P81" s="57"/>
      <c r="Q81" s="175"/>
      <c r="R81" s="178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</row>
    <row r="82" spans="1:47" s="11" customFormat="1" ht="14.4" x14ac:dyDescent="0.3">
      <c r="A82" s="206"/>
      <c r="B82" s="223"/>
      <c r="C82" s="223"/>
      <c r="D82" s="224"/>
      <c r="E82" s="223"/>
      <c r="F82" s="46"/>
      <c r="G82" s="46"/>
      <c r="H82" s="296"/>
      <c r="K82" s="14"/>
      <c r="L82" s="14"/>
      <c r="M82" s="14"/>
      <c r="N82" s="14"/>
      <c r="O82" s="266"/>
      <c r="P82" s="57"/>
      <c r="Q82" s="175"/>
      <c r="R82" s="178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</row>
    <row r="83" spans="1:47" s="11" customFormat="1" ht="14.4" x14ac:dyDescent="0.3">
      <c r="A83" s="206"/>
      <c r="B83" s="223"/>
      <c r="C83" s="223"/>
      <c r="D83" s="224"/>
      <c r="E83" s="223"/>
      <c r="F83" s="46"/>
      <c r="G83" s="46"/>
      <c r="H83" s="296"/>
      <c r="K83" s="14"/>
      <c r="L83" s="14"/>
      <c r="M83" s="14"/>
      <c r="N83" s="14"/>
      <c r="P83" s="57"/>
      <c r="Q83" s="175"/>
      <c r="R83" s="178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</row>
    <row r="84" spans="1:47" s="11" customFormat="1" ht="14.4" x14ac:dyDescent="0.3">
      <c r="A84" s="206"/>
      <c r="B84" s="223"/>
      <c r="C84" s="223"/>
      <c r="D84" s="224"/>
      <c r="E84" s="223"/>
      <c r="F84" s="46"/>
      <c r="G84" s="46"/>
      <c r="H84" s="296"/>
      <c r="K84" s="14"/>
      <c r="L84" s="14"/>
      <c r="M84" s="14"/>
      <c r="N84" s="14"/>
      <c r="P84" s="57"/>
      <c r="Q84" s="175"/>
      <c r="R84" s="178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</row>
    <row r="85" spans="1:47" s="11" customFormat="1" x14ac:dyDescent="0.3">
      <c r="A85" s="206"/>
      <c r="B85" s="223"/>
      <c r="C85" s="223"/>
      <c r="D85" s="224"/>
      <c r="E85" s="223"/>
      <c r="F85" s="46"/>
      <c r="G85" s="46"/>
      <c r="H85" s="296"/>
      <c r="K85" s="14"/>
      <c r="L85" s="14"/>
      <c r="M85" s="14"/>
      <c r="P85" s="57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</row>
    <row r="86" spans="1:47" s="69" customFormat="1" x14ac:dyDescent="0.3">
      <c r="A86" s="206"/>
      <c r="B86" s="223"/>
      <c r="C86" s="223"/>
      <c r="D86" s="224"/>
      <c r="E86" s="223"/>
      <c r="F86" s="46"/>
      <c r="G86" s="46"/>
      <c r="H86" s="296"/>
      <c r="I86" s="11"/>
      <c r="J86" s="11"/>
      <c r="K86" s="14"/>
      <c r="L86" s="14"/>
      <c r="M86" s="14"/>
      <c r="N86" s="11"/>
      <c r="O86" s="14"/>
      <c r="P86" s="57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</row>
    <row r="87" spans="1:47" s="69" customFormat="1" x14ac:dyDescent="0.3">
      <c r="A87" s="206"/>
      <c r="B87" s="223"/>
      <c r="C87" s="223"/>
      <c r="D87" s="224"/>
      <c r="E87" s="223"/>
      <c r="F87" s="46"/>
      <c r="G87" s="46"/>
      <c r="H87" s="296"/>
      <c r="I87" s="11"/>
      <c r="J87" s="11"/>
      <c r="K87" s="14"/>
      <c r="L87" s="14"/>
      <c r="M87" s="14"/>
      <c r="N87" s="11"/>
      <c r="O87" s="14"/>
      <c r="P87" s="57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</row>
    <row r="88" spans="1:47" s="69" customFormat="1" x14ac:dyDescent="0.3">
      <c r="A88" s="206"/>
      <c r="B88" s="223"/>
      <c r="C88" s="223"/>
      <c r="D88" s="224"/>
      <c r="E88" s="223"/>
      <c r="F88" s="46"/>
      <c r="G88" s="46"/>
      <c r="H88" s="296"/>
      <c r="I88" s="11"/>
      <c r="J88" s="11"/>
      <c r="K88" s="14"/>
      <c r="L88" s="14"/>
      <c r="M88" s="14"/>
      <c r="N88" s="11"/>
      <c r="O88" s="14"/>
      <c r="P88" s="57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</row>
    <row r="89" spans="1:47" s="69" customFormat="1" x14ac:dyDescent="0.3">
      <c r="A89" s="206"/>
      <c r="B89" s="223"/>
      <c r="C89" s="223"/>
      <c r="D89" s="224"/>
      <c r="E89" s="223"/>
      <c r="F89" s="46"/>
      <c r="G89" s="46"/>
      <c r="H89" s="296"/>
      <c r="I89" s="11"/>
      <c r="J89" s="11"/>
      <c r="K89" s="14"/>
      <c r="L89" s="14"/>
      <c r="M89" s="14"/>
      <c r="N89" s="11"/>
      <c r="O89" s="14"/>
      <c r="P89" s="57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</row>
    <row r="90" spans="1:47" s="69" customFormat="1" x14ac:dyDescent="0.3">
      <c r="A90" s="206"/>
      <c r="B90" s="223"/>
      <c r="C90" s="223"/>
      <c r="D90" s="224"/>
      <c r="E90" s="223"/>
      <c r="F90" s="46"/>
      <c r="G90" s="46"/>
      <c r="H90" s="296"/>
      <c r="I90" s="11"/>
      <c r="J90" s="11"/>
      <c r="K90" s="14"/>
      <c r="L90" s="14"/>
      <c r="M90" s="14"/>
      <c r="N90" s="11"/>
      <c r="O90" s="11"/>
      <c r="P90" s="57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</row>
    <row r="91" spans="1:47" s="69" customFormat="1" x14ac:dyDescent="0.3">
      <c r="A91" s="206"/>
      <c r="B91" s="223"/>
      <c r="C91" s="223"/>
      <c r="D91" s="224"/>
      <c r="E91" s="223"/>
      <c r="F91" s="46"/>
      <c r="G91" s="46"/>
      <c r="H91" s="296"/>
      <c r="I91" s="11"/>
      <c r="J91" s="11"/>
      <c r="K91" s="14"/>
      <c r="L91" s="14"/>
      <c r="M91" s="14"/>
      <c r="N91" s="11"/>
      <c r="O91" s="11"/>
      <c r="P91" s="57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</row>
    <row r="92" spans="1:47" s="69" customFormat="1" x14ac:dyDescent="0.3">
      <c r="A92" s="206"/>
      <c r="B92" s="223"/>
      <c r="C92" s="223"/>
      <c r="D92" s="224"/>
      <c r="E92" s="223"/>
      <c r="F92" s="46"/>
      <c r="G92" s="46"/>
      <c r="H92" s="296"/>
      <c r="I92" s="11"/>
      <c r="J92" s="11"/>
      <c r="K92" s="14"/>
      <c r="L92" s="14"/>
      <c r="M92" s="14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</row>
    <row r="93" spans="1:47" s="69" customFormat="1" x14ac:dyDescent="0.3">
      <c r="A93" s="206"/>
      <c r="B93" s="223"/>
      <c r="C93" s="223"/>
      <c r="D93" s="224"/>
      <c r="E93" s="223"/>
      <c r="F93" s="46"/>
      <c r="G93" s="46"/>
      <c r="H93" s="296"/>
      <c r="I93" s="11"/>
      <c r="J93" s="11"/>
      <c r="K93" s="14"/>
      <c r="L93" s="14"/>
      <c r="M93" s="14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</row>
    <row r="94" spans="1:47" s="69" customFormat="1" x14ac:dyDescent="0.3">
      <c r="A94" s="206"/>
      <c r="B94" s="223"/>
      <c r="C94" s="223"/>
      <c r="D94" s="224"/>
      <c r="E94" s="223"/>
      <c r="F94" s="46"/>
      <c r="G94" s="46"/>
      <c r="H94" s="296"/>
      <c r="I94" s="11"/>
      <c r="J94" s="11"/>
      <c r="K94" s="14"/>
      <c r="L94" s="14"/>
      <c r="M94" s="14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</row>
    <row r="95" spans="1:47" s="69" customFormat="1" x14ac:dyDescent="0.3">
      <c r="A95" s="206"/>
      <c r="B95" s="223"/>
      <c r="C95" s="223"/>
      <c r="D95" s="224"/>
      <c r="E95" s="223"/>
      <c r="F95" s="46"/>
      <c r="G95" s="46"/>
      <c r="H95" s="296"/>
      <c r="I95" s="11"/>
      <c r="J95" s="11"/>
      <c r="K95" s="14"/>
      <c r="L95" s="14"/>
      <c r="M95" s="14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</row>
    <row r="96" spans="1:47" s="69" customFormat="1" x14ac:dyDescent="0.3">
      <c r="A96" s="206"/>
      <c r="B96" s="223"/>
      <c r="C96" s="223"/>
      <c r="D96" s="224"/>
      <c r="E96" s="223"/>
      <c r="F96" s="46"/>
      <c r="G96" s="46"/>
      <c r="H96" s="296"/>
      <c r="I96" s="11"/>
      <c r="J96" s="11"/>
      <c r="K96" s="14"/>
      <c r="L96" s="14"/>
      <c r="M96" s="14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</row>
    <row r="97" spans="1:48" s="69" customFormat="1" x14ac:dyDescent="0.3">
      <c r="A97" s="206"/>
      <c r="B97" s="223"/>
      <c r="C97" s="223"/>
      <c r="D97" s="224"/>
      <c r="E97" s="223"/>
      <c r="F97" s="46"/>
      <c r="G97" s="46"/>
      <c r="H97" s="296"/>
      <c r="K97" s="142"/>
      <c r="L97" s="142"/>
      <c r="M97" s="142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</row>
    <row r="98" spans="1:48" s="70" customFormat="1" x14ac:dyDescent="0.3">
      <c r="A98" s="206"/>
      <c r="B98" s="223"/>
      <c r="C98" s="223"/>
      <c r="D98" s="224"/>
      <c r="E98" s="223"/>
      <c r="F98" s="46"/>
      <c r="G98" s="46"/>
      <c r="H98" s="296"/>
      <c r="I98" s="63"/>
      <c r="J98" s="63"/>
      <c r="K98" s="69"/>
      <c r="L98" s="69"/>
      <c r="M98" s="69"/>
      <c r="N98" s="69"/>
      <c r="O98" s="69"/>
      <c r="P98" s="69"/>
    </row>
    <row r="99" spans="1:48" s="70" customFormat="1" ht="15" customHeight="1" x14ac:dyDescent="0.3">
      <c r="A99" s="206"/>
      <c r="B99" s="223"/>
      <c r="C99" s="223"/>
      <c r="D99" s="224"/>
      <c r="E99" s="223"/>
      <c r="F99" s="46"/>
      <c r="G99" s="46"/>
      <c r="H99" s="296"/>
      <c r="I99" s="11"/>
      <c r="J99" s="63"/>
      <c r="K99" s="142"/>
      <c r="L99" s="142"/>
      <c r="M99" s="142"/>
      <c r="N99" s="144"/>
      <c r="O99" s="69"/>
      <c r="P99" s="69"/>
      <c r="AV99" s="69"/>
    </row>
    <row r="100" spans="1:48" s="70" customFormat="1" x14ac:dyDescent="0.3">
      <c r="A100" s="206"/>
      <c r="B100" s="223"/>
      <c r="C100" s="223"/>
      <c r="D100" s="224"/>
      <c r="E100" s="223"/>
      <c r="F100" s="46"/>
      <c r="G100" s="46"/>
      <c r="H100" s="296"/>
      <c r="I100" s="142"/>
      <c r="J100" s="142"/>
      <c r="K100" s="142"/>
      <c r="L100" s="142"/>
      <c r="M100" s="142"/>
      <c r="N100" s="144"/>
      <c r="O100" s="69"/>
      <c r="P100" s="69"/>
      <c r="AV100" s="69"/>
    </row>
    <row r="101" spans="1:48" s="70" customFormat="1" x14ac:dyDescent="0.3">
      <c r="A101" s="206"/>
      <c r="B101" s="223"/>
      <c r="C101" s="223"/>
      <c r="D101" s="224"/>
      <c r="E101" s="223"/>
      <c r="F101" s="46"/>
      <c r="G101" s="46"/>
      <c r="H101" s="296"/>
      <c r="I101" s="11"/>
      <c r="J101" s="63"/>
      <c r="K101" s="142"/>
      <c r="L101" s="142"/>
      <c r="M101" s="142"/>
      <c r="N101" s="144"/>
      <c r="O101" s="69"/>
      <c r="AV101" s="69"/>
    </row>
    <row r="102" spans="1:48" s="70" customFormat="1" x14ac:dyDescent="0.3">
      <c r="A102" s="206"/>
      <c r="B102" s="223"/>
      <c r="C102" s="223"/>
      <c r="D102" s="224"/>
      <c r="E102" s="223"/>
      <c r="F102" s="46"/>
      <c r="G102" s="46"/>
      <c r="H102" s="296"/>
      <c r="I102" s="142"/>
      <c r="J102" s="142"/>
      <c r="K102" s="142"/>
      <c r="L102" s="142"/>
      <c r="M102" s="142"/>
      <c r="N102" s="144"/>
      <c r="O102" s="69"/>
      <c r="AV102" s="69"/>
    </row>
    <row r="103" spans="1:48" s="70" customFormat="1" x14ac:dyDescent="0.3">
      <c r="A103" s="206"/>
      <c r="B103" s="223"/>
      <c r="C103" s="223"/>
      <c r="D103" s="224"/>
      <c r="E103" s="223"/>
      <c r="F103" s="46"/>
      <c r="G103" s="46"/>
      <c r="H103" s="296"/>
      <c r="I103" s="11"/>
      <c r="J103" s="63"/>
      <c r="K103" s="142"/>
      <c r="L103" s="142"/>
      <c r="M103" s="142"/>
      <c r="N103" s="144"/>
      <c r="O103" s="69"/>
      <c r="AV103" s="69"/>
    </row>
    <row r="104" spans="1:48" s="70" customFormat="1" x14ac:dyDescent="0.3">
      <c r="A104" s="206"/>
      <c r="B104" s="223"/>
      <c r="C104" s="223"/>
      <c r="D104" s="224"/>
      <c r="E104" s="223"/>
      <c r="F104" s="46"/>
      <c r="G104" s="46"/>
      <c r="H104" s="296"/>
      <c r="I104" s="142"/>
      <c r="J104" s="142"/>
      <c r="K104" s="142"/>
      <c r="L104" s="142"/>
      <c r="M104" s="142"/>
      <c r="N104" s="144"/>
      <c r="O104" s="144"/>
      <c r="AV104" s="69"/>
    </row>
    <row r="105" spans="1:48" s="70" customFormat="1" x14ac:dyDescent="0.3">
      <c r="A105" s="206"/>
      <c r="B105" s="223"/>
      <c r="C105" s="223"/>
      <c r="D105" s="224"/>
      <c r="E105" s="223"/>
      <c r="F105" s="46"/>
      <c r="G105" s="46"/>
      <c r="H105" s="296"/>
      <c r="I105" s="11"/>
      <c r="J105" s="63"/>
      <c r="K105" s="142"/>
      <c r="L105" s="142"/>
      <c r="M105" s="142"/>
      <c r="N105" s="144"/>
      <c r="O105" s="144"/>
      <c r="AV105" s="69"/>
    </row>
    <row r="106" spans="1:48" s="70" customFormat="1" x14ac:dyDescent="0.3">
      <c r="A106" s="206"/>
      <c r="B106" s="223"/>
      <c r="C106" s="223"/>
      <c r="D106" s="224"/>
      <c r="E106" s="223"/>
      <c r="F106" s="46"/>
      <c r="G106" s="46"/>
      <c r="H106" s="296"/>
      <c r="I106" s="142"/>
      <c r="J106" s="142"/>
      <c r="K106" s="142"/>
      <c r="L106" s="142"/>
      <c r="M106" s="142"/>
      <c r="N106" s="144"/>
      <c r="O106" s="144"/>
      <c r="AV106" s="69"/>
    </row>
    <row r="107" spans="1:48" s="70" customFormat="1" x14ac:dyDescent="0.3">
      <c r="A107" s="206"/>
      <c r="B107" s="223"/>
      <c r="C107" s="223"/>
      <c r="D107" s="224"/>
      <c r="E107" s="223"/>
      <c r="F107" s="46"/>
      <c r="G107" s="46"/>
      <c r="H107" s="296"/>
      <c r="I107" s="11"/>
      <c r="J107" s="63"/>
      <c r="K107" s="142"/>
      <c r="L107" s="142"/>
      <c r="M107" s="142"/>
      <c r="N107" s="144"/>
      <c r="O107" s="144"/>
      <c r="AV107" s="69"/>
    </row>
    <row r="108" spans="1:48" s="70" customFormat="1" x14ac:dyDescent="0.3">
      <c r="A108" s="148"/>
      <c r="B108" s="225"/>
      <c r="C108" s="225"/>
      <c r="D108" s="225"/>
      <c r="E108" s="225"/>
      <c r="F108" s="46"/>
      <c r="G108" s="46"/>
      <c r="H108" s="296"/>
      <c r="I108" s="142"/>
      <c r="J108" s="142"/>
      <c r="K108" s="142"/>
      <c r="L108" s="142"/>
      <c r="M108" s="142"/>
      <c r="N108" s="144"/>
      <c r="O108" s="144"/>
      <c r="AV108" s="69"/>
    </row>
    <row r="109" spans="1:48" s="70" customFormat="1" x14ac:dyDescent="0.3">
      <c r="A109" s="69"/>
      <c r="B109" s="69"/>
      <c r="C109" s="69"/>
      <c r="D109" s="69"/>
      <c r="E109" s="69"/>
      <c r="F109" s="69"/>
      <c r="G109" s="69"/>
      <c r="H109" s="297"/>
      <c r="I109" s="142"/>
      <c r="J109" s="142"/>
      <c r="K109" s="142"/>
      <c r="L109" s="142"/>
      <c r="M109" s="142"/>
      <c r="N109" s="144"/>
      <c r="O109" s="144"/>
      <c r="AV109" s="69"/>
    </row>
    <row r="110" spans="1:48" s="70" customFormat="1" x14ac:dyDescent="0.3">
      <c r="A110" s="69"/>
      <c r="B110" s="69"/>
      <c r="C110" s="69"/>
      <c r="D110" s="69"/>
      <c r="E110" s="69"/>
      <c r="F110" s="69"/>
      <c r="G110" s="69"/>
      <c r="H110" s="297"/>
      <c r="I110" s="69"/>
      <c r="J110" s="69"/>
      <c r="K110" s="142"/>
      <c r="L110" s="142"/>
      <c r="M110" s="142"/>
      <c r="N110" s="144"/>
      <c r="O110" s="144"/>
      <c r="AV110" s="69"/>
    </row>
    <row r="111" spans="1:48" s="70" customFormat="1" x14ac:dyDescent="0.3">
      <c r="A111" s="69"/>
      <c r="B111" s="69"/>
      <c r="C111" s="69"/>
      <c r="D111" s="69"/>
      <c r="E111" s="69"/>
      <c r="F111" s="69"/>
      <c r="G111" s="69"/>
      <c r="H111" s="297"/>
      <c r="I111" s="69"/>
      <c r="J111" s="69"/>
      <c r="K111" s="142"/>
      <c r="L111" s="142"/>
      <c r="M111" s="142"/>
      <c r="N111" s="144"/>
      <c r="O111" s="144"/>
      <c r="AV111" s="69"/>
    </row>
    <row r="112" spans="1:48" s="70" customFormat="1" x14ac:dyDescent="0.3">
      <c r="A112" s="69"/>
      <c r="B112" s="69"/>
      <c r="C112" s="69"/>
      <c r="D112" s="69"/>
      <c r="E112" s="69"/>
      <c r="F112" s="69"/>
      <c r="G112" s="69"/>
      <c r="H112" s="297"/>
      <c r="I112" s="69"/>
      <c r="J112" s="69"/>
      <c r="K112" s="142"/>
      <c r="L112" s="142"/>
      <c r="M112" s="142"/>
      <c r="N112" s="144"/>
      <c r="O112" s="144"/>
      <c r="AV112" s="69"/>
    </row>
    <row r="113" spans="1:48" s="70" customFormat="1" x14ac:dyDescent="0.3">
      <c r="A113" s="69"/>
      <c r="B113" s="69"/>
      <c r="C113" s="69"/>
      <c r="D113" s="69"/>
      <c r="E113" s="69"/>
      <c r="F113" s="69"/>
      <c r="G113" s="69"/>
      <c r="H113" s="297"/>
      <c r="I113" s="69"/>
      <c r="J113" s="69"/>
      <c r="K113" s="142"/>
      <c r="L113" s="142"/>
      <c r="M113" s="142"/>
      <c r="N113" s="144"/>
      <c r="O113" s="144"/>
      <c r="AV113" s="69"/>
    </row>
    <row r="114" spans="1:48" s="70" customFormat="1" x14ac:dyDescent="0.3">
      <c r="A114" s="69"/>
      <c r="B114" s="69"/>
      <c r="C114" s="69"/>
      <c r="D114" s="69"/>
      <c r="E114" s="69"/>
      <c r="F114" s="69"/>
      <c r="G114" s="69"/>
      <c r="H114" s="297"/>
      <c r="I114" s="69"/>
      <c r="J114" s="69"/>
      <c r="K114" s="142"/>
      <c r="L114" s="142"/>
      <c r="M114" s="142"/>
      <c r="N114" s="144"/>
      <c r="O114" s="144"/>
      <c r="AV114" s="69"/>
    </row>
    <row r="115" spans="1:48" s="70" customFormat="1" x14ac:dyDescent="0.3">
      <c r="A115" s="69"/>
      <c r="B115" s="69"/>
      <c r="C115" s="69"/>
      <c r="D115" s="69"/>
      <c r="E115" s="69"/>
      <c r="F115" s="69"/>
      <c r="G115" s="69"/>
      <c r="H115" s="297"/>
      <c r="I115" s="69"/>
      <c r="J115" s="69"/>
      <c r="K115" s="142"/>
      <c r="L115" s="142"/>
      <c r="M115" s="142"/>
      <c r="N115" s="144"/>
      <c r="O115" s="144"/>
      <c r="AV115" s="69"/>
    </row>
    <row r="116" spans="1:48" s="70" customFormat="1" x14ac:dyDescent="0.3">
      <c r="F116" s="69"/>
      <c r="G116" s="69"/>
      <c r="H116" s="297"/>
      <c r="I116" s="69"/>
      <c r="J116" s="69"/>
      <c r="K116" s="142"/>
      <c r="L116" s="142"/>
      <c r="M116" s="142"/>
      <c r="N116" s="144"/>
      <c r="O116" s="144"/>
      <c r="AV116" s="69"/>
    </row>
    <row r="117" spans="1:48" s="70" customFormat="1" x14ac:dyDescent="0.3">
      <c r="H117" s="298"/>
      <c r="I117" s="69"/>
      <c r="J117" s="69"/>
      <c r="K117" s="142"/>
      <c r="L117" s="142"/>
      <c r="M117" s="142"/>
      <c r="N117" s="144"/>
      <c r="O117" s="144"/>
      <c r="AV117" s="69"/>
    </row>
    <row r="118" spans="1:48" s="70" customFormat="1" x14ac:dyDescent="0.3">
      <c r="H118" s="298"/>
      <c r="K118" s="142"/>
      <c r="L118" s="142"/>
      <c r="M118" s="142"/>
      <c r="N118" s="144"/>
      <c r="O118" s="144"/>
      <c r="AV118" s="69"/>
    </row>
    <row r="119" spans="1:48" s="70" customFormat="1" x14ac:dyDescent="0.3">
      <c r="H119" s="298"/>
      <c r="K119" s="142"/>
      <c r="L119" s="142"/>
      <c r="M119" s="142"/>
      <c r="N119" s="144"/>
      <c r="O119" s="144"/>
      <c r="AV119" s="69"/>
    </row>
    <row r="120" spans="1:48" s="70" customFormat="1" x14ac:dyDescent="0.3">
      <c r="H120" s="298"/>
      <c r="K120" s="142"/>
      <c r="L120" s="142"/>
      <c r="M120" s="142"/>
      <c r="N120" s="144"/>
      <c r="O120" s="144"/>
      <c r="AV120" s="69"/>
    </row>
    <row r="121" spans="1:48" s="70" customFormat="1" x14ac:dyDescent="0.3">
      <c r="H121" s="298"/>
      <c r="K121" s="142"/>
      <c r="L121" s="142"/>
      <c r="M121" s="142"/>
      <c r="N121" s="144"/>
      <c r="O121" s="144"/>
      <c r="AV121" s="69"/>
    </row>
    <row r="122" spans="1:48" s="70" customFormat="1" x14ac:dyDescent="0.3">
      <c r="H122" s="298"/>
      <c r="K122" s="142"/>
      <c r="L122" s="142"/>
      <c r="M122" s="142"/>
      <c r="N122" s="144"/>
      <c r="O122" s="144"/>
      <c r="AV122" s="69"/>
    </row>
    <row r="123" spans="1:48" s="70" customFormat="1" x14ac:dyDescent="0.3">
      <c r="H123" s="298"/>
      <c r="K123" s="142"/>
      <c r="L123" s="142"/>
      <c r="M123" s="142"/>
      <c r="N123" s="144"/>
      <c r="O123" s="144"/>
      <c r="AV123" s="69"/>
    </row>
    <row r="124" spans="1:48" s="70" customFormat="1" x14ac:dyDescent="0.3">
      <c r="H124" s="298"/>
      <c r="K124" s="142"/>
      <c r="L124" s="142"/>
      <c r="M124" s="142"/>
      <c r="N124" s="144"/>
      <c r="O124" s="144"/>
      <c r="AV124" s="69"/>
    </row>
    <row r="125" spans="1:48" s="70" customFormat="1" x14ac:dyDescent="0.3">
      <c r="H125" s="298"/>
      <c r="K125" s="142"/>
      <c r="L125" s="142"/>
      <c r="M125" s="142"/>
      <c r="N125" s="144"/>
      <c r="O125" s="144"/>
      <c r="AV125" s="69"/>
    </row>
    <row r="126" spans="1:48" s="70" customFormat="1" x14ac:dyDescent="0.3">
      <c r="H126" s="298"/>
      <c r="K126" s="142"/>
      <c r="L126" s="142"/>
      <c r="M126" s="142"/>
      <c r="N126" s="144"/>
      <c r="O126" s="144"/>
      <c r="AV126" s="69"/>
    </row>
    <row r="127" spans="1:48" s="70" customFormat="1" x14ac:dyDescent="0.3">
      <c r="H127" s="298"/>
      <c r="K127" s="142"/>
      <c r="L127" s="142"/>
      <c r="M127" s="142"/>
      <c r="N127" s="144"/>
      <c r="O127" s="144"/>
      <c r="AV127" s="69"/>
    </row>
    <row r="128" spans="1:48" s="70" customFormat="1" x14ac:dyDescent="0.3">
      <c r="H128" s="298"/>
      <c r="K128" s="142"/>
      <c r="L128" s="142"/>
      <c r="M128" s="142"/>
      <c r="N128" s="144"/>
      <c r="O128" s="144"/>
      <c r="AV128" s="69"/>
    </row>
    <row r="129" spans="8:48" s="70" customFormat="1" x14ac:dyDescent="0.3">
      <c r="H129" s="298"/>
      <c r="K129" s="142"/>
      <c r="L129" s="142"/>
      <c r="M129" s="142"/>
      <c r="N129" s="144"/>
      <c r="O129" s="144"/>
      <c r="AV129" s="69"/>
    </row>
    <row r="130" spans="8:48" s="70" customFormat="1" x14ac:dyDescent="0.3">
      <c r="H130" s="298"/>
      <c r="K130" s="142"/>
      <c r="L130" s="142"/>
      <c r="M130" s="142"/>
      <c r="N130" s="144"/>
      <c r="O130" s="144"/>
      <c r="AV130" s="69"/>
    </row>
    <row r="131" spans="8:48" s="70" customFormat="1" x14ac:dyDescent="0.3">
      <c r="H131" s="298"/>
      <c r="K131" s="142"/>
      <c r="L131" s="142"/>
      <c r="M131" s="142"/>
      <c r="N131" s="144"/>
      <c r="O131" s="144"/>
      <c r="AV131" s="69"/>
    </row>
    <row r="132" spans="8:48" s="70" customFormat="1" x14ac:dyDescent="0.3">
      <c r="H132" s="298"/>
      <c r="K132" s="142"/>
      <c r="L132" s="142"/>
      <c r="M132" s="142"/>
      <c r="N132" s="144"/>
      <c r="O132" s="144"/>
      <c r="AV132" s="69"/>
    </row>
    <row r="133" spans="8:48" s="70" customFormat="1" x14ac:dyDescent="0.3">
      <c r="H133" s="298"/>
      <c r="K133" s="142"/>
      <c r="L133" s="142"/>
      <c r="M133" s="142"/>
      <c r="N133" s="144"/>
      <c r="O133" s="144"/>
      <c r="AV133" s="69"/>
    </row>
    <row r="134" spans="8:48" s="70" customFormat="1" x14ac:dyDescent="0.3">
      <c r="H134" s="298"/>
      <c r="K134" s="142"/>
      <c r="L134" s="142"/>
      <c r="M134" s="142"/>
      <c r="N134" s="144"/>
      <c r="O134" s="144"/>
      <c r="AV134" s="69"/>
    </row>
    <row r="135" spans="8:48" s="70" customFormat="1" x14ac:dyDescent="0.3">
      <c r="H135" s="298"/>
      <c r="K135" s="142"/>
      <c r="L135" s="142"/>
      <c r="M135" s="142"/>
      <c r="N135" s="144"/>
      <c r="O135" s="144"/>
      <c r="AV135" s="69"/>
    </row>
    <row r="136" spans="8:48" s="70" customFormat="1" x14ac:dyDescent="0.3">
      <c r="H136" s="298"/>
      <c r="K136" s="142"/>
      <c r="L136" s="142"/>
      <c r="M136" s="142"/>
      <c r="N136" s="144"/>
      <c r="O136" s="144"/>
      <c r="AV136" s="69"/>
    </row>
    <row r="137" spans="8:48" s="70" customFormat="1" x14ac:dyDescent="0.3">
      <c r="H137" s="298"/>
      <c r="K137" s="142"/>
      <c r="L137" s="142"/>
      <c r="M137" s="142"/>
      <c r="N137" s="144"/>
      <c r="O137" s="144"/>
      <c r="AV137" s="69"/>
    </row>
    <row r="138" spans="8:48" s="70" customFormat="1" x14ac:dyDescent="0.3">
      <c r="H138" s="298"/>
      <c r="K138" s="142"/>
      <c r="L138" s="142"/>
      <c r="M138" s="142"/>
      <c r="N138" s="144"/>
      <c r="O138" s="144"/>
      <c r="AV138" s="69"/>
    </row>
    <row r="139" spans="8:48" s="70" customFormat="1" x14ac:dyDescent="0.3">
      <c r="H139" s="298"/>
      <c r="K139" s="142"/>
      <c r="L139" s="142"/>
      <c r="M139" s="142"/>
      <c r="N139" s="144"/>
      <c r="O139" s="144"/>
      <c r="AV139" s="69"/>
    </row>
    <row r="140" spans="8:48" s="70" customFormat="1" x14ac:dyDescent="0.3">
      <c r="H140" s="298"/>
      <c r="K140" s="142"/>
      <c r="L140" s="142"/>
      <c r="M140" s="142"/>
      <c r="N140" s="144"/>
      <c r="O140" s="144"/>
      <c r="AV140" s="69"/>
    </row>
    <row r="141" spans="8:48" s="70" customFormat="1" x14ac:dyDescent="0.3">
      <c r="H141" s="298"/>
      <c r="K141" s="142"/>
      <c r="L141" s="142"/>
      <c r="M141" s="142"/>
      <c r="N141" s="144"/>
      <c r="O141" s="144"/>
      <c r="AV141" s="69"/>
    </row>
    <row r="142" spans="8:48" s="70" customFormat="1" x14ac:dyDescent="0.3">
      <c r="H142" s="298"/>
      <c r="K142" s="142"/>
      <c r="L142" s="142"/>
      <c r="M142" s="142"/>
      <c r="N142" s="144"/>
      <c r="O142" s="144"/>
      <c r="AV142" s="69"/>
    </row>
    <row r="143" spans="8:48" s="70" customFormat="1" x14ac:dyDescent="0.3">
      <c r="H143" s="298"/>
      <c r="K143" s="142"/>
      <c r="L143" s="142"/>
      <c r="M143" s="142"/>
      <c r="N143" s="144"/>
      <c r="O143" s="144"/>
      <c r="AV143" s="69"/>
    </row>
    <row r="144" spans="8:48" s="70" customFormat="1" x14ac:dyDescent="0.3">
      <c r="H144" s="298"/>
      <c r="K144" s="142"/>
      <c r="L144" s="142"/>
      <c r="M144" s="142"/>
      <c r="N144" s="144"/>
      <c r="O144" s="144"/>
      <c r="AV144" s="69"/>
    </row>
    <row r="145" spans="8:48" s="70" customFormat="1" x14ac:dyDescent="0.3">
      <c r="H145" s="298"/>
      <c r="K145" s="142"/>
      <c r="L145" s="142"/>
      <c r="M145" s="142"/>
      <c r="N145" s="144"/>
      <c r="O145" s="144"/>
      <c r="AV145" s="69"/>
    </row>
    <row r="146" spans="8:48" s="70" customFormat="1" x14ac:dyDescent="0.3">
      <c r="H146" s="298"/>
      <c r="K146" s="142"/>
      <c r="L146" s="142"/>
      <c r="M146" s="142"/>
      <c r="N146" s="144"/>
      <c r="O146" s="144"/>
      <c r="AV146" s="69"/>
    </row>
    <row r="147" spans="8:48" s="70" customFormat="1" x14ac:dyDescent="0.3">
      <c r="H147" s="298"/>
      <c r="K147" s="142"/>
      <c r="L147" s="142"/>
      <c r="M147" s="142"/>
      <c r="N147" s="144"/>
      <c r="O147" s="144"/>
      <c r="AV147" s="69"/>
    </row>
    <row r="148" spans="8:48" s="70" customFormat="1" x14ac:dyDescent="0.3">
      <c r="H148" s="298"/>
      <c r="K148" s="142"/>
      <c r="L148" s="142"/>
      <c r="M148" s="142"/>
      <c r="N148" s="144"/>
      <c r="O148" s="144"/>
      <c r="AV148" s="69"/>
    </row>
    <row r="149" spans="8:48" s="70" customFormat="1" x14ac:dyDescent="0.3">
      <c r="H149" s="298"/>
      <c r="K149" s="142"/>
      <c r="L149" s="142"/>
      <c r="M149" s="142"/>
      <c r="N149" s="144"/>
      <c r="O149" s="144"/>
      <c r="AV149" s="69"/>
    </row>
    <row r="150" spans="8:48" s="70" customFormat="1" x14ac:dyDescent="0.3">
      <c r="H150" s="298"/>
      <c r="K150" s="142"/>
      <c r="L150" s="142"/>
      <c r="M150" s="142"/>
      <c r="N150" s="144"/>
      <c r="O150" s="144"/>
      <c r="AV150" s="69"/>
    </row>
    <row r="151" spans="8:48" s="70" customFormat="1" x14ac:dyDescent="0.3">
      <c r="H151" s="298"/>
      <c r="K151" s="142"/>
      <c r="L151" s="142"/>
      <c r="M151" s="142"/>
      <c r="N151" s="144"/>
      <c r="O151" s="144"/>
      <c r="AV151" s="69"/>
    </row>
    <row r="152" spans="8:48" s="70" customFormat="1" x14ac:dyDescent="0.3">
      <c r="H152" s="298"/>
      <c r="K152" s="142"/>
      <c r="L152" s="142"/>
      <c r="M152" s="142"/>
      <c r="N152" s="144"/>
      <c r="O152" s="144"/>
      <c r="AV152" s="69"/>
    </row>
    <row r="153" spans="8:48" s="70" customFormat="1" x14ac:dyDescent="0.3">
      <c r="H153" s="298"/>
      <c r="K153" s="142"/>
      <c r="L153" s="142"/>
      <c r="M153" s="142"/>
      <c r="N153" s="144"/>
      <c r="O153" s="144"/>
      <c r="AV153" s="69"/>
    </row>
    <row r="154" spans="8:48" s="70" customFormat="1" x14ac:dyDescent="0.3">
      <c r="H154" s="298"/>
      <c r="K154" s="142"/>
      <c r="L154" s="142"/>
      <c r="M154" s="142"/>
      <c r="N154" s="144"/>
      <c r="O154" s="144"/>
      <c r="AV154" s="69"/>
    </row>
    <row r="155" spans="8:48" s="70" customFormat="1" x14ac:dyDescent="0.3">
      <c r="H155" s="298"/>
      <c r="K155" s="142"/>
      <c r="L155" s="142"/>
      <c r="M155" s="142"/>
      <c r="N155" s="144"/>
      <c r="O155" s="144"/>
      <c r="AV155" s="69"/>
    </row>
    <row r="156" spans="8:48" s="70" customFormat="1" x14ac:dyDescent="0.3">
      <c r="H156" s="298"/>
      <c r="K156" s="142"/>
      <c r="L156" s="142"/>
      <c r="M156" s="142"/>
      <c r="N156" s="144"/>
      <c r="O156" s="144"/>
      <c r="AV156" s="69"/>
    </row>
    <row r="157" spans="8:48" s="70" customFormat="1" x14ac:dyDescent="0.3">
      <c r="H157" s="298"/>
      <c r="K157" s="142"/>
      <c r="L157" s="142"/>
      <c r="M157" s="142"/>
      <c r="N157" s="144"/>
      <c r="O157" s="144"/>
      <c r="AV157" s="69"/>
    </row>
    <row r="158" spans="8:48" s="70" customFormat="1" x14ac:dyDescent="0.3">
      <c r="H158" s="298"/>
      <c r="K158" s="142"/>
      <c r="L158" s="142"/>
      <c r="M158" s="142"/>
      <c r="N158" s="144"/>
      <c r="O158" s="144"/>
      <c r="AV158" s="69"/>
    </row>
    <row r="159" spans="8:48" s="70" customFormat="1" x14ac:dyDescent="0.3">
      <c r="H159" s="298"/>
      <c r="K159" s="142"/>
      <c r="L159" s="142"/>
      <c r="M159" s="142"/>
      <c r="N159" s="144"/>
      <c r="O159" s="144"/>
      <c r="AV159" s="69"/>
    </row>
    <row r="160" spans="8:48" s="70" customFormat="1" x14ac:dyDescent="0.3">
      <c r="H160" s="298"/>
      <c r="K160" s="142"/>
      <c r="L160" s="142"/>
      <c r="M160" s="142"/>
      <c r="N160" s="144"/>
      <c r="O160" s="144"/>
      <c r="AV160" s="69"/>
    </row>
    <row r="161" spans="1:49" s="70" customFormat="1" x14ac:dyDescent="0.3">
      <c r="H161" s="298"/>
      <c r="K161" s="142"/>
      <c r="L161" s="142"/>
      <c r="M161" s="142"/>
      <c r="N161" s="144"/>
      <c r="O161" s="144"/>
      <c r="AV161" s="69"/>
    </row>
    <row r="162" spans="1:49" s="70" customFormat="1" x14ac:dyDescent="0.3">
      <c r="H162" s="298"/>
      <c r="K162" s="142"/>
      <c r="L162" s="142"/>
      <c r="M162" s="142"/>
      <c r="N162" s="144"/>
      <c r="O162" s="144"/>
      <c r="AV162" s="69"/>
    </row>
    <row r="163" spans="1:49" s="70" customFormat="1" x14ac:dyDescent="0.3">
      <c r="H163" s="298"/>
      <c r="K163" s="142"/>
      <c r="L163" s="142"/>
      <c r="M163" s="142"/>
      <c r="N163" s="144"/>
      <c r="O163" s="144"/>
      <c r="AV163" s="69"/>
    </row>
    <row r="164" spans="1:49" s="70" customFormat="1" x14ac:dyDescent="0.3">
      <c r="H164" s="298"/>
      <c r="K164" s="142"/>
      <c r="L164" s="142"/>
      <c r="M164" s="142"/>
      <c r="N164" s="144"/>
      <c r="O164" s="144"/>
      <c r="AV164" s="69"/>
    </row>
    <row r="165" spans="1:49" s="70" customFormat="1" x14ac:dyDescent="0.3">
      <c r="H165" s="298"/>
      <c r="K165" s="142"/>
      <c r="L165" s="142"/>
      <c r="M165" s="142"/>
      <c r="N165" s="144"/>
      <c r="O165" s="144"/>
      <c r="AV165" s="69"/>
    </row>
    <row r="166" spans="1:49" s="70" customFormat="1" x14ac:dyDescent="0.3">
      <c r="H166" s="298"/>
      <c r="K166" s="142"/>
      <c r="L166" s="142"/>
      <c r="M166" s="142"/>
      <c r="N166" s="144"/>
      <c r="O166" s="144"/>
      <c r="AV166" s="69"/>
    </row>
    <row r="167" spans="1:49" s="70" customFormat="1" x14ac:dyDescent="0.3">
      <c r="H167" s="298"/>
      <c r="K167" s="142"/>
      <c r="L167" s="142"/>
      <c r="M167" s="142"/>
      <c r="N167" s="144"/>
      <c r="O167" s="144"/>
      <c r="AV167" s="69"/>
    </row>
    <row r="168" spans="1:49" s="70" customFormat="1" x14ac:dyDescent="0.3">
      <c r="H168" s="298"/>
      <c r="K168" s="142"/>
      <c r="L168" s="142"/>
      <c r="M168" s="142"/>
      <c r="N168" s="144"/>
      <c r="O168" s="144"/>
      <c r="AV168" s="69"/>
    </row>
    <row r="169" spans="1:49" s="70" customFormat="1" x14ac:dyDescent="0.3">
      <c r="H169" s="298"/>
      <c r="K169" s="142"/>
      <c r="L169" s="142"/>
      <c r="M169" s="142"/>
      <c r="N169" s="144"/>
      <c r="O169" s="144"/>
      <c r="AV169" s="69"/>
    </row>
    <row r="170" spans="1:49" s="70" customFormat="1" x14ac:dyDescent="0.3">
      <c r="H170" s="298"/>
      <c r="K170" s="142"/>
      <c r="L170" s="142"/>
      <c r="M170" s="142"/>
      <c r="N170" s="144"/>
      <c r="O170" s="144"/>
      <c r="AV170" s="69"/>
    </row>
    <row r="171" spans="1:49" s="70" customFormat="1" x14ac:dyDescent="0.3">
      <c r="H171" s="298"/>
      <c r="K171" s="142"/>
      <c r="L171" s="142"/>
      <c r="M171" s="142"/>
      <c r="N171" s="144"/>
      <c r="O171" s="144"/>
      <c r="AV171" s="69"/>
    </row>
    <row r="172" spans="1:49" s="70" customFormat="1" x14ac:dyDescent="0.3">
      <c r="H172" s="298"/>
      <c r="K172" s="142"/>
      <c r="L172" s="142"/>
      <c r="M172" s="142"/>
      <c r="N172" s="144"/>
      <c r="O172" s="144"/>
      <c r="AV172" s="69"/>
    </row>
    <row r="173" spans="1:49" s="145" customFormat="1" x14ac:dyDescent="0.3">
      <c r="A173" s="70"/>
      <c r="B173" s="70"/>
      <c r="C173" s="70"/>
      <c r="D173" s="70"/>
      <c r="E173" s="70"/>
      <c r="F173" s="70"/>
      <c r="G173" s="70"/>
      <c r="H173" s="298"/>
      <c r="I173" s="70"/>
      <c r="J173" s="70"/>
      <c r="K173" s="142"/>
      <c r="L173" s="142"/>
      <c r="M173" s="142"/>
      <c r="N173" s="144"/>
      <c r="O173" s="144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69"/>
      <c r="AW173" s="70"/>
    </row>
    <row r="174" spans="1:49" s="145" customFormat="1" x14ac:dyDescent="0.3">
      <c r="A174" s="70"/>
      <c r="B174" s="70"/>
      <c r="C174" s="70"/>
      <c r="D174" s="70"/>
      <c r="E174" s="70"/>
      <c r="F174" s="70"/>
      <c r="G174" s="70"/>
      <c r="H174" s="298"/>
      <c r="I174" s="70"/>
      <c r="J174" s="70"/>
      <c r="K174" s="142"/>
      <c r="L174" s="142"/>
      <c r="M174" s="142"/>
      <c r="N174" s="144"/>
      <c r="O174" s="144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69"/>
      <c r="AW174" s="70"/>
    </row>
    <row r="175" spans="1:49" s="145" customFormat="1" x14ac:dyDescent="0.3">
      <c r="A175" s="70"/>
      <c r="B175" s="70"/>
      <c r="C175" s="70"/>
      <c r="D175" s="70"/>
      <c r="E175" s="70"/>
      <c r="F175" s="70"/>
      <c r="G175" s="70"/>
      <c r="H175" s="298"/>
      <c r="I175" s="70"/>
      <c r="J175" s="70"/>
      <c r="K175" s="142"/>
      <c r="L175" s="142"/>
      <c r="M175" s="142"/>
      <c r="N175" s="144"/>
      <c r="O175" s="144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69"/>
      <c r="AW175" s="70"/>
    </row>
    <row r="176" spans="1:49" s="145" customFormat="1" x14ac:dyDescent="0.3">
      <c r="A176" s="70"/>
      <c r="B176" s="70"/>
      <c r="C176" s="70"/>
      <c r="D176" s="70"/>
      <c r="E176" s="70"/>
      <c r="F176" s="70"/>
      <c r="G176" s="70"/>
      <c r="H176" s="298"/>
      <c r="I176" s="70"/>
      <c r="J176" s="70"/>
      <c r="K176" s="142"/>
      <c r="L176" s="142"/>
      <c r="M176" s="142"/>
      <c r="N176" s="147"/>
      <c r="O176" s="144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69"/>
      <c r="AW176" s="70"/>
    </row>
    <row r="177" spans="1:49" s="145" customFormat="1" x14ac:dyDescent="0.3">
      <c r="A177" s="70"/>
      <c r="B177" s="70"/>
      <c r="C177" s="70"/>
      <c r="D177" s="70"/>
      <c r="E177" s="70"/>
      <c r="F177" s="70"/>
      <c r="G177" s="70"/>
      <c r="H177" s="298"/>
      <c r="I177" s="70"/>
      <c r="J177" s="70"/>
      <c r="K177" s="142"/>
      <c r="L177" s="142"/>
      <c r="M177" s="142"/>
      <c r="N177" s="147"/>
      <c r="O177" s="144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69"/>
      <c r="AW177" s="70"/>
    </row>
    <row r="178" spans="1:49" s="145" customFormat="1" x14ac:dyDescent="0.3">
      <c r="A178" s="70"/>
      <c r="B178" s="70"/>
      <c r="C178" s="70"/>
      <c r="D178" s="70"/>
      <c r="E178" s="70"/>
      <c r="F178" s="70"/>
      <c r="G178" s="70"/>
      <c r="H178" s="298"/>
      <c r="I178" s="70"/>
      <c r="J178" s="70"/>
      <c r="K178" s="142"/>
      <c r="L178" s="142"/>
      <c r="M178" s="142"/>
      <c r="N178" s="147"/>
      <c r="O178" s="144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69"/>
      <c r="AW178" s="70"/>
    </row>
    <row r="179" spans="1:49" s="145" customFormat="1" x14ac:dyDescent="0.3">
      <c r="A179" s="70"/>
      <c r="B179" s="70"/>
      <c r="C179" s="70"/>
      <c r="D179" s="70"/>
      <c r="E179" s="70"/>
      <c r="F179" s="70"/>
      <c r="G179" s="70"/>
      <c r="H179" s="298"/>
      <c r="I179" s="70"/>
      <c r="J179" s="70"/>
      <c r="K179" s="142"/>
      <c r="L179" s="142"/>
      <c r="M179" s="142"/>
      <c r="N179" s="147"/>
      <c r="O179" s="144"/>
      <c r="P179" s="149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69"/>
      <c r="AW179" s="70"/>
    </row>
    <row r="180" spans="1:49" s="145" customFormat="1" x14ac:dyDescent="0.3">
      <c r="A180" s="70"/>
      <c r="B180" s="70"/>
      <c r="C180" s="70"/>
      <c r="D180" s="70"/>
      <c r="E180" s="70"/>
      <c r="F180" s="70"/>
      <c r="G180" s="70"/>
      <c r="H180" s="298"/>
      <c r="I180" s="70"/>
      <c r="J180" s="70"/>
      <c r="K180" s="142"/>
      <c r="L180" s="142"/>
      <c r="M180" s="142"/>
      <c r="N180" s="147"/>
      <c r="O180" s="144"/>
      <c r="P180" s="149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69"/>
      <c r="AW180" s="70"/>
    </row>
    <row r="181" spans="1:49" s="145" customFormat="1" x14ac:dyDescent="0.3">
      <c r="A181" s="70"/>
      <c r="B181" s="70"/>
      <c r="C181" s="70"/>
      <c r="D181" s="70"/>
      <c r="E181" s="70"/>
      <c r="F181" s="70"/>
      <c r="G181" s="70"/>
      <c r="H181" s="298"/>
      <c r="I181" s="70"/>
      <c r="J181" s="70"/>
      <c r="K181" s="142"/>
      <c r="L181" s="142"/>
      <c r="M181" s="142"/>
      <c r="N181" s="147"/>
      <c r="O181" s="147"/>
      <c r="P181" s="149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69"/>
      <c r="AW181" s="70"/>
    </row>
    <row r="182" spans="1:49" s="145" customFormat="1" x14ac:dyDescent="0.3">
      <c r="A182" s="70"/>
      <c r="B182" s="70"/>
      <c r="C182" s="70"/>
      <c r="D182" s="70"/>
      <c r="E182" s="70"/>
      <c r="F182" s="70"/>
      <c r="G182" s="70"/>
      <c r="H182" s="298"/>
      <c r="I182" s="70"/>
      <c r="J182" s="70"/>
      <c r="K182" s="142"/>
      <c r="L182" s="142"/>
      <c r="M182" s="142"/>
      <c r="N182" s="147"/>
      <c r="O182" s="147"/>
      <c r="P182" s="149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69"/>
      <c r="AW182" s="70"/>
    </row>
    <row r="183" spans="1:49" s="145" customFormat="1" x14ac:dyDescent="0.3">
      <c r="A183" s="70"/>
      <c r="B183" s="70"/>
      <c r="C183" s="70"/>
      <c r="D183" s="70"/>
      <c r="E183" s="70"/>
      <c r="F183" s="70"/>
      <c r="G183" s="70"/>
      <c r="H183" s="298"/>
      <c r="I183" s="70"/>
      <c r="J183" s="70"/>
      <c r="K183" s="142"/>
      <c r="L183" s="142"/>
      <c r="M183" s="142"/>
      <c r="N183" s="147"/>
      <c r="O183" s="147"/>
      <c r="P183" s="149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69"/>
      <c r="AW183" s="70"/>
    </row>
    <row r="184" spans="1:49" s="145" customFormat="1" x14ac:dyDescent="0.3">
      <c r="A184" s="70"/>
      <c r="B184" s="70"/>
      <c r="C184" s="70"/>
      <c r="D184" s="70"/>
      <c r="E184" s="70"/>
      <c r="F184" s="70"/>
      <c r="G184" s="70"/>
      <c r="H184" s="298"/>
      <c r="I184" s="70"/>
      <c r="J184" s="70"/>
      <c r="K184" s="142"/>
      <c r="L184" s="142"/>
      <c r="M184" s="142"/>
      <c r="N184" s="147"/>
      <c r="O184" s="147"/>
      <c r="P184" s="149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69"/>
      <c r="AW184" s="70"/>
    </row>
    <row r="185" spans="1:49" s="145" customFormat="1" x14ac:dyDescent="0.3">
      <c r="A185" s="70"/>
      <c r="B185" s="70"/>
      <c r="C185" s="70"/>
      <c r="D185" s="70"/>
      <c r="E185" s="70"/>
      <c r="F185" s="70"/>
      <c r="G185" s="70"/>
      <c r="H185" s="298"/>
      <c r="I185" s="70"/>
      <c r="J185" s="70"/>
      <c r="K185" s="146"/>
      <c r="L185" s="146"/>
      <c r="M185" s="146"/>
      <c r="N185" s="147"/>
      <c r="O185" s="147"/>
      <c r="P185" s="149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69"/>
      <c r="AW185" s="70"/>
    </row>
    <row r="186" spans="1:49" s="145" customFormat="1" x14ac:dyDescent="0.3">
      <c r="A186" s="70"/>
      <c r="B186" s="70"/>
      <c r="C186" s="70"/>
      <c r="D186" s="70"/>
      <c r="E186" s="70"/>
      <c r="F186" s="70"/>
      <c r="G186" s="70"/>
      <c r="H186" s="298"/>
      <c r="I186" s="70"/>
      <c r="J186" s="70"/>
      <c r="K186" s="146"/>
      <c r="L186" s="146"/>
      <c r="M186" s="146"/>
      <c r="N186" s="147"/>
      <c r="O186" s="147"/>
      <c r="P186" s="149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69"/>
      <c r="AW186" s="70"/>
    </row>
    <row r="187" spans="1:49" s="145" customFormat="1" x14ac:dyDescent="0.3">
      <c r="A187" s="70"/>
      <c r="B187" s="70"/>
      <c r="C187" s="70"/>
      <c r="D187" s="70"/>
      <c r="E187" s="70"/>
      <c r="F187" s="70"/>
      <c r="G187" s="70"/>
      <c r="H187" s="298"/>
      <c r="I187" s="70"/>
      <c r="J187" s="70"/>
      <c r="K187" s="146"/>
      <c r="L187" s="146"/>
      <c r="M187" s="146"/>
      <c r="N187" s="147"/>
      <c r="O187" s="147"/>
      <c r="P187" s="149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69"/>
      <c r="AW187" s="70"/>
    </row>
    <row r="188" spans="1:49" s="145" customFormat="1" x14ac:dyDescent="0.3">
      <c r="A188" s="70"/>
      <c r="B188" s="70"/>
      <c r="C188" s="70"/>
      <c r="D188" s="70"/>
      <c r="E188" s="70"/>
      <c r="F188" s="70"/>
      <c r="G188" s="70"/>
      <c r="H188" s="298"/>
      <c r="I188" s="70"/>
      <c r="J188" s="70"/>
      <c r="K188" s="146"/>
      <c r="L188" s="146"/>
      <c r="M188" s="146"/>
      <c r="N188" s="147"/>
      <c r="O188" s="147"/>
      <c r="P188" s="149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69"/>
      <c r="AW188" s="70"/>
    </row>
    <row r="189" spans="1:49" s="145" customFormat="1" x14ac:dyDescent="0.3">
      <c r="A189" s="70"/>
      <c r="B189" s="70"/>
      <c r="C189" s="70"/>
      <c r="D189" s="70"/>
      <c r="E189" s="70"/>
      <c r="F189" s="70"/>
      <c r="G189" s="70"/>
      <c r="H189" s="298"/>
      <c r="I189" s="70"/>
      <c r="J189" s="70"/>
      <c r="K189" s="146"/>
      <c r="L189" s="146"/>
      <c r="M189" s="146"/>
      <c r="N189" s="147"/>
      <c r="O189" s="147"/>
      <c r="P189" s="149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69"/>
      <c r="AW189" s="70"/>
    </row>
    <row r="190" spans="1:49" x14ac:dyDescent="0.3">
      <c r="A190" s="70"/>
      <c r="B190" s="70"/>
      <c r="C190" s="70"/>
      <c r="D190" s="70"/>
      <c r="E190" s="70"/>
      <c r="F190" s="70"/>
      <c r="G190" s="70"/>
      <c r="H190" s="298"/>
      <c r="I190" s="70"/>
      <c r="J190" s="70"/>
      <c r="K190" s="146"/>
      <c r="L190" s="146"/>
      <c r="M190" s="146"/>
      <c r="N190" s="147"/>
      <c r="O190" s="147"/>
      <c r="P190" s="149"/>
      <c r="AV190" s="148"/>
      <c r="AW190" s="148"/>
    </row>
    <row r="191" spans="1:49" x14ac:dyDescent="0.3">
      <c r="A191" s="70"/>
      <c r="B191" s="70"/>
      <c r="C191" s="70"/>
      <c r="D191" s="70"/>
      <c r="E191" s="70"/>
      <c r="F191" s="70"/>
      <c r="G191" s="70"/>
      <c r="H191" s="298"/>
      <c r="I191" s="70"/>
      <c r="J191" s="70"/>
      <c r="K191" s="146"/>
      <c r="L191" s="146"/>
      <c r="M191" s="146"/>
      <c r="N191" s="147"/>
      <c r="O191" s="147"/>
      <c r="AV191" s="148"/>
      <c r="AW191" s="148"/>
    </row>
    <row r="192" spans="1:49" x14ac:dyDescent="0.3">
      <c r="A192" s="70"/>
      <c r="B192" s="70"/>
      <c r="C192" s="70"/>
      <c r="D192" s="70"/>
      <c r="E192" s="70"/>
      <c r="F192" s="70"/>
      <c r="G192" s="70"/>
      <c r="H192" s="298"/>
      <c r="I192" s="70"/>
      <c r="J192" s="70"/>
      <c r="K192" s="146"/>
      <c r="L192" s="146"/>
      <c r="M192" s="146"/>
      <c r="N192" s="147"/>
      <c r="O192" s="147"/>
      <c r="AV192" s="148"/>
      <c r="AW192" s="148"/>
    </row>
    <row r="193" spans="1:49" x14ac:dyDescent="0.3">
      <c r="A193" s="149"/>
      <c r="B193" s="149"/>
      <c r="C193" s="149"/>
      <c r="D193" s="149"/>
      <c r="E193" s="149"/>
      <c r="F193" s="70"/>
      <c r="G193" s="70"/>
      <c r="H193" s="298"/>
      <c r="I193" s="70"/>
      <c r="J193" s="70"/>
      <c r="K193" s="146"/>
      <c r="L193" s="146"/>
      <c r="M193" s="146"/>
      <c r="O193" s="147"/>
      <c r="AV193" s="148"/>
      <c r="AW193" s="148"/>
    </row>
    <row r="194" spans="1:49" x14ac:dyDescent="0.3">
      <c r="A194" s="149"/>
      <c r="B194" s="149"/>
      <c r="C194" s="149"/>
      <c r="D194" s="149"/>
      <c r="E194" s="149"/>
      <c r="F194" s="149"/>
      <c r="G194" s="149"/>
      <c r="H194" s="299"/>
      <c r="I194" s="70"/>
      <c r="J194" s="70"/>
      <c r="K194" s="146"/>
      <c r="L194" s="146"/>
      <c r="M194" s="146"/>
      <c r="O194" s="147"/>
      <c r="AV194" s="148"/>
      <c r="AW194" s="148"/>
    </row>
    <row r="195" spans="1:49" x14ac:dyDescent="0.3">
      <c r="A195" s="149"/>
      <c r="B195" s="149"/>
      <c r="C195" s="149"/>
      <c r="D195" s="149"/>
      <c r="E195" s="149"/>
      <c r="F195" s="149"/>
      <c r="G195" s="149"/>
      <c r="H195" s="299"/>
      <c r="I195" s="149"/>
      <c r="J195" s="149"/>
      <c r="K195" s="146"/>
      <c r="L195" s="146"/>
      <c r="M195" s="146"/>
      <c r="O195" s="147"/>
      <c r="AV195" s="148"/>
      <c r="AW195" s="148"/>
    </row>
    <row r="196" spans="1:49" x14ac:dyDescent="0.3">
      <c r="A196" s="149"/>
      <c r="B196" s="149"/>
      <c r="C196" s="149"/>
      <c r="D196" s="149"/>
      <c r="E196" s="149"/>
      <c r="F196" s="149"/>
      <c r="G196" s="149"/>
      <c r="H196" s="299"/>
      <c r="I196" s="149"/>
      <c r="J196" s="149"/>
      <c r="K196" s="146"/>
      <c r="L196" s="146"/>
      <c r="M196" s="146"/>
      <c r="O196" s="147"/>
      <c r="AV196" s="148"/>
      <c r="AW196" s="148"/>
    </row>
    <row r="197" spans="1:49" x14ac:dyDescent="0.3">
      <c r="A197" s="149"/>
      <c r="B197" s="149"/>
      <c r="C197" s="149"/>
      <c r="D197" s="149"/>
      <c r="E197" s="149"/>
      <c r="F197" s="149"/>
      <c r="G197" s="149"/>
      <c r="H197" s="299"/>
      <c r="I197" s="149"/>
      <c r="J197" s="149"/>
      <c r="K197" s="146"/>
      <c r="L197" s="146"/>
      <c r="M197" s="146"/>
      <c r="N197" s="148"/>
      <c r="O197" s="147"/>
      <c r="AV197" s="148"/>
      <c r="AW197" s="148"/>
    </row>
    <row r="198" spans="1:49" x14ac:dyDescent="0.3">
      <c r="A198" s="149"/>
      <c r="B198" s="149"/>
      <c r="C198" s="149"/>
      <c r="D198" s="149"/>
      <c r="E198" s="149"/>
      <c r="F198" s="149"/>
      <c r="G198" s="149"/>
      <c r="H198" s="299"/>
      <c r="I198" s="149"/>
      <c r="J198" s="149"/>
      <c r="K198" s="146"/>
      <c r="L198" s="146"/>
      <c r="M198" s="146"/>
      <c r="AV198" s="148"/>
      <c r="AW198" s="148"/>
    </row>
    <row r="199" spans="1:49" x14ac:dyDescent="0.3">
      <c r="A199" s="149"/>
      <c r="B199" s="149"/>
      <c r="C199" s="149"/>
      <c r="D199" s="149"/>
      <c r="E199" s="149"/>
      <c r="F199" s="149"/>
      <c r="G199" s="149"/>
      <c r="H199" s="299"/>
      <c r="I199" s="149"/>
      <c r="J199" s="149"/>
      <c r="K199" s="146"/>
      <c r="L199" s="146"/>
      <c r="M199" s="146"/>
      <c r="AV199" s="148"/>
      <c r="AW199" s="148"/>
    </row>
    <row r="200" spans="1:49" x14ac:dyDescent="0.3">
      <c r="A200" s="149"/>
      <c r="B200" s="149"/>
      <c r="C200" s="149"/>
      <c r="D200" s="149"/>
      <c r="E200" s="149"/>
      <c r="F200" s="149"/>
      <c r="G200" s="149"/>
      <c r="H200" s="299"/>
      <c r="I200" s="149"/>
      <c r="J200" s="149"/>
      <c r="K200" s="146"/>
      <c r="L200" s="146"/>
      <c r="M200" s="146"/>
      <c r="AV200" s="148"/>
      <c r="AW200" s="148"/>
    </row>
    <row r="201" spans="1:49" x14ac:dyDescent="0.3">
      <c r="A201" s="149"/>
      <c r="B201" s="149"/>
      <c r="C201" s="149"/>
      <c r="D201" s="149"/>
      <c r="E201" s="149"/>
      <c r="F201" s="149"/>
      <c r="G201" s="149"/>
      <c r="H201" s="299"/>
      <c r="I201" s="149"/>
      <c r="J201" s="149"/>
      <c r="K201" s="146"/>
      <c r="L201" s="146"/>
      <c r="M201" s="146"/>
      <c r="AV201" s="148"/>
      <c r="AW201" s="148"/>
    </row>
    <row r="202" spans="1:49" x14ac:dyDescent="0.3">
      <c r="A202" s="149"/>
      <c r="B202" s="149"/>
      <c r="C202" s="149"/>
      <c r="D202" s="149"/>
      <c r="E202" s="149"/>
      <c r="F202" s="149"/>
      <c r="G202" s="149"/>
      <c r="H202" s="299"/>
      <c r="I202" s="149"/>
      <c r="J202" s="149"/>
    </row>
    <row r="203" spans="1:49" x14ac:dyDescent="0.3">
      <c r="A203" s="149"/>
      <c r="B203" s="149"/>
      <c r="C203" s="149"/>
      <c r="D203" s="149"/>
      <c r="E203" s="149"/>
      <c r="F203" s="149"/>
      <c r="G203" s="149"/>
      <c r="H203" s="299"/>
      <c r="I203" s="149"/>
      <c r="J203" s="14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  <c r="AM203" s="69"/>
      <c r="AN203" s="69"/>
      <c r="AO203" s="69"/>
      <c r="AP203" s="69"/>
      <c r="AQ203" s="69"/>
      <c r="AR203" s="69"/>
      <c r="AS203" s="69"/>
      <c r="AT203" s="69"/>
      <c r="AU203" s="69"/>
      <c r="AV203" s="148"/>
      <c r="AW203" s="148"/>
    </row>
    <row r="204" spans="1:49" x14ac:dyDescent="0.3">
      <c r="A204" s="149"/>
      <c r="B204" s="149"/>
      <c r="C204" s="149"/>
      <c r="D204" s="149"/>
      <c r="E204" s="149"/>
      <c r="F204" s="149"/>
      <c r="G204" s="149"/>
      <c r="H204" s="299"/>
      <c r="I204" s="149"/>
      <c r="J204" s="149"/>
    </row>
    <row r="205" spans="1:49" x14ac:dyDescent="0.3">
      <c r="A205" s="149"/>
      <c r="B205" s="149"/>
      <c r="C205" s="149"/>
      <c r="D205" s="149"/>
      <c r="E205" s="149"/>
      <c r="F205" s="149"/>
      <c r="G205" s="149"/>
      <c r="H205" s="299"/>
      <c r="I205" s="149"/>
      <c r="J205" s="149"/>
    </row>
    <row r="206" spans="1:49" x14ac:dyDescent="0.3">
      <c r="A206" s="149"/>
      <c r="B206" s="149"/>
      <c r="C206" s="149"/>
      <c r="D206" s="149"/>
      <c r="E206" s="149"/>
      <c r="F206" s="149"/>
      <c r="G206" s="149"/>
      <c r="H206" s="299"/>
      <c r="I206" s="149"/>
      <c r="J206" s="149"/>
    </row>
    <row r="207" spans="1:49" x14ac:dyDescent="0.3">
      <c r="A207" s="149"/>
      <c r="B207" s="149"/>
      <c r="C207" s="149"/>
      <c r="D207" s="149"/>
      <c r="E207" s="149"/>
      <c r="F207" s="149"/>
      <c r="G207" s="149"/>
      <c r="H207" s="299"/>
      <c r="I207" s="149"/>
      <c r="J207" s="149"/>
    </row>
    <row r="208" spans="1:49" x14ac:dyDescent="0.3">
      <c r="A208" s="149"/>
      <c r="B208" s="149"/>
      <c r="C208" s="149"/>
      <c r="D208" s="149"/>
      <c r="E208" s="149"/>
      <c r="F208" s="149"/>
      <c r="G208" s="149"/>
      <c r="H208" s="299"/>
      <c r="I208" s="149"/>
      <c r="J208" s="149"/>
    </row>
    <row r="209" spans="1:13" x14ac:dyDescent="0.3">
      <c r="A209" s="149"/>
      <c r="B209" s="149"/>
      <c r="C209" s="149"/>
      <c r="D209" s="149"/>
      <c r="E209" s="149"/>
      <c r="F209" s="149"/>
      <c r="G209" s="149"/>
      <c r="H209" s="299"/>
      <c r="I209" s="149"/>
      <c r="J209" s="149"/>
    </row>
    <row r="210" spans="1:13" x14ac:dyDescent="0.3">
      <c r="F210" s="149"/>
      <c r="G210" s="149"/>
      <c r="H210" s="299"/>
      <c r="I210" s="149"/>
      <c r="J210" s="149"/>
    </row>
    <row r="211" spans="1:13" x14ac:dyDescent="0.3">
      <c r="I211" s="149"/>
      <c r="J211" s="149"/>
    </row>
    <row r="215" spans="1:13" x14ac:dyDescent="0.3">
      <c r="K215" s="148"/>
      <c r="L215" s="148"/>
      <c r="M215" s="148"/>
    </row>
    <row r="1048535" spans="16:16" x14ac:dyDescent="0.3">
      <c r="P1048535" s="57"/>
    </row>
    <row r="1048547" spans="1:60" s="70" customFormat="1" x14ac:dyDescent="0.3">
      <c r="A1048547" s="148"/>
      <c r="B1048547" s="148"/>
      <c r="C1048547" s="148"/>
      <c r="D1048547" s="148"/>
      <c r="E1048547" s="148"/>
      <c r="F1048547" s="148"/>
      <c r="G1048547" s="148"/>
      <c r="H1048547" s="297"/>
      <c r="I1048547" s="148"/>
      <c r="J1048547" s="148"/>
      <c r="K1048547" s="150"/>
      <c r="L1048547" s="150"/>
      <c r="M1048547" s="150"/>
      <c r="N1048547" s="150"/>
      <c r="O1048547" s="150"/>
      <c r="P1048547" s="148"/>
      <c r="AV1048547" s="69"/>
      <c r="AW1048547" s="69"/>
      <c r="AX1048547" s="148"/>
      <c r="AY1048547" s="148"/>
      <c r="AZ1048547" s="148"/>
      <c r="BA1048547" s="148"/>
      <c r="BB1048547" s="148"/>
      <c r="BC1048547" s="148"/>
      <c r="BD1048547" s="148"/>
      <c r="BE1048547" s="148"/>
      <c r="BF1048547" s="148"/>
      <c r="BG1048547" s="148"/>
      <c r="BH1048547" s="148"/>
    </row>
  </sheetData>
  <mergeCells count="41">
    <mergeCell ref="N43:P43"/>
    <mergeCell ref="A1:P1"/>
    <mergeCell ref="A2:P2"/>
    <mergeCell ref="A7:B7"/>
    <mergeCell ref="A8:P8"/>
    <mergeCell ref="A37:B37"/>
    <mergeCell ref="A38:P38"/>
    <mergeCell ref="E39:J39"/>
    <mergeCell ref="E40:J40"/>
    <mergeCell ref="E41:J41"/>
    <mergeCell ref="E42:J42"/>
    <mergeCell ref="A43:J43"/>
    <mergeCell ref="A56:E56"/>
    <mergeCell ref="A44:N44"/>
    <mergeCell ref="A45:P45"/>
    <mergeCell ref="E46:J46"/>
    <mergeCell ref="E47:J47"/>
    <mergeCell ref="E48:J48"/>
    <mergeCell ref="E49:J49"/>
    <mergeCell ref="E50:J50"/>
    <mergeCell ref="E51:J51"/>
    <mergeCell ref="E52:J52"/>
    <mergeCell ref="E53:J53"/>
    <mergeCell ref="A54:J54"/>
    <mergeCell ref="N68:O68"/>
    <mergeCell ref="N56:P56"/>
    <mergeCell ref="N57:O57"/>
    <mergeCell ref="N58:O58"/>
    <mergeCell ref="N59:P60"/>
    <mergeCell ref="N61:P61"/>
    <mergeCell ref="N62:O62"/>
    <mergeCell ref="N63:O63"/>
    <mergeCell ref="N64:O64"/>
    <mergeCell ref="N65:O65"/>
    <mergeCell ref="N66:O66"/>
    <mergeCell ref="N67:O67"/>
    <mergeCell ref="N69:O69"/>
    <mergeCell ref="N70:O70"/>
    <mergeCell ref="N71:O71"/>
    <mergeCell ref="N72:P72"/>
    <mergeCell ref="N73:O73"/>
  </mergeCells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0DC49-83AF-4779-87EA-13B51D7FF8FE}">
  <dimension ref="A1:BH1048547"/>
  <sheetViews>
    <sheetView zoomScale="80" zoomScaleNormal="80" workbookViewId="0">
      <selection activeCell="B3" sqref="B3"/>
    </sheetView>
  </sheetViews>
  <sheetFormatPr defaultColWidth="9.109375" defaultRowHeight="13.8" x14ac:dyDescent="0.3"/>
  <cols>
    <col min="1" max="1" width="50.6640625" style="148" bestFit="1" customWidth="1"/>
    <col min="2" max="2" width="8.33203125" style="148" bestFit="1" customWidth="1"/>
    <col min="3" max="3" width="17.33203125" style="148" customWidth="1"/>
    <col min="4" max="4" width="17.109375" style="148" bestFit="1" customWidth="1"/>
    <col min="5" max="5" width="18.33203125" style="148" customWidth="1"/>
    <col min="6" max="6" width="17.109375" style="148" bestFit="1" customWidth="1"/>
    <col min="7" max="7" width="16" style="148" bestFit="1" customWidth="1"/>
    <col min="8" max="8" width="15.88671875" style="297" bestFit="1" customWidth="1"/>
    <col min="9" max="9" width="12.6640625" style="148" customWidth="1"/>
    <col min="10" max="10" width="15.77734375" style="148" customWidth="1"/>
    <col min="11" max="11" width="16.77734375" style="150" bestFit="1" customWidth="1"/>
    <col min="12" max="12" width="15.88671875" style="150" bestFit="1" customWidth="1"/>
    <col min="13" max="13" width="17.109375" style="150" bestFit="1" customWidth="1"/>
    <col min="14" max="14" width="106.88671875" style="150" customWidth="1"/>
    <col min="15" max="15" width="8.6640625" style="150" customWidth="1"/>
    <col min="16" max="16" width="16.77734375" style="148" bestFit="1" customWidth="1"/>
    <col min="17" max="18" width="13.109375" style="70" bestFit="1" customWidth="1"/>
    <col min="19" max="47" width="9.109375" style="70"/>
    <col min="48" max="49" width="9.109375" style="69"/>
    <col min="50" max="16384" width="9.109375" style="148"/>
  </cols>
  <sheetData>
    <row r="1" spans="1:42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</row>
    <row r="2" spans="1:42" s="10" customFormat="1" ht="28.5" customHeight="1" x14ac:dyDescent="0.3">
      <c r="A2" s="571" t="s">
        <v>1159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3"/>
    </row>
    <row r="3" spans="1:42" s="10" customFormat="1" ht="33.6" customHeight="1" x14ac:dyDescent="0.3">
      <c r="A3" s="83" t="s">
        <v>3</v>
      </c>
      <c r="B3" s="83" t="s">
        <v>0</v>
      </c>
      <c r="C3" s="83" t="s">
        <v>821</v>
      </c>
      <c r="D3" s="84" t="s">
        <v>1</v>
      </c>
      <c r="E3" s="84" t="s">
        <v>68</v>
      </c>
      <c r="F3" s="84" t="s">
        <v>69</v>
      </c>
      <c r="G3" s="85" t="s">
        <v>2</v>
      </c>
      <c r="H3" s="85" t="s">
        <v>592</v>
      </c>
      <c r="I3" s="84" t="s">
        <v>6</v>
      </c>
      <c r="J3" s="84" t="s">
        <v>7</v>
      </c>
      <c r="K3" s="84" t="s">
        <v>4</v>
      </c>
      <c r="L3" s="84" t="s">
        <v>5</v>
      </c>
      <c r="M3" s="84" t="s">
        <v>70</v>
      </c>
      <c r="N3" s="83" t="s">
        <v>59</v>
      </c>
      <c r="O3" s="86" t="s">
        <v>8</v>
      </c>
      <c r="P3" s="86" t="s">
        <v>10</v>
      </c>
    </row>
    <row r="4" spans="1:42" s="203" customFormat="1" ht="25.05" customHeight="1" x14ac:dyDescent="0.3">
      <c r="A4" s="283"/>
      <c r="B4" s="283"/>
      <c r="C4" s="283"/>
      <c r="D4" s="196">
        <v>0</v>
      </c>
      <c r="E4" s="289">
        <v>0</v>
      </c>
      <c r="F4" s="289">
        <f t="shared" ref="F4:F5" si="0">D4-E4</f>
        <v>0</v>
      </c>
      <c r="G4" s="196">
        <v>0</v>
      </c>
      <c r="H4" s="289">
        <v>0</v>
      </c>
      <c r="I4" s="289">
        <v>0</v>
      </c>
      <c r="J4" s="289">
        <v>0</v>
      </c>
      <c r="K4" s="285">
        <f>SUM(F4:J4)</f>
        <v>0</v>
      </c>
      <c r="L4" s="289">
        <f>60%*(D4+G4)</f>
        <v>0</v>
      </c>
      <c r="M4" s="289">
        <f>K4-L4</f>
        <v>0</v>
      </c>
      <c r="N4" s="283"/>
      <c r="O4" s="197"/>
      <c r="P4" s="197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1"/>
      <c r="AM4" s="202"/>
      <c r="AN4" s="202"/>
      <c r="AO4" s="202"/>
      <c r="AP4" s="202"/>
    </row>
    <row r="5" spans="1:42" s="206" customFormat="1" ht="25.05" customHeight="1" x14ac:dyDescent="0.3">
      <c r="A5" s="283"/>
      <c r="B5" s="283"/>
      <c r="C5" s="283"/>
      <c r="D5" s="196">
        <v>0</v>
      </c>
      <c r="E5" s="289">
        <v>0</v>
      </c>
      <c r="F5" s="196">
        <f t="shared" si="0"/>
        <v>0</v>
      </c>
      <c r="G5" s="289">
        <v>0</v>
      </c>
      <c r="H5" s="289">
        <v>0</v>
      </c>
      <c r="I5" s="289">
        <v>0</v>
      </c>
      <c r="J5" s="289">
        <v>0</v>
      </c>
      <c r="K5" s="285">
        <f>SUM(F5:J5)</f>
        <v>0</v>
      </c>
      <c r="L5" s="289">
        <f>60%*(D5+G5)</f>
        <v>0</v>
      </c>
      <c r="M5" s="289">
        <f>K5-L5</f>
        <v>0</v>
      </c>
      <c r="N5" s="283"/>
      <c r="O5" s="197"/>
      <c r="P5" s="197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</row>
    <row r="6" spans="1:42" s="10" customFormat="1" ht="25.05" customHeight="1" x14ac:dyDescent="0.3">
      <c r="A6" s="518" t="s">
        <v>4</v>
      </c>
      <c r="B6" s="518"/>
      <c r="C6" s="278"/>
      <c r="D6" s="280">
        <f t="shared" ref="D6:M6" si="1">SUM(D4:D5)</f>
        <v>0</v>
      </c>
      <c r="E6" s="280">
        <f t="shared" si="1"/>
        <v>0</v>
      </c>
      <c r="F6" s="280">
        <f t="shared" si="1"/>
        <v>0</v>
      </c>
      <c r="G6" s="280">
        <f t="shared" si="1"/>
        <v>0</v>
      </c>
      <c r="H6" s="285">
        <f t="shared" si="1"/>
        <v>0</v>
      </c>
      <c r="I6" s="280">
        <f t="shared" si="1"/>
        <v>0</v>
      </c>
      <c r="J6" s="280">
        <f t="shared" si="1"/>
        <v>0</v>
      </c>
      <c r="K6" s="280">
        <f t="shared" si="1"/>
        <v>0</v>
      </c>
      <c r="L6" s="280">
        <f t="shared" si="1"/>
        <v>0</v>
      </c>
      <c r="M6" s="280">
        <f t="shared" si="1"/>
        <v>0</v>
      </c>
      <c r="N6" s="281"/>
      <c r="O6" s="3"/>
      <c r="P6" s="3"/>
    </row>
    <row r="7" spans="1:42" s="10" customFormat="1" ht="25.05" customHeight="1" x14ac:dyDescent="0.3">
      <c r="A7" s="571" t="s">
        <v>1160</v>
      </c>
      <c r="B7" s="572"/>
      <c r="C7" s="572"/>
      <c r="D7" s="572"/>
      <c r="E7" s="572"/>
      <c r="F7" s="572"/>
      <c r="G7" s="572"/>
      <c r="H7" s="572"/>
      <c r="I7" s="572"/>
      <c r="J7" s="572"/>
      <c r="K7" s="572"/>
      <c r="L7" s="572"/>
      <c r="M7" s="572"/>
      <c r="N7" s="572"/>
      <c r="O7" s="572"/>
      <c r="P7" s="573"/>
    </row>
    <row r="8" spans="1:42" s="11" customFormat="1" ht="34.799999999999997" customHeight="1" x14ac:dyDescent="0.3">
      <c r="A8" s="83" t="s">
        <v>3</v>
      </c>
      <c r="B8" s="83" t="s">
        <v>0</v>
      </c>
      <c r="C8" s="83" t="s">
        <v>821</v>
      </c>
      <c r="D8" s="84" t="s">
        <v>1</v>
      </c>
      <c r="E8" s="84" t="s">
        <v>68</v>
      </c>
      <c r="F8" s="84" t="s">
        <v>69</v>
      </c>
      <c r="G8" s="85" t="s">
        <v>2</v>
      </c>
      <c r="H8" s="85" t="s">
        <v>592</v>
      </c>
      <c r="I8" s="84" t="s">
        <v>6</v>
      </c>
      <c r="J8" s="84" t="s">
        <v>7</v>
      </c>
      <c r="K8" s="84" t="s">
        <v>4</v>
      </c>
      <c r="L8" s="84" t="s">
        <v>5</v>
      </c>
      <c r="M8" s="84" t="s">
        <v>70</v>
      </c>
      <c r="N8" s="83" t="s">
        <v>59</v>
      </c>
      <c r="O8" s="86" t="s">
        <v>8</v>
      </c>
      <c r="P8" s="86" t="s">
        <v>10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</row>
    <row r="9" spans="1:42" s="292" customFormat="1" ht="25.05" customHeight="1" x14ac:dyDescent="0.3">
      <c r="A9" s="195" t="s">
        <v>1079</v>
      </c>
      <c r="B9" s="283">
        <v>1</v>
      </c>
      <c r="C9" s="283" t="s">
        <v>830</v>
      </c>
      <c r="D9" s="196">
        <f>'[2]GERAL 2025'!G3</f>
        <v>610</v>
      </c>
      <c r="E9" s="289">
        <v>0</v>
      </c>
      <c r="F9" s="289">
        <f t="shared" ref="F9:F25" si="2">D9-E9</f>
        <v>610</v>
      </c>
      <c r="G9" s="196">
        <v>50</v>
      </c>
      <c r="H9" s="289">
        <f>(1665.9/27)</f>
        <v>61.7</v>
      </c>
      <c r="I9" s="289">
        <f>'[2]GERAL 2025'!I3</f>
        <v>1.3720449172576832</v>
      </c>
      <c r="J9" s="289">
        <v>0</v>
      </c>
      <c r="K9" s="285">
        <f t="shared" ref="K9:K35" si="3">SUM(F9:J9)</f>
        <v>723.0720449172577</v>
      </c>
      <c r="L9" s="289">
        <f>7%*K9</f>
        <v>50.615043144208045</v>
      </c>
      <c r="M9" s="289">
        <f>K9-L9</f>
        <v>672.45700177304968</v>
      </c>
      <c r="N9" s="196" t="s">
        <v>1161</v>
      </c>
      <c r="O9" s="197">
        <v>10</v>
      </c>
      <c r="P9" s="197">
        <v>11</v>
      </c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</row>
    <row r="10" spans="1:42" s="203" customFormat="1" ht="24.6" customHeight="1" x14ac:dyDescent="0.3">
      <c r="A10" s="283" t="s">
        <v>1004</v>
      </c>
      <c r="B10" s="288">
        <v>2</v>
      </c>
      <c r="C10" s="283" t="s">
        <v>822</v>
      </c>
      <c r="D10" s="196">
        <f>'[2]GERAL 2024'!G41/31*1</f>
        <v>19.677419354838708</v>
      </c>
      <c r="E10" s="196">
        <v>0</v>
      </c>
      <c r="F10" s="196">
        <f t="shared" si="2"/>
        <v>19.677419354838708</v>
      </c>
      <c r="G10" s="196">
        <v>0</v>
      </c>
      <c r="H10" s="289">
        <f>(1665.9/27)/31*1</f>
        <v>1.9903225806451614</v>
      </c>
      <c r="I10" s="289">
        <f>'[2]GERAL 2025'!I4/31*1</f>
        <v>4.4259513459925265E-2</v>
      </c>
      <c r="J10" s="196">
        <v>0</v>
      </c>
      <c r="K10" s="285">
        <f t="shared" si="3"/>
        <v>21.712001448943795</v>
      </c>
      <c r="L10" s="289">
        <f>7%*K10</f>
        <v>1.5198401014260658</v>
      </c>
      <c r="M10" s="289">
        <f t="shared" ref="M10:M34" si="4">K10-L10</f>
        <v>20.192161347517729</v>
      </c>
      <c r="N10" s="283" t="s">
        <v>1162</v>
      </c>
      <c r="O10" s="197">
        <v>10</v>
      </c>
      <c r="P10" s="197">
        <v>11</v>
      </c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1"/>
      <c r="AM10" s="202"/>
      <c r="AN10" s="202"/>
      <c r="AO10" s="202"/>
      <c r="AP10" s="202"/>
    </row>
    <row r="11" spans="1:42" s="204" customFormat="1" ht="24.6" customHeight="1" x14ac:dyDescent="0.3">
      <c r="A11" s="283" t="s">
        <v>1005</v>
      </c>
      <c r="B11" s="288">
        <v>3</v>
      </c>
      <c r="C11" s="283" t="s">
        <v>822</v>
      </c>
      <c r="D11" s="196">
        <v>0</v>
      </c>
      <c r="E11" s="196">
        <v>0</v>
      </c>
      <c r="F11" s="196">
        <f t="shared" si="2"/>
        <v>0</v>
      </c>
      <c r="G11" s="196">
        <v>0</v>
      </c>
      <c r="H11" s="289">
        <v>0</v>
      </c>
      <c r="I11" s="289">
        <v>0</v>
      </c>
      <c r="J11" s="196">
        <v>0</v>
      </c>
      <c r="K11" s="285">
        <f t="shared" si="3"/>
        <v>0</v>
      </c>
      <c r="L11" s="289">
        <f>7%*K11</f>
        <v>0</v>
      </c>
      <c r="M11" s="289">
        <f>K11-L11</f>
        <v>0</v>
      </c>
      <c r="N11" s="283" t="s">
        <v>179</v>
      </c>
      <c r="O11" s="197">
        <v>10</v>
      </c>
      <c r="P11" s="197">
        <v>11</v>
      </c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</row>
    <row r="12" spans="1:42" s="292" customFormat="1" ht="24.6" customHeight="1" x14ac:dyDescent="0.3">
      <c r="A12" s="283" t="s">
        <v>1133</v>
      </c>
      <c r="B12" s="283">
        <v>4</v>
      </c>
      <c r="C12" s="283" t="s">
        <v>829</v>
      </c>
      <c r="D12" s="196">
        <f>660</f>
        <v>660</v>
      </c>
      <c r="E12" s="196">
        <v>0</v>
      </c>
      <c r="F12" s="196">
        <f t="shared" si="2"/>
        <v>660</v>
      </c>
      <c r="G12" s="289">
        <f>50</f>
        <v>50</v>
      </c>
      <c r="H12" s="289">
        <f t="shared" ref="H12:H35" si="5">(1665.9/27)</f>
        <v>61.7</v>
      </c>
      <c r="I12" s="289">
        <f>'[2]GERAL 2025'!I34</f>
        <v>1.3720449172576832</v>
      </c>
      <c r="J12" s="289">
        <v>0</v>
      </c>
      <c r="K12" s="285">
        <f t="shared" si="3"/>
        <v>773.0720449172577</v>
      </c>
      <c r="L12" s="289">
        <f>7%*K12</f>
        <v>54.115043144208045</v>
      </c>
      <c r="M12" s="289">
        <f t="shared" si="4"/>
        <v>718.95700177304968</v>
      </c>
      <c r="N12" s="283" t="s">
        <v>1163</v>
      </c>
      <c r="O12" s="197">
        <v>10</v>
      </c>
      <c r="P12" s="288">
        <v>11</v>
      </c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</row>
    <row r="13" spans="1:42" s="292" customFormat="1" ht="25.05" customHeight="1" x14ac:dyDescent="0.3">
      <c r="A13" s="283" t="s">
        <v>744</v>
      </c>
      <c r="B13" s="283">
        <v>5</v>
      </c>
      <c r="C13" s="283" t="s">
        <v>823</v>
      </c>
      <c r="D13" s="196">
        <f>'[2]GERAL 2023'!G7+(6.53784 %*580)</f>
        <v>617.91947200000004</v>
      </c>
      <c r="E13" s="289">
        <v>0</v>
      </c>
      <c r="F13" s="289">
        <f t="shared" si="2"/>
        <v>617.91947200000004</v>
      </c>
      <c r="G13" s="289">
        <f>50</f>
        <v>50</v>
      </c>
      <c r="H13" s="289">
        <f t="shared" si="5"/>
        <v>61.7</v>
      </c>
      <c r="I13" s="289">
        <f>'[2]GERAL 2025'!I7</f>
        <v>1.3720449172576832</v>
      </c>
      <c r="J13" s="289">
        <v>0</v>
      </c>
      <c r="K13" s="285">
        <f t="shared" si="3"/>
        <v>730.99151691725774</v>
      </c>
      <c r="L13" s="289">
        <f>7%*K13</f>
        <v>51.16940618420805</v>
      </c>
      <c r="M13" s="289">
        <f t="shared" si="4"/>
        <v>679.82211073304973</v>
      </c>
      <c r="N13" s="283" t="s">
        <v>1163</v>
      </c>
      <c r="O13" s="197">
        <v>10</v>
      </c>
      <c r="P13" s="197">
        <v>11</v>
      </c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</row>
    <row r="14" spans="1:42" s="206" customFormat="1" ht="24.6" customHeight="1" x14ac:dyDescent="0.3">
      <c r="A14" s="283" t="s">
        <v>745</v>
      </c>
      <c r="B14" s="283">
        <v>6</v>
      </c>
      <c r="C14" s="283" t="s">
        <v>823</v>
      </c>
      <c r="D14" s="196">
        <f>'[2]GERAL 2023'!G8+(6.53784%*680)</f>
        <v>724.457312</v>
      </c>
      <c r="E14" s="196">
        <v>0</v>
      </c>
      <c r="F14" s="289">
        <f t="shared" si="2"/>
        <v>724.457312</v>
      </c>
      <c r="G14" s="289">
        <v>50</v>
      </c>
      <c r="H14" s="289">
        <f t="shared" si="5"/>
        <v>61.7</v>
      </c>
      <c r="I14" s="289">
        <f>'[2]GERAL 2025'!I8</f>
        <v>1.9208628841607567</v>
      </c>
      <c r="J14" s="289">
        <v>0</v>
      </c>
      <c r="K14" s="285">
        <f t="shared" si="3"/>
        <v>838.07817488416083</v>
      </c>
      <c r="L14" s="289">
        <f t="shared" ref="L14:L35" si="6">7%*K14</f>
        <v>58.665472241891266</v>
      </c>
      <c r="M14" s="289">
        <f>K14-L14</f>
        <v>779.41270264226955</v>
      </c>
      <c r="N14" s="283" t="s">
        <v>1163</v>
      </c>
      <c r="O14" s="197">
        <v>10</v>
      </c>
      <c r="P14" s="197">
        <v>11</v>
      </c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</row>
    <row r="15" spans="1:42" s="292" customFormat="1" ht="24.6" customHeight="1" x14ac:dyDescent="0.3">
      <c r="A15" s="283" t="s">
        <v>1136</v>
      </c>
      <c r="B15" s="283">
        <v>7</v>
      </c>
      <c r="C15" s="283" t="s">
        <v>829</v>
      </c>
      <c r="D15" s="196">
        <v>0</v>
      </c>
      <c r="E15" s="289">
        <v>0</v>
      </c>
      <c r="F15" s="196">
        <f t="shared" si="2"/>
        <v>0</v>
      </c>
      <c r="G15" s="289">
        <v>0</v>
      </c>
      <c r="H15" s="289">
        <v>0</v>
      </c>
      <c r="I15" s="289">
        <v>0</v>
      </c>
      <c r="J15" s="289">
        <v>0</v>
      </c>
      <c r="K15" s="285">
        <f t="shared" si="3"/>
        <v>0</v>
      </c>
      <c r="L15" s="289">
        <f>7%*K15</f>
        <v>0</v>
      </c>
      <c r="M15" s="289">
        <f t="shared" si="4"/>
        <v>0</v>
      </c>
      <c r="N15" s="283"/>
      <c r="O15" s="197"/>
      <c r="P15" s="197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</row>
    <row r="16" spans="1:42" s="292" customFormat="1" ht="24.6" customHeight="1" x14ac:dyDescent="0.3">
      <c r="A16" s="283" t="s">
        <v>1085</v>
      </c>
      <c r="B16" s="283">
        <v>8</v>
      </c>
      <c r="C16" s="283" t="s">
        <v>830</v>
      </c>
      <c r="D16" s="196">
        <f>'[2]GERAL 2025'!G10</f>
        <v>640</v>
      </c>
      <c r="E16" s="289">
        <v>0</v>
      </c>
      <c r="F16" s="196">
        <f t="shared" si="2"/>
        <v>640</v>
      </c>
      <c r="G16" s="289">
        <v>0</v>
      </c>
      <c r="H16" s="289">
        <f t="shared" si="5"/>
        <v>61.7</v>
      </c>
      <c r="I16" s="289">
        <f>'[2]GERAL 2025'!I10</f>
        <v>1.3720449172576832</v>
      </c>
      <c r="J16" s="289">
        <v>0</v>
      </c>
      <c r="K16" s="285">
        <f t="shared" si="3"/>
        <v>703.0720449172577</v>
      </c>
      <c r="L16" s="289">
        <f>7%*K16</f>
        <v>49.215043144208046</v>
      </c>
      <c r="M16" s="289">
        <f>K16-L16</f>
        <v>653.85700177304966</v>
      </c>
      <c r="N16" s="196" t="s">
        <v>698</v>
      </c>
      <c r="O16" s="197">
        <v>10</v>
      </c>
      <c r="P16" s="197">
        <v>11</v>
      </c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</row>
    <row r="17" spans="1:47" s="292" customFormat="1" ht="24.6" customHeight="1" x14ac:dyDescent="0.3">
      <c r="A17" s="283" t="s">
        <v>852</v>
      </c>
      <c r="B17" s="283">
        <v>9</v>
      </c>
      <c r="C17" s="283" t="s">
        <v>828</v>
      </c>
      <c r="D17" s="196">
        <f>640+(5.59268%*640)</f>
        <v>675.79315199999996</v>
      </c>
      <c r="E17" s="289">
        <v>0</v>
      </c>
      <c r="F17" s="196">
        <f t="shared" si="2"/>
        <v>675.79315199999996</v>
      </c>
      <c r="G17" s="289">
        <v>0</v>
      </c>
      <c r="H17" s="289">
        <f t="shared" si="5"/>
        <v>61.7</v>
      </c>
      <c r="I17" s="289">
        <f>'[2]GERAL 2025'!I11</f>
        <v>1.3720449172576832</v>
      </c>
      <c r="J17" s="289">
        <v>0</v>
      </c>
      <c r="K17" s="285">
        <f t="shared" si="3"/>
        <v>738.86519691725766</v>
      </c>
      <c r="L17" s="289">
        <f>7%*K17</f>
        <v>51.720563784208039</v>
      </c>
      <c r="M17" s="289">
        <f>K17-L17</f>
        <v>687.14463313304964</v>
      </c>
      <c r="N17" s="283" t="s">
        <v>698</v>
      </c>
      <c r="O17" s="207">
        <v>10</v>
      </c>
      <c r="P17" s="197">
        <v>11</v>
      </c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</row>
    <row r="18" spans="1:47" s="148" customFormat="1" ht="25.05" customHeight="1" x14ac:dyDescent="0.3">
      <c r="A18" s="288" t="s">
        <v>739</v>
      </c>
      <c r="B18" s="288">
        <v>10</v>
      </c>
      <c r="C18" s="288" t="s">
        <v>825</v>
      </c>
      <c r="D18" s="196">
        <f>'[2]GERAL 2025'!G12</f>
        <v>550</v>
      </c>
      <c r="E18" s="289">
        <v>0</v>
      </c>
      <c r="F18" s="196">
        <f t="shared" si="2"/>
        <v>550</v>
      </c>
      <c r="G18" s="289">
        <v>25</v>
      </c>
      <c r="H18" s="289">
        <f t="shared" si="5"/>
        <v>61.7</v>
      </c>
      <c r="I18" s="289">
        <f>'[2]GERAL 2025'!I12</f>
        <v>1.3720449172576832</v>
      </c>
      <c r="J18" s="289">
        <v>0</v>
      </c>
      <c r="K18" s="285">
        <f t="shared" si="3"/>
        <v>638.0720449172577</v>
      </c>
      <c r="L18" s="289">
        <f t="shared" si="6"/>
        <v>44.665043144208042</v>
      </c>
      <c r="M18" s="289">
        <f t="shared" si="4"/>
        <v>593.40700177304961</v>
      </c>
      <c r="N18" s="196" t="s">
        <v>1164</v>
      </c>
      <c r="O18" s="197">
        <v>10</v>
      </c>
      <c r="P18" s="288">
        <v>11</v>
      </c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  <c r="AI18" s="208"/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  <c r="AT18" s="208"/>
      <c r="AU18" s="208"/>
    </row>
    <row r="19" spans="1:47" s="148" customFormat="1" ht="24.6" customHeight="1" x14ac:dyDescent="0.3">
      <c r="A19" s="288" t="s">
        <v>965</v>
      </c>
      <c r="B19" s="288">
        <v>11</v>
      </c>
      <c r="C19" s="203" t="s">
        <v>827</v>
      </c>
      <c r="D19" s="289">
        <f>661.88/31*26</f>
        <v>555.12516129032258</v>
      </c>
      <c r="E19" s="289">
        <v>0</v>
      </c>
      <c r="F19" s="196">
        <f t="shared" si="2"/>
        <v>555.12516129032258</v>
      </c>
      <c r="G19" s="289">
        <v>0</v>
      </c>
      <c r="H19" s="289">
        <f>(1665.9/27)/31*26</f>
        <v>51.748387096774195</v>
      </c>
      <c r="I19" s="289">
        <f>'[2]GERAL 2025'!I13/31*26</f>
        <v>1.1507473499580569</v>
      </c>
      <c r="J19" s="289">
        <v>0</v>
      </c>
      <c r="K19" s="285">
        <f t="shared" si="3"/>
        <v>608.02429573705479</v>
      </c>
      <c r="L19" s="289">
        <f>7%*K19</f>
        <v>42.561700701593836</v>
      </c>
      <c r="M19" s="289">
        <f t="shared" si="4"/>
        <v>565.46259503546094</v>
      </c>
      <c r="N19" s="283" t="s">
        <v>1165</v>
      </c>
      <c r="O19" s="197">
        <v>10</v>
      </c>
      <c r="P19" s="288">
        <v>11</v>
      </c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8"/>
      <c r="AR19" s="208"/>
      <c r="AS19" s="208"/>
      <c r="AT19" s="208"/>
      <c r="AU19" s="208"/>
    </row>
    <row r="20" spans="1:47" s="292" customFormat="1" ht="25.05" customHeight="1" x14ac:dyDescent="0.3">
      <c r="A20" s="283" t="s">
        <v>1087</v>
      </c>
      <c r="B20" s="283">
        <v>12</v>
      </c>
      <c r="C20" s="283" t="s">
        <v>830</v>
      </c>
      <c r="D20" s="196">
        <f>'[2]GERAL 2025'!G14</f>
        <v>610</v>
      </c>
      <c r="E20" s="289">
        <v>0</v>
      </c>
      <c r="F20" s="196">
        <f t="shared" si="2"/>
        <v>610</v>
      </c>
      <c r="G20" s="196">
        <v>50</v>
      </c>
      <c r="H20" s="289">
        <f t="shared" si="5"/>
        <v>61.7</v>
      </c>
      <c r="I20" s="289">
        <f>'[2]GERAL 2025'!I14</f>
        <v>1.3720449172576832</v>
      </c>
      <c r="J20" s="196">
        <v>0</v>
      </c>
      <c r="K20" s="285">
        <f t="shared" si="3"/>
        <v>723.0720449172577</v>
      </c>
      <c r="L20" s="289">
        <f t="shared" si="6"/>
        <v>50.615043144208045</v>
      </c>
      <c r="M20" s="289">
        <f t="shared" si="4"/>
        <v>672.45700177304968</v>
      </c>
      <c r="N20" s="196" t="s">
        <v>1163</v>
      </c>
      <c r="O20" s="197">
        <v>10</v>
      </c>
      <c r="P20" s="197">
        <v>11</v>
      </c>
      <c r="Q20" s="198"/>
      <c r="R20" s="198"/>
      <c r="S20" s="198"/>
      <c r="T20" s="198"/>
      <c r="U20" s="198"/>
      <c r="V20" s="198"/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</row>
    <row r="21" spans="1:47" s="206" customFormat="1" ht="25.05" customHeight="1" x14ac:dyDescent="0.3">
      <c r="A21" s="283" t="s">
        <v>756</v>
      </c>
      <c r="B21" s="283">
        <v>13</v>
      </c>
      <c r="C21" s="293" t="s">
        <v>827</v>
      </c>
      <c r="D21" s="196">
        <v>596.77</v>
      </c>
      <c r="E21" s="196">
        <v>0</v>
      </c>
      <c r="F21" s="196">
        <f t="shared" si="2"/>
        <v>596.77</v>
      </c>
      <c r="G21" s="289">
        <v>0</v>
      </c>
      <c r="H21" s="289">
        <f t="shared" si="5"/>
        <v>61.7</v>
      </c>
      <c r="I21" s="289">
        <f>'[2]GERAL 2025'!I15</f>
        <v>1.3720449172576832</v>
      </c>
      <c r="J21" s="289">
        <v>132.38999999999999</v>
      </c>
      <c r="K21" s="285">
        <f t="shared" si="3"/>
        <v>792.23204491725767</v>
      </c>
      <c r="L21" s="289">
        <f t="shared" si="6"/>
        <v>55.456243144208045</v>
      </c>
      <c r="M21" s="289">
        <f t="shared" si="4"/>
        <v>736.77580177304958</v>
      </c>
      <c r="N21" s="283" t="s">
        <v>1166</v>
      </c>
      <c r="O21" s="197">
        <v>10</v>
      </c>
      <c r="P21" s="197">
        <v>11</v>
      </c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</row>
    <row r="22" spans="1:47" s="148" customFormat="1" ht="24.6" customHeight="1" x14ac:dyDescent="0.3">
      <c r="A22" s="197" t="s">
        <v>977</v>
      </c>
      <c r="B22" s="288">
        <v>14</v>
      </c>
      <c r="C22" s="293" t="s">
        <v>827</v>
      </c>
      <c r="D22" s="196">
        <v>657.82</v>
      </c>
      <c r="E22" s="289">
        <v>0</v>
      </c>
      <c r="F22" s="196">
        <f t="shared" si="2"/>
        <v>657.82</v>
      </c>
      <c r="G22" s="289">
        <v>54.25</v>
      </c>
      <c r="H22" s="289">
        <f t="shared" si="5"/>
        <v>61.7</v>
      </c>
      <c r="I22" s="289">
        <f>'[2]GERAL 2025'!I16</f>
        <v>1.3720449172576832</v>
      </c>
      <c r="J22" s="289">
        <v>134.26</v>
      </c>
      <c r="K22" s="285">
        <f t="shared" si="3"/>
        <v>909.40204491725774</v>
      </c>
      <c r="L22" s="289">
        <f t="shared" si="6"/>
        <v>63.658143144208047</v>
      </c>
      <c r="M22" s="289">
        <f t="shared" si="4"/>
        <v>845.74390177304974</v>
      </c>
      <c r="N22" s="283" t="s">
        <v>1167</v>
      </c>
      <c r="O22" s="197">
        <v>10</v>
      </c>
      <c r="P22" s="288">
        <v>11</v>
      </c>
      <c r="Q22" s="208"/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  <c r="AD22" s="208"/>
      <c r="AE22" s="208"/>
      <c r="AF22" s="208"/>
      <c r="AG22" s="208"/>
      <c r="AH22" s="208"/>
      <c r="AI22" s="208"/>
      <c r="AJ22" s="208"/>
      <c r="AK22" s="208"/>
      <c r="AL22" s="208"/>
      <c r="AM22" s="208"/>
      <c r="AN22" s="208"/>
      <c r="AO22" s="208"/>
      <c r="AP22" s="208"/>
      <c r="AQ22" s="208"/>
      <c r="AR22" s="208"/>
      <c r="AS22" s="208"/>
      <c r="AT22" s="208"/>
      <c r="AU22" s="208"/>
    </row>
    <row r="23" spans="1:47" s="204" customFormat="1" ht="24.6" customHeight="1" x14ac:dyDescent="0.3">
      <c r="A23" s="283" t="s">
        <v>748</v>
      </c>
      <c r="B23" s="283">
        <v>15</v>
      </c>
      <c r="C23" s="293" t="s">
        <v>827</v>
      </c>
      <c r="D23" s="196">
        <v>737.83</v>
      </c>
      <c r="E23" s="289">
        <v>0</v>
      </c>
      <c r="F23" s="196">
        <f t="shared" si="2"/>
        <v>737.83</v>
      </c>
      <c r="G23" s="289">
        <v>27.13</v>
      </c>
      <c r="H23" s="289">
        <f t="shared" si="5"/>
        <v>61.7</v>
      </c>
      <c r="I23" s="289">
        <f>'[2]GERAL 2025'!I17</f>
        <v>1.9208628841607567</v>
      </c>
      <c r="J23" s="289">
        <v>133.71</v>
      </c>
      <c r="K23" s="285">
        <f t="shared" si="3"/>
        <v>962.2908628841609</v>
      </c>
      <c r="L23" s="289">
        <f t="shared" si="6"/>
        <v>67.36036040189127</v>
      </c>
      <c r="M23" s="289">
        <f t="shared" si="4"/>
        <v>894.93050248226962</v>
      </c>
      <c r="N23" s="283" t="s">
        <v>1168</v>
      </c>
      <c r="O23" s="197">
        <v>10</v>
      </c>
      <c r="P23" s="288">
        <v>11</v>
      </c>
      <c r="Q23" s="200"/>
      <c r="R23" s="200"/>
      <c r="S23" s="200"/>
      <c r="T23" s="200"/>
      <c r="U23" s="200"/>
      <c r="V23" s="200"/>
      <c r="W23" s="200"/>
      <c r="X23" s="200"/>
      <c r="Y23" s="200"/>
    </row>
    <row r="24" spans="1:47" s="206" customFormat="1" ht="24.6" customHeight="1" x14ac:dyDescent="0.3">
      <c r="A24" s="197"/>
      <c r="B24" s="197">
        <v>16</v>
      </c>
      <c r="C24" s="283"/>
      <c r="D24" s="196">
        <v>0</v>
      </c>
      <c r="E24" s="289">
        <v>0</v>
      </c>
      <c r="F24" s="196">
        <f>D24-E24</f>
        <v>0</v>
      </c>
      <c r="G24" s="289">
        <v>0</v>
      </c>
      <c r="H24" s="289">
        <v>0</v>
      </c>
      <c r="I24" s="289">
        <v>0</v>
      </c>
      <c r="J24" s="289">
        <v>0</v>
      </c>
      <c r="K24" s="285">
        <f t="shared" si="3"/>
        <v>0</v>
      </c>
      <c r="L24" s="289">
        <f t="shared" si="6"/>
        <v>0</v>
      </c>
      <c r="M24" s="289">
        <f>K24-L24</f>
        <v>0</v>
      </c>
      <c r="N24" s="283" t="s">
        <v>525</v>
      </c>
      <c r="O24" s="197">
        <v>10</v>
      </c>
      <c r="P24" s="197">
        <v>11</v>
      </c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  <c r="AP24" s="205"/>
    </row>
    <row r="25" spans="1:47" s="206" customFormat="1" ht="24.6" customHeight="1" x14ac:dyDescent="0.3">
      <c r="A25" s="195" t="s">
        <v>1029</v>
      </c>
      <c r="B25" s="195">
        <v>17</v>
      </c>
      <c r="C25" s="195" t="s">
        <v>824</v>
      </c>
      <c r="D25" s="196">
        <f>'[2]GERAL 2024'!G45</f>
        <v>610</v>
      </c>
      <c r="E25" s="289">
        <v>0</v>
      </c>
      <c r="F25" s="196">
        <f t="shared" si="2"/>
        <v>610</v>
      </c>
      <c r="G25" s="289">
        <v>50</v>
      </c>
      <c r="H25" s="289">
        <f t="shared" si="5"/>
        <v>61.7</v>
      </c>
      <c r="I25" s="289">
        <f>'[2]GERAL 2025'!I19</f>
        <v>1.3720449172576832</v>
      </c>
      <c r="J25" s="289">
        <v>0</v>
      </c>
      <c r="K25" s="285">
        <f t="shared" si="3"/>
        <v>723.0720449172577</v>
      </c>
      <c r="L25" s="289">
        <f>7%*K25</f>
        <v>50.615043144208045</v>
      </c>
      <c r="M25" s="289">
        <f>K25-L25</f>
        <v>672.45700177304968</v>
      </c>
      <c r="N25" s="283" t="s">
        <v>1163</v>
      </c>
      <c r="O25" s="197">
        <v>10</v>
      </c>
      <c r="P25" s="197">
        <v>11</v>
      </c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</row>
    <row r="26" spans="1:47" s="206" customFormat="1" ht="24.6" customHeight="1" x14ac:dyDescent="0.3">
      <c r="A26" s="195" t="s">
        <v>1030</v>
      </c>
      <c r="B26" s="283">
        <v>18</v>
      </c>
      <c r="C26" s="195" t="s">
        <v>824</v>
      </c>
      <c r="D26" s="196">
        <f>'[2]GERAL 2024'!G46</f>
        <v>640</v>
      </c>
      <c r="E26" s="289">
        <v>0</v>
      </c>
      <c r="F26" s="196">
        <f>D26-E26</f>
        <v>640</v>
      </c>
      <c r="G26" s="289">
        <v>0</v>
      </c>
      <c r="H26" s="289">
        <f t="shared" si="5"/>
        <v>61.7</v>
      </c>
      <c r="I26" s="289">
        <f>'[2]GERAL 2025'!I20</f>
        <v>1.3720449172576832</v>
      </c>
      <c r="J26" s="289">
        <v>0</v>
      </c>
      <c r="K26" s="285">
        <f t="shared" si="3"/>
        <v>703.0720449172577</v>
      </c>
      <c r="L26" s="289">
        <f t="shared" si="6"/>
        <v>49.215043144208046</v>
      </c>
      <c r="M26" s="289">
        <f t="shared" si="4"/>
        <v>653.85700177304966</v>
      </c>
      <c r="N26" s="283" t="s">
        <v>698</v>
      </c>
      <c r="O26" s="197">
        <v>10</v>
      </c>
      <c r="P26" s="197">
        <v>11</v>
      </c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</row>
    <row r="27" spans="1:47" s="206" customFormat="1" ht="25.05" customHeight="1" x14ac:dyDescent="0.3">
      <c r="A27" s="283" t="s">
        <v>1012</v>
      </c>
      <c r="B27" s="283">
        <v>19</v>
      </c>
      <c r="C27" s="283" t="s">
        <v>822</v>
      </c>
      <c r="D27" s="196">
        <f>'[2]GERAL 2024'!G44</f>
        <v>580</v>
      </c>
      <c r="E27" s="289">
        <v>0</v>
      </c>
      <c r="F27" s="196">
        <f>(D27-E27)</f>
        <v>580</v>
      </c>
      <c r="G27" s="289">
        <v>50</v>
      </c>
      <c r="H27" s="289">
        <f t="shared" si="5"/>
        <v>61.7</v>
      </c>
      <c r="I27" s="289">
        <f>'[2]GERAL 2025'!I21</f>
        <v>1.3720449172576832</v>
      </c>
      <c r="J27" s="289">
        <v>0</v>
      </c>
      <c r="K27" s="285">
        <f t="shared" si="3"/>
        <v>693.0720449172577</v>
      </c>
      <c r="L27" s="289">
        <f t="shared" si="6"/>
        <v>48.515043144208043</v>
      </c>
      <c r="M27" s="289">
        <f t="shared" si="4"/>
        <v>644.55700177304971</v>
      </c>
      <c r="N27" s="283" t="s">
        <v>1163</v>
      </c>
      <c r="O27" s="207">
        <v>10</v>
      </c>
      <c r="P27" s="197">
        <v>11</v>
      </c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</row>
    <row r="28" spans="1:47" s="206" customFormat="1" ht="24" customHeight="1" x14ac:dyDescent="0.3">
      <c r="A28" s="195"/>
      <c r="B28" s="283">
        <v>20</v>
      </c>
      <c r="C28" s="283"/>
      <c r="D28" s="196">
        <v>0</v>
      </c>
      <c r="E28" s="289">
        <v>0</v>
      </c>
      <c r="F28" s="196">
        <f t="shared" ref="F28:F35" si="7">D28-E28</f>
        <v>0</v>
      </c>
      <c r="G28" s="289">
        <v>0</v>
      </c>
      <c r="H28" s="289">
        <v>0</v>
      </c>
      <c r="I28" s="289">
        <v>0</v>
      </c>
      <c r="J28" s="289">
        <v>0</v>
      </c>
      <c r="K28" s="285">
        <f t="shared" si="3"/>
        <v>0</v>
      </c>
      <c r="L28" s="289">
        <f t="shared" si="6"/>
        <v>0</v>
      </c>
      <c r="M28" s="289">
        <f t="shared" si="4"/>
        <v>0</v>
      </c>
      <c r="N28" s="283" t="s">
        <v>525</v>
      </c>
      <c r="O28" s="207">
        <v>10</v>
      </c>
      <c r="P28" s="197">
        <v>11</v>
      </c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</row>
    <row r="29" spans="1:47" s="206" customFormat="1" ht="24.6" customHeight="1" x14ac:dyDescent="0.3">
      <c r="A29" s="195" t="s">
        <v>788</v>
      </c>
      <c r="B29" s="283">
        <v>21</v>
      </c>
      <c r="C29" s="283" t="s">
        <v>822</v>
      </c>
      <c r="D29" s="196">
        <f>'[2]GERAL 2023'!G39+(2.45026%*580)</f>
        <v>594.21150799999998</v>
      </c>
      <c r="E29" s="289">
        <v>0</v>
      </c>
      <c r="F29" s="196">
        <f t="shared" si="7"/>
        <v>594.21150799999998</v>
      </c>
      <c r="G29" s="289">
        <v>25</v>
      </c>
      <c r="H29" s="289">
        <f t="shared" si="5"/>
        <v>61.7</v>
      </c>
      <c r="I29" s="289">
        <f>'[2]GERAL 2025'!I23</f>
        <v>1.3720449172576832</v>
      </c>
      <c r="J29" s="289">
        <v>0</v>
      </c>
      <c r="K29" s="285">
        <f t="shared" si="3"/>
        <v>682.28355291725768</v>
      </c>
      <c r="L29" s="289">
        <f t="shared" si="6"/>
        <v>47.759848704208039</v>
      </c>
      <c r="M29" s="289">
        <f t="shared" si="4"/>
        <v>634.52370421304965</v>
      </c>
      <c r="N29" s="283" t="s">
        <v>1164</v>
      </c>
      <c r="O29" s="207">
        <v>10</v>
      </c>
      <c r="P29" s="197">
        <v>11</v>
      </c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</row>
    <row r="30" spans="1:47" s="206" customFormat="1" ht="25.05" customHeight="1" x14ac:dyDescent="0.3">
      <c r="A30" s="195" t="s">
        <v>950</v>
      </c>
      <c r="B30" s="283">
        <v>22</v>
      </c>
      <c r="C30" s="283" t="s">
        <v>951</v>
      </c>
      <c r="D30" s="196">
        <v>662.35</v>
      </c>
      <c r="E30" s="289">
        <v>0</v>
      </c>
      <c r="F30" s="196">
        <f t="shared" si="7"/>
        <v>662.35</v>
      </c>
      <c r="G30" s="289">
        <v>0</v>
      </c>
      <c r="H30" s="289">
        <f t="shared" si="5"/>
        <v>61.7</v>
      </c>
      <c r="I30" s="289">
        <f>'[2]GERAL 2025'!I24</f>
        <v>1.3720449172576832</v>
      </c>
      <c r="J30" s="289">
        <v>0</v>
      </c>
      <c r="K30" s="285">
        <f t="shared" si="3"/>
        <v>725.42204491725772</v>
      </c>
      <c r="L30" s="289">
        <f>7%*K30</f>
        <v>50.779543144208048</v>
      </c>
      <c r="M30" s="289">
        <f>K30-L30</f>
        <v>674.64250177304962</v>
      </c>
      <c r="N30" s="283" t="s">
        <v>698</v>
      </c>
      <c r="O30" s="207">
        <v>10</v>
      </c>
      <c r="P30" s="197">
        <v>11</v>
      </c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</row>
    <row r="31" spans="1:47" s="206" customFormat="1" ht="24.6" customHeight="1" x14ac:dyDescent="0.3">
      <c r="A31" s="227" t="s">
        <v>1169</v>
      </c>
      <c r="B31" s="283">
        <v>23</v>
      </c>
      <c r="C31" s="293" t="s">
        <v>827</v>
      </c>
      <c r="D31" s="196">
        <f>660/31*9</f>
        <v>191.61290322580643</v>
      </c>
      <c r="E31" s="289">
        <v>0</v>
      </c>
      <c r="F31" s="196">
        <f t="shared" si="7"/>
        <v>191.61290322580643</v>
      </c>
      <c r="G31" s="289">
        <f>(50+25)/31*9</f>
        <v>21.774193548387096</v>
      </c>
      <c r="H31" s="289">
        <f>(1665.9/27)/31*9</f>
        <v>17.912903225806453</v>
      </c>
      <c r="I31" s="289">
        <f>'[2]GERAL 2025'!I37/31*9</f>
        <v>0.39833562113932741</v>
      </c>
      <c r="J31" s="289">
        <v>133.82</v>
      </c>
      <c r="K31" s="285">
        <f t="shared" si="3"/>
        <v>365.51833562113927</v>
      </c>
      <c r="L31" s="289">
        <f>7%*K31</f>
        <v>25.586283493479751</v>
      </c>
      <c r="M31" s="289">
        <f>K31-L31</f>
        <v>339.93205212765952</v>
      </c>
      <c r="N31" s="283" t="s">
        <v>1170</v>
      </c>
      <c r="O31" s="207">
        <v>10</v>
      </c>
      <c r="P31" s="197">
        <v>11</v>
      </c>
      <c r="Q31" s="205"/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  <c r="AC31" s="205"/>
      <c r="AD31" s="205"/>
      <c r="AE31" s="205"/>
      <c r="AF31" s="205"/>
      <c r="AG31" s="205"/>
      <c r="AH31" s="205"/>
      <c r="AI31" s="205"/>
      <c r="AJ31" s="205"/>
      <c r="AK31" s="205"/>
      <c r="AL31" s="205"/>
      <c r="AM31" s="205"/>
      <c r="AN31" s="205"/>
      <c r="AO31" s="205"/>
      <c r="AP31" s="205"/>
    </row>
    <row r="32" spans="1:47" s="204" customFormat="1" ht="25.05" customHeight="1" x14ac:dyDescent="0.3">
      <c r="A32" s="293" t="s">
        <v>1171</v>
      </c>
      <c r="B32" s="283">
        <v>24</v>
      </c>
      <c r="C32" s="293" t="s">
        <v>827</v>
      </c>
      <c r="D32" s="196">
        <f>740</f>
        <v>740</v>
      </c>
      <c r="E32" s="289">
        <v>0</v>
      </c>
      <c r="F32" s="196">
        <f>D32-E32</f>
        <v>740</v>
      </c>
      <c r="G32" s="289">
        <f>50</f>
        <v>50</v>
      </c>
      <c r="H32" s="289">
        <f t="shared" si="5"/>
        <v>61.7</v>
      </c>
      <c r="I32" s="289">
        <f>'[2]GERAL 2025'!I36</f>
        <v>1.9208628841607567</v>
      </c>
      <c r="J32" s="289">
        <v>134.86000000000001</v>
      </c>
      <c r="K32" s="285">
        <f t="shared" si="3"/>
        <v>988.48086288416084</v>
      </c>
      <c r="L32" s="289">
        <f>7%*K32</f>
        <v>69.193660401891265</v>
      </c>
      <c r="M32" s="289">
        <f t="shared" si="4"/>
        <v>919.28720248226955</v>
      </c>
      <c r="N32" s="283" t="s">
        <v>1167</v>
      </c>
      <c r="O32" s="207">
        <v>10</v>
      </c>
      <c r="P32" s="197">
        <v>11</v>
      </c>
      <c r="Q32" s="200"/>
      <c r="R32" s="200"/>
      <c r="S32" s="200"/>
      <c r="T32" s="200"/>
      <c r="U32" s="200"/>
      <c r="V32" s="200"/>
      <c r="W32" s="200"/>
      <c r="X32" s="200"/>
      <c r="Y32" s="200"/>
    </row>
    <row r="33" spans="1:42" s="204" customFormat="1" ht="25.05" customHeight="1" x14ac:dyDescent="0.3">
      <c r="A33" s="206" t="s">
        <v>1007</v>
      </c>
      <c r="B33" s="283">
        <v>25</v>
      </c>
      <c r="C33" s="283" t="s">
        <v>822</v>
      </c>
      <c r="D33" s="196">
        <f>640</f>
        <v>640</v>
      </c>
      <c r="E33" s="289">
        <v>0</v>
      </c>
      <c r="F33" s="196">
        <f t="shared" si="7"/>
        <v>640</v>
      </c>
      <c r="G33" s="289">
        <f>25</f>
        <v>25</v>
      </c>
      <c r="H33" s="289">
        <f t="shared" si="5"/>
        <v>61.7</v>
      </c>
      <c r="I33" s="289">
        <f>'[2]GERAL 2025'!I27</f>
        <v>1.3720449172576832</v>
      </c>
      <c r="J33" s="289">
        <v>0</v>
      </c>
      <c r="K33" s="285">
        <f t="shared" si="3"/>
        <v>728.0720449172577</v>
      </c>
      <c r="L33" s="289">
        <f t="shared" si="6"/>
        <v>50.965043144208046</v>
      </c>
      <c r="M33" s="289">
        <f t="shared" si="4"/>
        <v>677.10700177304966</v>
      </c>
      <c r="N33" s="283" t="s">
        <v>1164</v>
      </c>
      <c r="O33" s="207">
        <v>10</v>
      </c>
      <c r="P33" s="197">
        <v>11</v>
      </c>
      <c r="Q33" s="200"/>
      <c r="R33" s="200"/>
      <c r="S33" s="200"/>
      <c r="T33" s="200"/>
      <c r="U33" s="200"/>
      <c r="V33" s="200"/>
      <c r="W33" s="200"/>
      <c r="X33" s="200"/>
      <c r="Y33" s="200"/>
    </row>
    <row r="34" spans="1:42" s="206" customFormat="1" ht="24.6" customHeight="1" x14ac:dyDescent="0.3">
      <c r="A34" s="195" t="s">
        <v>751</v>
      </c>
      <c r="B34" s="283">
        <v>26</v>
      </c>
      <c r="C34" s="293" t="s">
        <v>827</v>
      </c>
      <c r="D34" s="196">
        <v>607.62</v>
      </c>
      <c r="E34" s="289">
        <v>0</v>
      </c>
      <c r="F34" s="196">
        <f t="shared" si="7"/>
        <v>607.62</v>
      </c>
      <c r="G34" s="289">
        <v>27.13</v>
      </c>
      <c r="H34" s="289">
        <f t="shared" si="5"/>
        <v>61.7</v>
      </c>
      <c r="I34" s="289">
        <f>'[2]GERAL 2025'!I28</f>
        <v>1.3720449172576832</v>
      </c>
      <c r="J34" s="289">
        <v>132.51</v>
      </c>
      <c r="K34" s="285">
        <f t="shared" si="3"/>
        <v>830.33204491725769</v>
      </c>
      <c r="L34" s="289">
        <f t="shared" si="6"/>
        <v>58.123243144208047</v>
      </c>
      <c r="M34" s="289">
        <f t="shared" si="4"/>
        <v>772.20880177304969</v>
      </c>
      <c r="N34" s="283" t="s">
        <v>1172</v>
      </c>
      <c r="O34" s="197">
        <v>10</v>
      </c>
      <c r="P34" s="197">
        <v>11</v>
      </c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</row>
    <row r="35" spans="1:42" s="206" customFormat="1" ht="25.05" customHeight="1" x14ac:dyDescent="0.3">
      <c r="A35" s="195" t="s">
        <v>752</v>
      </c>
      <c r="B35" s="283">
        <v>27</v>
      </c>
      <c r="C35" s="231" t="s">
        <v>827</v>
      </c>
      <c r="D35" s="217">
        <v>629.32000000000005</v>
      </c>
      <c r="E35" s="210">
        <v>0</v>
      </c>
      <c r="F35" s="196">
        <f t="shared" si="7"/>
        <v>629.32000000000005</v>
      </c>
      <c r="G35" s="210">
        <v>0</v>
      </c>
      <c r="H35" s="289">
        <f t="shared" si="5"/>
        <v>61.7</v>
      </c>
      <c r="I35" s="210">
        <f>'[2]GERAL 2025'!I29</f>
        <v>1.3720449172576832</v>
      </c>
      <c r="J35" s="210">
        <v>132.78</v>
      </c>
      <c r="K35" s="285">
        <f t="shared" si="3"/>
        <v>825.17204491725772</v>
      </c>
      <c r="L35" s="289">
        <f t="shared" si="6"/>
        <v>57.762043144208043</v>
      </c>
      <c r="M35" s="289">
        <f>K35-L35</f>
        <v>767.41000177304966</v>
      </c>
      <c r="N35" s="283" t="s">
        <v>1166</v>
      </c>
      <c r="O35" s="197">
        <v>10</v>
      </c>
      <c r="P35" s="197">
        <v>11</v>
      </c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</row>
    <row r="36" spans="1:42" s="206" customFormat="1" ht="25.05" customHeight="1" x14ac:dyDescent="0.3">
      <c r="A36" s="584" t="s">
        <v>4</v>
      </c>
      <c r="B36" s="584"/>
      <c r="C36" s="293"/>
      <c r="D36" s="285">
        <f>SUM(D9:D35)</f>
        <v>13550.506927870969</v>
      </c>
      <c r="E36" s="285">
        <f t="shared" ref="E36:M36" si="8">SUM(E9:E35)</f>
        <v>0</v>
      </c>
      <c r="F36" s="285">
        <f t="shared" si="8"/>
        <v>13550.506927870969</v>
      </c>
      <c r="G36" s="285">
        <f t="shared" si="8"/>
        <v>605.28419354838707</v>
      </c>
      <c r="H36" s="285">
        <f>SUM(H9:H35)</f>
        <v>1305.6516129032264</v>
      </c>
      <c r="I36" s="285">
        <f>SUM(I9:I35)</f>
        <v>30.680694730420186</v>
      </c>
      <c r="J36" s="285">
        <f>SUM(J9:J35)</f>
        <v>934.33</v>
      </c>
      <c r="K36" s="285">
        <f>SUM(K9:K35)</f>
        <v>16426.453429053003</v>
      </c>
      <c r="L36" s="285">
        <f t="shared" si="8"/>
        <v>1149.8517400337103</v>
      </c>
      <c r="M36" s="285">
        <f t="shared" si="8"/>
        <v>15276.601689019286</v>
      </c>
      <c r="N36" s="283"/>
      <c r="O36" s="197"/>
      <c r="P36" s="197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</row>
    <row r="37" spans="1:42" s="11" customFormat="1" ht="28.5" customHeight="1" x14ac:dyDescent="0.3">
      <c r="A37" s="521" t="s">
        <v>1173</v>
      </c>
      <c r="B37" s="521"/>
      <c r="C37" s="521"/>
      <c r="D37" s="521"/>
      <c r="E37" s="521"/>
      <c r="F37" s="521"/>
      <c r="G37" s="521"/>
      <c r="H37" s="521"/>
      <c r="I37" s="521"/>
      <c r="J37" s="521"/>
      <c r="K37" s="521"/>
      <c r="L37" s="521"/>
      <c r="M37" s="521"/>
      <c r="N37" s="521"/>
      <c r="O37" s="521"/>
      <c r="P37" s="521"/>
      <c r="Q37" s="10"/>
      <c r="R37" s="10"/>
      <c r="S37" s="10"/>
      <c r="T37" s="10"/>
      <c r="U37" s="10"/>
      <c r="V37" s="10"/>
      <c r="W37" s="10"/>
      <c r="X37" s="10"/>
      <c r="Y37" s="10"/>
    </row>
    <row r="38" spans="1:42" s="11" customFormat="1" ht="27.6" customHeight="1" x14ac:dyDescent="0.3">
      <c r="A38" s="279" t="s">
        <v>3</v>
      </c>
      <c r="B38" s="279" t="s">
        <v>0</v>
      </c>
      <c r="C38" s="279" t="s">
        <v>821</v>
      </c>
      <c r="D38" s="282" t="s">
        <v>174</v>
      </c>
      <c r="E38" s="555" t="s">
        <v>175</v>
      </c>
      <c r="F38" s="556"/>
      <c r="G38" s="556"/>
      <c r="H38" s="556"/>
      <c r="I38" s="556"/>
      <c r="J38" s="557"/>
      <c r="K38" s="282" t="s">
        <v>4</v>
      </c>
      <c r="L38" s="282" t="s">
        <v>5</v>
      </c>
      <c r="M38" s="282" t="s">
        <v>70</v>
      </c>
      <c r="N38" s="279" t="s">
        <v>59</v>
      </c>
      <c r="O38" s="130" t="s">
        <v>8</v>
      </c>
      <c r="P38" s="130" t="s">
        <v>10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42" s="206" customFormat="1" ht="27.6" customHeight="1" x14ac:dyDescent="0.3">
      <c r="A39" s="283" t="s">
        <v>1004</v>
      </c>
      <c r="B39" s="288">
        <v>2</v>
      </c>
      <c r="C39" s="283" t="s">
        <v>822</v>
      </c>
      <c r="D39" s="289">
        <v>1220</v>
      </c>
      <c r="E39" s="551" t="s">
        <v>715</v>
      </c>
      <c r="F39" s="580"/>
      <c r="G39" s="580"/>
      <c r="H39" s="580"/>
      <c r="I39" s="580"/>
      <c r="J39" s="552"/>
      <c r="K39" s="285">
        <v>1220</v>
      </c>
      <c r="L39" s="289">
        <f>7%*K39</f>
        <v>85.4</v>
      </c>
      <c r="M39" s="289">
        <f>K39-L39</f>
        <v>1134.5999999999999</v>
      </c>
      <c r="N39" s="283" t="s">
        <v>715</v>
      </c>
      <c r="O39" s="207">
        <v>10</v>
      </c>
      <c r="P39" s="197">
        <v>11</v>
      </c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05"/>
      <c r="AB39" s="205"/>
    </row>
    <row r="40" spans="1:42" s="206" customFormat="1" ht="27.6" customHeight="1" x14ac:dyDescent="0.3">
      <c r="A40" s="288" t="s">
        <v>1005</v>
      </c>
      <c r="B40" s="288">
        <v>3</v>
      </c>
      <c r="C40" s="288" t="s">
        <v>822</v>
      </c>
      <c r="D40" s="289">
        <f>610+61.7+1.37</f>
        <v>673.07</v>
      </c>
      <c r="E40" s="551" t="s">
        <v>1142</v>
      </c>
      <c r="F40" s="580"/>
      <c r="G40" s="580"/>
      <c r="H40" s="580"/>
      <c r="I40" s="580"/>
      <c r="J40" s="552"/>
      <c r="K40" s="285">
        <v>751.82</v>
      </c>
      <c r="L40" s="289">
        <f>7%*K40</f>
        <v>52.627400000000009</v>
      </c>
      <c r="M40" s="289">
        <f>K40-L40</f>
        <v>699.19260000000008</v>
      </c>
      <c r="N40" s="283" t="s">
        <v>1174</v>
      </c>
      <c r="O40" s="207">
        <v>10</v>
      </c>
      <c r="P40" s="197">
        <v>11</v>
      </c>
      <c r="Q40" s="205"/>
      <c r="R40" s="205"/>
      <c r="S40" s="205"/>
      <c r="T40" s="205"/>
      <c r="U40" s="205"/>
      <c r="V40" s="205"/>
      <c r="W40" s="205"/>
      <c r="X40" s="205"/>
      <c r="Y40" s="205"/>
      <c r="Z40" s="205"/>
      <c r="AA40" s="205"/>
      <c r="AB40" s="205"/>
    </row>
    <row r="41" spans="1:42" s="204" customFormat="1" ht="24.6" customHeight="1" x14ac:dyDescent="0.3">
      <c r="A41" s="288" t="s">
        <v>929</v>
      </c>
      <c r="B41" s="288">
        <v>12</v>
      </c>
      <c r="C41" s="288" t="s">
        <v>829</v>
      </c>
      <c r="D41" s="196">
        <v>1464</v>
      </c>
      <c r="E41" s="551" t="s">
        <v>715</v>
      </c>
      <c r="F41" s="580"/>
      <c r="G41" s="580"/>
      <c r="H41" s="580"/>
      <c r="I41" s="580"/>
      <c r="J41" s="552"/>
      <c r="K41" s="318">
        <v>183</v>
      </c>
      <c r="L41" s="289">
        <f t="shared" ref="L41:L42" si="9">7%*K41</f>
        <v>12.81</v>
      </c>
      <c r="M41" s="289">
        <f t="shared" ref="M41:M42" si="10">K41-L41</f>
        <v>170.19</v>
      </c>
      <c r="N41" s="283" t="s">
        <v>1175</v>
      </c>
      <c r="O41" s="207">
        <v>10</v>
      </c>
      <c r="P41" s="197">
        <v>11</v>
      </c>
      <c r="Q41" s="200"/>
      <c r="R41" s="200"/>
      <c r="S41" s="200"/>
      <c r="T41" s="200"/>
      <c r="U41" s="200"/>
      <c r="V41" s="200"/>
      <c r="W41" s="200"/>
      <c r="X41" s="200"/>
      <c r="Y41" s="200"/>
    </row>
    <row r="42" spans="1:42" s="204" customFormat="1" ht="25.05" customHeight="1" x14ac:dyDescent="0.3">
      <c r="A42" s="288" t="s">
        <v>1007</v>
      </c>
      <c r="B42" s="288">
        <v>25</v>
      </c>
      <c r="C42" s="288" t="s">
        <v>822</v>
      </c>
      <c r="D42" s="196">
        <f>640+25+93.7+1.37</f>
        <v>760.07</v>
      </c>
      <c r="E42" s="551" t="s">
        <v>1156</v>
      </c>
      <c r="F42" s="580"/>
      <c r="G42" s="580"/>
      <c r="H42" s="580"/>
      <c r="I42" s="580"/>
      <c r="J42" s="552"/>
      <c r="K42" s="285">
        <v>837.6</v>
      </c>
      <c r="L42" s="289">
        <f t="shared" si="9"/>
        <v>58.632000000000005</v>
      </c>
      <c r="M42" s="289">
        <f t="shared" si="10"/>
        <v>778.96800000000007</v>
      </c>
      <c r="N42" s="283" t="s">
        <v>1157</v>
      </c>
      <c r="O42" s="207">
        <v>10</v>
      </c>
      <c r="P42" s="197">
        <v>11</v>
      </c>
      <c r="Q42" s="200"/>
      <c r="R42" s="200"/>
      <c r="S42" s="200"/>
      <c r="T42" s="200"/>
      <c r="U42" s="200"/>
      <c r="V42" s="200"/>
      <c r="W42" s="200"/>
      <c r="X42" s="200"/>
      <c r="Y42" s="200"/>
    </row>
    <row r="43" spans="1:42" s="11" customFormat="1" ht="25.05" customHeight="1" x14ac:dyDescent="0.3">
      <c r="A43" s="518" t="s">
        <v>4</v>
      </c>
      <c r="B43" s="518"/>
      <c r="C43" s="518"/>
      <c r="D43" s="518"/>
      <c r="E43" s="518"/>
      <c r="F43" s="518"/>
      <c r="G43" s="518"/>
      <c r="H43" s="518"/>
      <c r="I43" s="518"/>
      <c r="J43" s="518"/>
      <c r="K43" s="280">
        <f>SUM(K39:K42)</f>
        <v>2992.42</v>
      </c>
      <c r="L43" s="280">
        <f>SUM(L39:L42)</f>
        <v>209.46940000000001</v>
      </c>
      <c r="M43" s="280">
        <f>SUM(M39:M42)</f>
        <v>2782.9506000000001</v>
      </c>
      <c r="N43" s="527"/>
      <c r="O43" s="527"/>
      <c r="P43" s="527"/>
      <c r="Q43" s="10"/>
      <c r="R43" s="10"/>
      <c r="S43" s="10"/>
      <c r="T43" s="10"/>
      <c r="U43" s="10"/>
      <c r="V43" s="10"/>
      <c r="W43" s="10"/>
      <c r="X43" s="10"/>
      <c r="Y43" s="10"/>
    </row>
    <row r="44" spans="1:42" s="11" customFormat="1" x14ac:dyDescent="0.3">
      <c r="A44" s="518"/>
      <c r="B44" s="518"/>
      <c r="C44" s="518"/>
      <c r="D44" s="518"/>
      <c r="E44" s="518"/>
      <c r="F44" s="518"/>
      <c r="G44" s="518"/>
      <c r="H44" s="518"/>
      <c r="I44" s="518"/>
      <c r="J44" s="518"/>
      <c r="K44" s="518"/>
      <c r="L44" s="518"/>
      <c r="M44" s="518"/>
      <c r="N44" s="518"/>
      <c r="O44" s="280"/>
      <c r="P44" s="280"/>
      <c r="Q44" s="10"/>
      <c r="R44" s="10"/>
      <c r="S44" s="10"/>
      <c r="T44" s="10"/>
      <c r="U44" s="10"/>
      <c r="V44" s="10"/>
      <c r="W44" s="10"/>
      <c r="X44" s="10"/>
      <c r="Y44" s="10"/>
    </row>
    <row r="45" spans="1:42" s="11" customFormat="1" ht="28.5" customHeight="1" x14ac:dyDescent="0.3">
      <c r="A45" s="521" t="s">
        <v>177</v>
      </c>
      <c r="B45" s="521"/>
      <c r="C45" s="521"/>
      <c r="D45" s="521"/>
      <c r="E45" s="521"/>
      <c r="F45" s="521"/>
      <c r="G45" s="521"/>
      <c r="H45" s="521"/>
      <c r="I45" s="521"/>
      <c r="J45" s="521"/>
      <c r="K45" s="521"/>
      <c r="L45" s="521"/>
      <c r="M45" s="521"/>
      <c r="N45" s="521"/>
      <c r="O45" s="521"/>
      <c r="P45" s="521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42" s="11" customFormat="1" ht="25.5" customHeight="1" x14ac:dyDescent="0.3">
      <c r="A46" s="277" t="s">
        <v>173</v>
      </c>
      <c r="B46" s="277" t="s">
        <v>0</v>
      </c>
      <c r="C46" s="277"/>
      <c r="D46" s="277" t="s">
        <v>174</v>
      </c>
      <c r="E46" s="521" t="s">
        <v>175</v>
      </c>
      <c r="F46" s="521"/>
      <c r="G46" s="521"/>
      <c r="H46" s="521"/>
      <c r="I46" s="521"/>
      <c r="J46" s="521"/>
      <c r="K46" s="291" t="s">
        <v>4</v>
      </c>
      <c r="L46" s="282"/>
      <c r="M46" s="282"/>
      <c r="N46" s="279" t="s">
        <v>59</v>
      </c>
      <c r="O46" s="130" t="s">
        <v>8</v>
      </c>
      <c r="P46" s="130" t="s">
        <v>10</v>
      </c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42" x14ac:dyDescent="0.3">
      <c r="A47" s="288" t="s">
        <v>1136</v>
      </c>
      <c r="B47" s="288">
        <v>7</v>
      </c>
      <c r="C47" s="288" t="s">
        <v>829</v>
      </c>
      <c r="D47" s="274">
        <f>690+61.7+1.37</f>
        <v>753.07</v>
      </c>
      <c r="E47" s="595" t="s">
        <v>1176</v>
      </c>
      <c r="F47" s="595"/>
      <c r="G47" s="595"/>
      <c r="H47" s="595"/>
      <c r="I47" s="595"/>
      <c r="J47" s="595"/>
      <c r="K47" s="274">
        <f>690+61.7+1.37</f>
        <v>753.07</v>
      </c>
      <c r="L47" s="274"/>
      <c r="M47" s="274"/>
      <c r="N47" s="274" t="s">
        <v>1177</v>
      </c>
      <c r="O47" s="140">
        <v>10</v>
      </c>
      <c r="P47" s="290">
        <v>11</v>
      </c>
    </row>
    <row r="48" spans="1:42" x14ac:dyDescent="0.3">
      <c r="A48" s="288" t="s">
        <v>1005</v>
      </c>
      <c r="B48" s="288">
        <v>3</v>
      </c>
      <c r="C48" s="288" t="s">
        <v>822</v>
      </c>
      <c r="D48" s="274">
        <f>610+61.7+1.37</f>
        <v>673.07</v>
      </c>
      <c r="E48" s="595" t="s">
        <v>1176</v>
      </c>
      <c r="F48" s="595"/>
      <c r="G48" s="595"/>
      <c r="H48" s="595"/>
      <c r="I48" s="595"/>
      <c r="J48" s="595"/>
      <c r="K48" s="274">
        <f>610+61.7+1.37</f>
        <v>673.07</v>
      </c>
      <c r="L48" s="274"/>
      <c r="M48" s="274"/>
      <c r="N48" s="274" t="s">
        <v>1177</v>
      </c>
      <c r="O48" s="140">
        <v>10</v>
      </c>
      <c r="P48" s="290">
        <v>11</v>
      </c>
    </row>
    <row r="49" spans="1:60" s="69" customFormat="1" ht="15" customHeight="1" x14ac:dyDescent="0.3">
      <c r="A49" s="290" t="s">
        <v>132</v>
      </c>
      <c r="B49" s="290">
        <v>1</v>
      </c>
      <c r="C49" s="290"/>
      <c r="D49" s="5">
        <f>4977.59-1520</f>
        <v>3457.59</v>
      </c>
      <c r="E49" s="595" t="s">
        <v>284</v>
      </c>
      <c r="F49" s="595"/>
      <c r="G49" s="595"/>
      <c r="H49" s="595"/>
      <c r="I49" s="595"/>
      <c r="J49" s="595"/>
      <c r="K49" s="5">
        <f>4977.59-1520</f>
        <v>3457.59</v>
      </c>
      <c r="L49" s="5"/>
      <c r="M49" s="5"/>
      <c r="N49" s="5" t="s">
        <v>510</v>
      </c>
      <c r="O49" s="140">
        <v>10</v>
      </c>
      <c r="P49" s="290">
        <v>11</v>
      </c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</row>
    <row r="50" spans="1:60" s="11" customFormat="1" x14ac:dyDescent="0.3">
      <c r="A50" s="281" t="s">
        <v>87</v>
      </c>
      <c r="B50" s="281">
        <v>25</v>
      </c>
      <c r="C50" s="281"/>
      <c r="D50" s="5">
        <v>3013.33</v>
      </c>
      <c r="E50" s="595" t="s">
        <v>543</v>
      </c>
      <c r="F50" s="595"/>
      <c r="G50" s="595"/>
      <c r="H50" s="595"/>
      <c r="I50" s="595"/>
      <c r="J50" s="595"/>
      <c r="K50" s="275">
        <v>3040.58</v>
      </c>
      <c r="L50" s="294"/>
      <c r="M50" s="294"/>
      <c r="N50" s="5" t="s">
        <v>545</v>
      </c>
      <c r="O50" s="98">
        <v>10</v>
      </c>
      <c r="P50" s="3">
        <v>11</v>
      </c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 spans="1:60" s="11" customFormat="1" x14ac:dyDescent="0.3">
      <c r="A51" s="3" t="s">
        <v>894</v>
      </c>
      <c r="B51" s="281">
        <v>16</v>
      </c>
      <c r="C51" s="281" t="s">
        <v>823</v>
      </c>
      <c r="D51" s="5">
        <f>144.52+11.29+12.89+0.3+0.18+1664</f>
        <v>1833.18</v>
      </c>
      <c r="E51" s="595" t="s">
        <v>1158</v>
      </c>
      <c r="F51" s="595"/>
      <c r="G51" s="595"/>
      <c r="H51" s="595"/>
      <c r="I51" s="595"/>
      <c r="J51" s="595"/>
      <c r="K51" s="275">
        <f>144.52+11.29+12.89+0.3+0.18+1664</f>
        <v>1833.18</v>
      </c>
      <c r="L51" s="294"/>
      <c r="M51" s="294"/>
      <c r="N51" s="286" t="s">
        <v>969</v>
      </c>
      <c r="O51" s="98">
        <v>10</v>
      </c>
      <c r="P51" s="3">
        <v>11</v>
      </c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60" s="206" customFormat="1" ht="15" customHeight="1" x14ac:dyDescent="0.3">
      <c r="A52" s="237" t="s">
        <v>902</v>
      </c>
      <c r="B52" s="195">
        <v>17</v>
      </c>
      <c r="C52" s="195" t="s">
        <v>823</v>
      </c>
      <c r="D52" s="196">
        <v>2080.41</v>
      </c>
      <c r="E52" s="551" t="s">
        <v>1011</v>
      </c>
      <c r="F52" s="580"/>
      <c r="G52" s="580"/>
      <c r="H52" s="580"/>
      <c r="I52" s="580"/>
      <c r="J52" s="552"/>
      <c r="K52" s="196">
        <v>300</v>
      </c>
      <c r="L52" s="289"/>
      <c r="M52" s="289"/>
      <c r="N52" s="283" t="s">
        <v>1039</v>
      </c>
      <c r="O52" s="235">
        <v>10</v>
      </c>
      <c r="P52" s="197">
        <v>11</v>
      </c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  <c r="AJ52" s="205"/>
      <c r="AK52" s="205"/>
      <c r="AL52" s="205"/>
      <c r="AM52" s="205"/>
      <c r="AN52" s="205"/>
      <c r="AO52" s="205"/>
      <c r="AP52" s="205"/>
    </row>
    <row r="53" spans="1:60" s="206" customFormat="1" ht="15" customHeight="1" x14ac:dyDescent="0.3">
      <c r="A53" s="237" t="s">
        <v>902</v>
      </c>
      <c r="B53" s="195">
        <v>17</v>
      </c>
      <c r="C53" s="195" t="s">
        <v>823</v>
      </c>
      <c r="D53" s="196">
        <v>2080.41</v>
      </c>
      <c r="E53" s="551" t="s">
        <v>1011</v>
      </c>
      <c r="F53" s="580"/>
      <c r="G53" s="580"/>
      <c r="H53" s="580"/>
      <c r="I53" s="580"/>
      <c r="J53" s="552"/>
      <c r="K53" s="196">
        <v>300</v>
      </c>
      <c r="L53" s="289"/>
      <c r="M53" s="289"/>
      <c r="N53" s="283" t="s">
        <v>1049</v>
      </c>
      <c r="O53" s="235">
        <v>10</v>
      </c>
      <c r="P53" s="197">
        <v>11</v>
      </c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  <c r="AC53" s="205"/>
      <c r="AD53" s="205"/>
      <c r="AE53" s="205"/>
      <c r="AF53" s="205"/>
      <c r="AG53" s="205"/>
      <c r="AH53" s="205"/>
      <c r="AI53" s="205"/>
      <c r="AJ53" s="205"/>
      <c r="AK53" s="205"/>
      <c r="AL53" s="205"/>
      <c r="AM53" s="205"/>
      <c r="AN53" s="205"/>
      <c r="AO53" s="205"/>
      <c r="AP53" s="205"/>
    </row>
    <row r="54" spans="1:60" s="40" customFormat="1" ht="15" customHeight="1" thickBot="1" x14ac:dyDescent="0.35">
      <c r="A54" s="534" t="s">
        <v>4</v>
      </c>
      <c r="B54" s="549"/>
      <c r="C54" s="549"/>
      <c r="D54" s="549"/>
      <c r="E54" s="549"/>
      <c r="F54" s="549"/>
      <c r="G54" s="549"/>
      <c r="H54" s="549"/>
      <c r="I54" s="549"/>
      <c r="J54" s="535"/>
      <c r="K54" s="284">
        <f>SUM(K47:K53)</f>
        <v>10357.49</v>
      </c>
      <c r="L54" s="281"/>
      <c r="M54" s="281"/>
      <c r="N54" s="281"/>
      <c r="O54" s="281"/>
      <c r="P54" s="281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1"/>
      <c r="AU54" s="11"/>
      <c r="AV54" s="11"/>
      <c r="AW54" s="11"/>
    </row>
    <row r="55" spans="1:60" s="19" customFormat="1" x14ac:dyDescent="0.3">
      <c r="A55" s="179"/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1"/>
      <c r="P55" s="182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</row>
    <row r="56" spans="1:60" s="40" customFormat="1" x14ac:dyDescent="0.3">
      <c r="A56" s="585"/>
      <c r="B56" s="585"/>
      <c r="C56" s="585"/>
      <c r="D56" s="585"/>
      <c r="E56" s="585"/>
      <c r="F56" s="46"/>
      <c r="G56" s="46"/>
      <c r="H56" s="295"/>
      <c r="I56" s="46"/>
      <c r="J56" s="46"/>
      <c r="K56" s="46"/>
      <c r="L56" s="46"/>
      <c r="M56" s="46"/>
      <c r="N56" s="544" t="s">
        <v>315</v>
      </c>
      <c r="O56" s="544"/>
      <c r="P56" s="545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1"/>
      <c r="AU56" s="11"/>
      <c r="AV56" s="11"/>
      <c r="AW56" s="11"/>
    </row>
    <row r="57" spans="1:60" s="40" customFormat="1" x14ac:dyDescent="0.3">
      <c r="A57" s="206"/>
      <c r="B57" s="223"/>
      <c r="C57" s="223"/>
      <c r="D57" s="224"/>
      <c r="E57" s="223"/>
      <c r="F57" s="46"/>
      <c r="G57" s="46"/>
      <c r="H57" s="295"/>
      <c r="I57" s="11"/>
      <c r="J57" s="11"/>
      <c r="K57" s="87"/>
      <c r="L57" s="87"/>
      <c r="M57" s="87"/>
      <c r="N57" s="527" t="s">
        <v>94</v>
      </c>
      <c r="O57" s="527"/>
      <c r="P57" s="284">
        <f>L36+L43</f>
        <v>1359.3211400337102</v>
      </c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1"/>
      <c r="AU57" s="11"/>
      <c r="AV57" s="11"/>
      <c r="AW57" s="11"/>
    </row>
    <row r="58" spans="1:60" s="40" customFormat="1" x14ac:dyDescent="0.3">
      <c r="A58" s="206"/>
      <c r="B58" s="223"/>
      <c r="C58" s="223"/>
      <c r="D58" s="224"/>
      <c r="E58" s="223"/>
      <c r="F58" s="46"/>
      <c r="G58" s="46"/>
      <c r="H58" s="295"/>
      <c r="I58" s="11"/>
      <c r="J58" s="11"/>
      <c r="K58" s="14"/>
      <c r="L58" s="14"/>
      <c r="M58" s="14"/>
      <c r="N58" s="518" t="s">
        <v>260</v>
      </c>
      <c r="O58" s="518"/>
      <c r="P58" s="284">
        <f>L6</f>
        <v>0</v>
      </c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1"/>
      <c r="AU58" s="11"/>
      <c r="AV58" s="11"/>
      <c r="AW58" s="11"/>
    </row>
    <row r="59" spans="1:60" s="40" customFormat="1" x14ac:dyDescent="0.3">
      <c r="A59" s="206"/>
      <c r="B59" s="223"/>
      <c r="C59" s="223"/>
      <c r="D59" s="224"/>
      <c r="E59" s="223"/>
      <c r="F59" s="46"/>
      <c r="G59" s="46"/>
      <c r="H59" s="295"/>
      <c r="I59" s="11"/>
      <c r="J59" s="11"/>
      <c r="K59" s="14"/>
      <c r="L59" s="14"/>
      <c r="M59" s="14"/>
      <c r="N59" s="520"/>
      <c r="O59" s="520"/>
      <c r="P59" s="52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1"/>
      <c r="AU59" s="11"/>
      <c r="AV59" s="11"/>
      <c r="AW59" s="11"/>
    </row>
    <row r="60" spans="1:60" s="40" customFormat="1" x14ac:dyDescent="0.3">
      <c r="A60" s="206"/>
      <c r="B60" s="223"/>
      <c r="C60" s="223"/>
      <c r="D60" s="224"/>
      <c r="E60" s="223"/>
      <c r="F60" s="46"/>
      <c r="G60" s="46"/>
      <c r="H60" s="295"/>
      <c r="I60" s="11"/>
      <c r="J60" s="11"/>
      <c r="K60" s="62"/>
      <c r="L60" s="62"/>
      <c r="M60" s="62"/>
      <c r="N60" s="520"/>
      <c r="O60" s="520"/>
      <c r="P60" s="52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1"/>
      <c r="AU60" s="11"/>
      <c r="AV60" s="11"/>
      <c r="AW60" s="11"/>
    </row>
    <row r="61" spans="1:60" s="40" customFormat="1" ht="14.4" x14ac:dyDescent="0.3">
      <c r="A61" s="206"/>
      <c r="B61" s="223"/>
      <c r="C61" s="223"/>
      <c r="D61" s="224"/>
      <c r="E61" s="223"/>
      <c r="F61" s="46"/>
      <c r="G61" s="46"/>
      <c r="H61" s="295"/>
      <c r="I61" s="11"/>
      <c r="J61" s="11"/>
      <c r="K61" s="14"/>
      <c r="L61" s="14"/>
      <c r="M61" s="14"/>
      <c r="N61" s="529" t="s">
        <v>12</v>
      </c>
      <c r="O61" s="529"/>
      <c r="P61" s="529"/>
      <c r="Q61" s="175"/>
      <c r="R61" s="178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1"/>
      <c r="AU61" s="11"/>
      <c r="AV61" s="11"/>
      <c r="AW61" s="11"/>
    </row>
    <row r="62" spans="1:60" s="11" customFormat="1" ht="15" customHeight="1" x14ac:dyDescent="0.3">
      <c r="A62" s="206"/>
      <c r="B62" s="223"/>
      <c r="C62" s="223"/>
      <c r="D62" s="224"/>
      <c r="E62" s="223"/>
      <c r="F62" s="46"/>
      <c r="G62" s="46"/>
      <c r="H62" s="295"/>
      <c r="K62" s="63"/>
      <c r="L62" s="63"/>
      <c r="M62" s="63"/>
      <c r="N62" s="592" t="s">
        <v>126</v>
      </c>
      <c r="O62" s="592"/>
      <c r="P62" s="240">
        <v>107.16</v>
      </c>
      <c r="Q62" s="190"/>
      <c r="R62" s="178"/>
    </row>
    <row r="63" spans="1:60" s="11" customFormat="1" ht="15.6" x14ac:dyDescent="0.3">
      <c r="A63" s="206"/>
      <c r="B63" s="223"/>
      <c r="C63" s="223"/>
      <c r="D63" s="224"/>
      <c r="E63" s="223"/>
      <c r="F63" s="46"/>
      <c r="G63" s="46"/>
      <c r="H63" s="295"/>
      <c r="K63" s="14"/>
      <c r="L63" s="14"/>
      <c r="M63" s="14"/>
      <c r="N63" s="593" t="s">
        <v>127</v>
      </c>
      <c r="O63" s="593"/>
      <c r="P63" s="240">
        <v>1674.7</v>
      </c>
      <c r="Q63" s="175"/>
      <c r="R63" s="178"/>
    </row>
    <row r="64" spans="1:60" s="11" customFormat="1" ht="15" customHeight="1" x14ac:dyDescent="0.3">
      <c r="A64" s="206"/>
      <c r="B64" s="223"/>
      <c r="C64" s="223"/>
      <c r="D64" s="224"/>
      <c r="E64" s="223"/>
      <c r="F64" s="46"/>
      <c r="G64" s="46"/>
      <c r="H64" s="295"/>
      <c r="K64" s="63"/>
      <c r="L64" s="63"/>
      <c r="M64" s="63"/>
      <c r="N64" s="594" t="s">
        <v>1178</v>
      </c>
      <c r="O64" s="594"/>
      <c r="P64" s="239">
        <v>132.38999999999999</v>
      </c>
      <c r="Q64" s="190"/>
      <c r="R64" s="178"/>
    </row>
    <row r="65" spans="1:48" s="11" customFormat="1" ht="15.6" x14ac:dyDescent="0.3">
      <c r="A65" s="206"/>
      <c r="B65" s="223"/>
      <c r="C65" s="223"/>
      <c r="D65" s="224"/>
      <c r="E65" s="223"/>
      <c r="F65" s="46"/>
      <c r="G65" s="46"/>
      <c r="H65" s="295"/>
      <c r="K65" s="14"/>
      <c r="L65" s="14"/>
      <c r="M65" s="14"/>
      <c r="N65" s="594" t="s">
        <v>1179</v>
      </c>
      <c r="O65" s="594"/>
      <c r="P65" s="251">
        <v>134.26</v>
      </c>
      <c r="Q65" s="222"/>
      <c r="R65" s="178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</row>
    <row r="66" spans="1:48" s="11" customFormat="1" ht="15.6" x14ac:dyDescent="0.3">
      <c r="A66" s="206"/>
      <c r="B66" s="223"/>
      <c r="C66" s="223"/>
      <c r="D66" s="224"/>
      <c r="E66" s="223"/>
      <c r="F66" s="46"/>
      <c r="G66" s="46"/>
      <c r="H66" s="295"/>
      <c r="K66" s="63"/>
      <c r="L66" s="63"/>
      <c r="M66" s="63"/>
      <c r="N66" s="588" t="s">
        <v>1180</v>
      </c>
      <c r="O66" s="589"/>
      <c r="P66" s="42">
        <v>133.71</v>
      </c>
      <c r="Q66" s="175"/>
      <c r="R66" s="178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</row>
    <row r="67" spans="1:48" s="11" customFormat="1" ht="15.6" x14ac:dyDescent="0.3">
      <c r="A67" s="206"/>
      <c r="B67" s="223"/>
      <c r="C67" s="223"/>
      <c r="D67" s="224"/>
      <c r="E67" s="223"/>
      <c r="F67" s="46"/>
      <c r="G67" s="46"/>
      <c r="H67" s="295"/>
      <c r="K67" s="14"/>
      <c r="L67" s="14"/>
      <c r="M67" s="14"/>
      <c r="N67" s="596" t="s">
        <v>1181</v>
      </c>
      <c r="O67" s="597"/>
      <c r="P67" s="319">
        <v>133.82</v>
      </c>
      <c r="Q67" s="175"/>
      <c r="R67" s="185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</row>
    <row r="68" spans="1:48" s="11" customFormat="1" ht="15.6" x14ac:dyDescent="0.3">
      <c r="A68" s="206"/>
      <c r="B68" s="223"/>
      <c r="C68" s="223"/>
      <c r="D68" s="224"/>
      <c r="E68" s="223"/>
      <c r="F68" s="46"/>
      <c r="G68" s="46"/>
      <c r="H68" s="295"/>
      <c r="K68" s="14"/>
      <c r="L68" s="14"/>
      <c r="M68" s="14"/>
      <c r="N68" s="594" t="s">
        <v>1182</v>
      </c>
      <c r="O68" s="594"/>
      <c r="P68" s="42">
        <v>134.86000000000001</v>
      </c>
      <c r="Q68" s="175"/>
      <c r="R68" s="185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</row>
    <row r="69" spans="1:48" s="11" customFormat="1" ht="15.6" x14ac:dyDescent="0.3">
      <c r="A69" s="206"/>
      <c r="B69" s="223"/>
      <c r="C69" s="223"/>
      <c r="D69" s="224"/>
      <c r="E69" s="223"/>
      <c r="F69" s="46"/>
      <c r="G69" s="46"/>
      <c r="H69" s="295"/>
      <c r="K69" s="63"/>
      <c r="L69" s="63"/>
      <c r="M69" s="63"/>
      <c r="N69" s="594" t="s">
        <v>1183</v>
      </c>
      <c r="O69" s="594"/>
      <c r="P69" s="42">
        <v>132.51</v>
      </c>
      <c r="Q69" s="175"/>
      <c r="R69" s="178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</row>
    <row r="70" spans="1:48" s="11" customFormat="1" ht="15.6" x14ac:dyDescent="0.3">
      <c r="A70" s="206"/>
      <c r="B70" s="223"/>
      <c r="C70" s="223"/>
      <c r="D70" s="224"/>
      <c r="E70" s="223"/>
      <c r="F70" s="46"/>
      <c r="G70" s="46"/>
      <c r="H70" s="295"/>
      <c r="K70" s="14"/>
      <c r="L70" s="14"/>
      <c r="M70" s="14"/>
      <c r="N70" s="594" t="s">
        <v>1184</v>
      </c>
      <c r="O70" s="594"/>
      <c r="P70" s="42">
        <v>132.78</v>
      </c>
      <c r="Q70" s="175"/>
      <c r="R70" s="178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</row>
    <row r="71" spans="1:48" s="11" customFormat="1" ht="15" customHeight="1" x14ac:dyDescent="0.3">
      <c r="A71" s="206"/>
      <c r="B71" s="223"/>
      <c r="C71" s="223"/>
      <c r="D71" s="224"/>
      <c r="E71" s="223"/>
      <c r="F71" s="46"/>
      <c r="G71" s="46"/>
      <c r="H71" s="295"/>
      <c r="K71" s="63"/>
      <c r="L71" s="63"/>
      <c r="M71" s="63"/>
      <c r="N71" s="594" t="s">
        <v>1185</v>
      </c>
      <c r="O71" s="594"/>
      <c r="P71" s="42">
        <v>16</v>
      </c>
      <c r="R71" s="14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</row>
    <row r="72" spans="1:48" s="11" customFormat="1" ht="15.6" x14ac:dyDescent="0.3">
      <c r="A72" s="206"/>
      <c r="B72" s="223"/>
      <c r="C72" s="223"/>
      <c r="D72" s="224"/>
      <c r="E72" s="223"/>
      <c r="F72" s="46"/>
      <c r="G72" s="46"/>
      <c r="H72" s="295"/>
      <c r="K72" s="14"/>
      <c r="L72" s="14"/>
      <c r="M72" s="14"/>
      <c r="N72" s="594" t="s">
        <v>1186</v>
      </c>
      <c r="O72" s="594"/>
      <c r="P72" s="42">
        <v>150</v>
      </c>
      <c r="Q72" s="190"/>
      <c r="R72" s="178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</row>
    <row r="73" spans="1:48" s="11" customFormat="1" ht="18.600000000000001" customHeight="1" x14ac:dyDescent="0.3">
      <c r="A73" s="206"/>
      <c r="B73" s="223"/>
      <c r="C73" s="223"/>
      <c r="D73" s="224"/>
      <c r="E73" s="223"/>
      <c r="F73" s="46"/>
      <c r="G73" s="46"/>
      <c r="H73" s="295"/>
      <c r="K73" s="63"/>
      <c r="L73" s="63"/>
      <c r="M73" s="63"/>
      <c r="N73" s="586" t="s">
        <v>26</v>
      </c>
      <c r="O73" s="586"/>
      <c r="P73" s="241">
        <f>SUM(P57:P72)</f>
        <v>4241.51114003371</v>
      </c>
      <c r="Q73" s="175"/>
      <c r="R73" s="178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</row>
    <row r="74" spans="1:48" s="11" customFormat="1" ht="15.6" x14ac:dyDescent="0.3">
      <c r="A74" s="206"/>
      <c r="B74" s="223"/>
      <c r="C74" s="223"/>
      <c r="D74" s="224"/>
      <c r="E74" s="223"/>
      <c r="F74" s="46"/>
      <c r="G74" s="46"/>
      <c r="H74" s="295"/>
      <c r="N74" s="587"/>
      <c r="O74" s="587"/>
      <c r="P74" s="242"/>
      <c r="Q74" s="175"/>
      <c r="R74" s="178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</row>
    <row r="75" spans="1:48" s="11" customFormat="1" ht="14.4" x14ac:dyDescent="0.3">
      <c r="A75" s="206"/>
      <c r="B75" s="223"/>
      <c r="C75" s="223"/>
      <c r="D75" s="224"/>
      <c r="E75" s="223"/>
      <c r="F75" s="46"/>
      <c r="G75" s="46"/>
      <c r="H75" s="295"/>
      <c r="K75" s="63"/>
      <c r="L75" s="63"/>
      <c r="M75" s="63"/>
      <c r="N75" s="564" t="s">
        <v>11</v>
      </c>
      <c r="O75" s="565"/>
      <c r="P75" s="153">
        <f>K6+K36+K43</f>
        <v>19418.873429053005</v>
      </c>
      <c r="Q75" s="175"/>
      <c r="R75" s="178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</row>
    <row r="76" spans="1:48" s="11" customFormat="1" ht="14.4" x14ac:dyDescent="0.3">
      <c r="A76" s="206"/>
      <c r="B76" s="223"/>
      <c r="C76" s="223"/>
      <c r="D76" s="224"/>
      <c r="E76" s="223"/>
      <c r="F76" s="46"/>
      <c r="G76" s="46"/>
      <c r="H76" s="295"/>
      <c r="K76" s="14"/>
      <c r="L76" s="14"/>
      <c r="M76" s="14"/>
      <c r="N76" s="518"/>
      <c r="O76" s="518"/>
      <c r="P76" s="519"/>
      <c r="Q76" s="175"/>
      <c r="R76" s="185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</row>
    <row r="77" spans="1:48" s="11" customFormat="1" ht="14.4" x14ac:dyDescent="0.3">
      <c r="A77" s="206"/>
      <c r="B77" s="223"/>
      <c r="C77" s="223"/>
      <c r="D77" s="224"/>
      <c r="E77" s="223"/>
      <c r="F77" s="46"/>
      <c r="G77" s="46"/>
      <c r="H77" s="295"/>
      <c r="N77" s="513" t="s">
        <v>13</v>
      </c>
      <c r="O77" s="513"/>
      <c r="P77" s="151">
        <f>P75-P73</f>
        <v>15177.362289019295</v>
      </c>
      <c r="Q77" s="175"/>
      <c r="R77" s="176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</row>
    <row r="78" spans="1:48" s="11" customFormat="1" ht="14.4" x14ac:dyDescent="0.3">
      <c r="A78" s="206"/>
      <c r="B78" s="223"/>
      <c r="C78" s="223"/>
      <c r="D78" s="224"/>
      <c r="E78" s="223"/>
      <c r="F78" s="46"/>
      <c r="G78" s="46"/>
      <c r="H78" s="295"/>
      <c r="N78" s="124"/>
      <c r="O78" s="124"/>
      <c r="P78" s="57"/>
      <c r="Q78" s="175"/>
      <c r="R78" s="176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</row>
    <row r="79" spans="1:48" s="11" customFormat="1" ht="14.4" x14ac:dyDescent="0.3">
      <c r="A79" s="206"/>
      <c r="B79" s="223"/>
      <c r="C79" s="223"/>
      <c r="D79" s="224"/>
      <c r="E79" s="223"/>
      <c r="F79" s="46"/>
      <c r="G79" s="46"/>
      <c r="H79" s="295"/>
      <c r="N79" s="124"/>
      <c r="O79" s="124"/>
      <c r="P79" s="57"/>
      <c r="Q79" s="175"/>
      <c r="R79" s="178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</row>
    <row r="80" spans="1:48" s="11" customFormat="1" ht="14.4" x14ac:dyDescent="0.3">
      <c r="A80" s="206"/>
      <c r="B80" s="223"/>
      <c r="C80" s="223"/>
      <c r="D80" s="224"/>
      <c r="E80" s="223"/>
      <c r="F80" s="46"/>
      <c r="G80" s="46"/>
      <c r="H80" s="295"/>
      <c r="K80" s="14"/>
      <c r="L80" s="14"/>
      <c r="M80" s="14"/>
      <c r="N80" s="124"/>
      <c r="O80" s="124"/>
      <c r="P80" s="57"/>
      <c r="Q80" s="175"/>
      <c r="R80" s="178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</row>
    <row r="81" spans="1:47" s="11" customFormat="1" ht="14.4" x14ac:dyDescent="0.3">
      <c r="A81" s="206"/>
      <c r="B81" s="223"/>
      <c r="C81" s="223"/>
      <c r="D81" s="224"/>
      <c r="E81" s="223"/>
      <c r="F81" s="46"/>
      <c r="G81" s="46"/>
      <c r="H81" s="295"/>
      <c r="K81" s="287"/>
      <c r="L81" s="287"/>
      <c r="M81" s="287"/>
      <c r="Q81" s="175"/>
      <c r="R81" s="178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</row>
    <row r="82" spans="1:47" s="11" customFormat="1" ht="14.4" x14ac:dyDescent="0.3">
      <c r="A82" s="206"/>
      <c r="B82" s="223"/>
      <c r="C82" s="223"/>
      <c r="D82" s="224"/>
      <c r="E82" s="223"/>
      <c r="F82" s="46"/>
      <c r="G82" s="46"/>
      <c r="H82" s="295"/>
      <c r="K82" s="14"/>
      <c r="L82" s="14"/>
      <c r="M82" s="14"/>
      <c r="N82" s="287"/>
      <c r="O82" s="14"/>
      <c r="P82" s="57"/>
      <c r="Q82" s="175"/>
      <c r="R82" s="178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</row>
    <row r="83" spans="1:47" s="11" customFormat="1" ht="14.4" x14ac:dyDescent="0.3">
      <c r="A83" s="206"/>
      <c r="B83" s="223"/>
      <c r="C83" s="223"/>
      <c r="D83" s="224"/>
      <c r="E83" s="223"/>
      <c r="F83" s="46"/>
      <c r="G83" s="46"/>
      <c r="H83" s="295"/>
      <c r="K83" s="14"/>
      <c r="L83" s="14"/>
      <c r="M83" s="14"/>
      <c r="O83" s="287"/>
      <c r="P83" s="57"/>
      <c r="Q83" s="175"/>
      <c r="R83" s="178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</row>
    <row r="84" spans="1:47" s="11" customFormat="1" ht="14.4" x14ac:dyDescent="0.3">
      <c r="A84" s="206"/>
      <c r="B84" s="223"/>
      <c r="C84" s="223"/>
      <c r="D84" s="224"/>
      <c r="E84" s="223"/>
      <c r="F84" s="46"/>
      <c r="G84" s="46"/>
      <c r="H84" s="295"/>
      <c r="K84" s="14"/>
      <c r="L84" s="14"/>
      <c r="M84" s="14"/>
      <c r="P84" s="57"/>
      <c r="Q84" s="175"/>
      <c r="R84" s="178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</row>
    <row r="85" spans="1:47" s="11" customFormat="1" x14ac:dyDescent="0.3">
      <c r="A85" s="206"/>
      <c r="B85" s="223"/>
      <c r="C85" s="223"/>
      <c r="D85" s="224"/>
      <c r="E85" s="223"/>
      <c r="F85" s="46"/>
      <c r="G85" s="46"/>
      <c r="H85" s="295"/>
      <c r="K85" s="14"/>
      <c r="L85" s="14"/>
      <c r="M85" s="14"/>
      <c r="N85" s="14"/>
      <c r="O85" s="14"/>
      <c r="P85" s="57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</row>
    <row r="86" spans="1:47" s="69" customFormat="1" x14ac:dyDescent="0.3">
      <c r="A86" s="206"/>
      <c r="B86" s="223"/>
      <c r="C86" s="223"/>
      <c r="D86" s="224"/>
      <c r="E86" s="223"/>
      <c r="F86" s="46"/>
      <c r="G86" s="46"/>
      <c r="H86" s="295"/>
      <c r="I86" s="11"/>
      <c r="J86" s="11"/>
      <c r="K86" s="14"/>
      <c r="L86" s="14"/>
      <c r="M86" s="14"/>
      <c r="N86" s="14"/>
      <c r="O86" s="287"/>
      <c r="P86" s="57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</row>
    <row r="87" spans="1:47" s="69" customFormat="1" x14ac:dyDescent="0.3">
      <c r="A87" s="206"/>
      <c r="B87" s="223"/>
      <c r="C87" s="223"/>
      <c r="D87" s="224"/>
      <c r="E87" s="223"/>
      <c r="F87" s="46"/>
      <c r="G87" s="46"/>
      <c r="H87" s="295"/>
      <c r="I87" s="11"/>
      <c r="J87" s="11"/>
      <c r="K87" s="14"/>
      <c r="L87" s="14"/>
      <c r="M87" s="14"/>
      <c r="N87" s="14"/>
      <c r="O87" s="11"/>
      <c r="P87" s="57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</row>
    <row r="88" spans="1:47" s="69" customFormat="1" x14ac:dyDescent="0.3">
      <c r="A88" s="206"/>
      <c r="B88" s="223"/>
      <c r="C88" s="223"/>
      <c r="D88" s="224"/>
      <c r="E88" s="223"/>
      <c r="F88" s="46"/>
      <c r="G88" s="46"/>
      <c r="H88" s="295"/>
      <c r="I88" s="11"/>
      <c r="J88" s="11"/>
      <c r="K88" s="14"/>
      <c r="L88" s="14"/>
      <c r="M88" s="14"/>
      <c r="N88" s="14"/>
      <c r="O88" s="11"/>
      <c r="P88" s="57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</row>
    <row r="89" spans="1:47" s="69" customFormat="1" x14ac:dyDescent="0.3">
      <c r="A89" s="206"/>
      <c r="B89" s="223"/>
      <c r="C89" s="223"/>
      <c r="D89" s="224"/>
      <c r="E89" s="223"/>
      <c r="F89" s="46"/>
      <c r="G89" s="46"/>
      <c r="H89" s="295"/>
      <c r="I89" s="11"/>
      <c r="J89" s="11"/>
      <c r="K89" s="14"/>
      <c r="L89" s="14"/>
      <c r="M89" s="14"/>
      <c r="N89" s="11"/>
      <c r="O89" s="11"/>
      <c r="P89" s="57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</row>
    <row r="90" spans="1:47" s="69" customFormat="1" x14ac:dyDescent="0.3">
      <c r="A90" s="206"/>
      <c r="B90" s="223"/>
      <c r="C90" s="223"/>
      <c r="D90" s="224"/>
      <c r="E90" s="223"/>
      <c r="F90" s="46"/>
      <c r="G90" s="46"/>
      <c r="H90" s="295"/>
      <c r="I90" s="11"/>
      <c r="J90" s="11"/>
      <c r="K90" s="14"/>
      <c r="L90" s="14"/>
      <c r="M90" s="14"/>
      <c r="N90" s="11"/>
      <c r="O90" s="14"/>
      <c r="P90" s="57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</row>
    <row r="91" spans="1:47" s="69" customFormat="1" x14ac:dyDescent="0.3">
      <c r="A91" s="206"/>
      <c r="B91" s="223"/>
      <c r="C91" s="223"/>
      <c r="D91" s="224"/>
      <c r="E91" s="223"/>
      <c r="F91" s="46"/>
      <c r="G91" s="46"/>
      <c r="H91" s="295"/>
      <c r="I91" s="11"/>
      <c r="J91" s="11"/>
      <c r="K91" s="14"/>
      <c r="L91" s="14"/>
      <c r="M91" s="14"/>
      <c r="N91" s="11"/>
      <c r="O91" s="14"/>
      <c r="P91" s="57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</row>
    <row r="92" spans="1:47" s="69" customFormat="1" x14ac:dyDescent="0.3">
      <c r="A92" s="206"/>
      <c r="B92" s="223"/>
      <c r="C92" s="223"/>
      <c r="D92" s="224"/>
      <c r="E92" s="223"/>
      <c r="F92" s="46"/>
      <c r="G92" s="46"/>
      <c r="H92" s="295"/>
      <c r="I92" s="11"/>
      <c r="J92" s="11"/>
      <c r="K92" s="14"/>
      <c r="L92" s="14"/>
      <c r="M92" s="14"/>
      <c r="N92" s="11"/>
      <c r="O92" s="14"/>
      <c r="P92" s="57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</row>
    <row r="93" spans="1:47" s="69" customFormat="1" x14ac:dyDescent="0.3">
      <c r="A93" s="206"/>
      <c r="B93" s="223"/>
      <c r="C93" s="223"/>
      <c r="D93" s="224"/>
      <c r="E93" s="223"/>
      <c r="F93" s="46"/>
      <c r="G93" s="46"/>
      <c r="H93" s="295"/>
      <c r="I93" s="11"/>
      <c r="J93" s="11"/>
      <c r="K93" s="14"/>
      <c r="L93" s="14"/>
      <c r="M93" s="14"/>
      <c r="N93" s="11"/>
      <c r="O93" s="14"/>
      <c r="P93" s="57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</row>
    <row r="94" spans="1:47" s="69" customFormat="1" x14ac:dyDescent="0.3">
      <c r="A94" s="206"/>
      <c r="B94" s="223"/>
      <c r="C94" s="223"/>
      <c r="D94" s="224"/>
      <c r="E94" s="223"/>
      <c r="F94" s="46"/>
      <c r="G94" s="46"/>
      <c r="H94" s="295"/>
      <c r="I94" s="11"/>
      <c r="J94" s="11"/>
      <c r="K94" s="14"/>
      <c r="L94" s="14"/>
      <c r="M94" s="14"/>
      <c r="N94" s="11"/>
      <c r="O94" s="11"/>
      <c r="P94" s="57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</row>
    <row r="95" spans="1:47" s="69" customFormat="1" x14ac:dyDescent="0.3">
      <c r="A95" s="206"/>
      <c r="B95" s="223"/>
      <c r="C95" s="223"/>
      <c r="D95" s="224"/>
      <c r="E95" s="223"/>
      <c r="F95" s="46"/>
      <c r="G95" s="46"/>
      <c r="H95" s="296"/>
      <c r="I95" s="11"/>
      <c r="J95" s="11"/>
      <c r="K95" s="14"/>
      <c r="L95" s="14"/>
      <c r="M95" s="14"/>
      <c r="N95" s="11"/>
      <c r="O95" s="11"/>
      <c r="P95" s="57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</row>
    <row r="96" spans="1:47" s="69" customFormat="1" x14ac:dyDescent="0.3">
      <c r="A96" s="206"/>
      <c r="B96" s="223"/>
      <c r="C96" s="223"/>
      <c r="D96" s="224"/>
      <c r="E96" s="223"/>
      <c r="F96" s="46"/>
      <c r="G96" s="46"/>
      <c r="H96" s="296"/>
      <c r="I96" s="11"/>
      <c r="J96" s="11"/>
      <c r="K96" s="14"/>
      <c r="L96" s="14"/>
      <c r="M96" s="14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</row>
    <row r="97" spans="1:48" s="69" customFormat="1" x14ac:dyDescent="0.3">
      <c r="A97" s="206"/>
      <c r="B97" s="223"/>
      <c r="C97" s="223"/>
      <c r="D97" s="224"/>
      <c r="E97" s="223"/>
      <c r="F97" s="46"/>
      <c r="G97" s="46"/>
      <c r="H97" s="296"/>
      <c r="K97" s="142"/>
      <c r="L97" s="142"/>
      <c r="M97" s="142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</row>
    <row r="98" spans="1:48" s="70" customFormat="1" x14ac:dyDescent="0.3">
      <c r="A98" s="206"/>
      <c r="B98" s="223"/>
      <c r="C98" s="223"/>
      <c r="D98" s="224"/>
      <c r="E98" s="223"/>
      <c r="F98" s="46"/>
      <c r="G98" s="46"/>
      <c r="H98" s="296"/>
      <c r="I98" s="63"/>
      <c r="J98" s="63"/>
      <c r="K98" s="69"/>
      <c r="L98" s="69"/>
      <c r="M98" s="69"/>
      <c r="N98" s="69"/>
      <c r="O98" s="69"/>
      <c r="P98" s="69"/>
    </row>
    <row r="99" spans="1:48" s="70" customFormat="1" ht="15" customHeight="1" x14ac:dyDescent="0.3">
      <c r="A99" s="206"/>
      <c r="B99" s="223"/>
      <c r="C99" s="223"/>
      <c r="D99" s="224"/>
      <c r="E99" s="223"/>
      <c r="F99" s="46"/>
      <c r="G99" s="46"/>
      <c r="H99" s="296"/>
      <c r="I99" s="11"/>
      <c r="J99" s="63"/>
      <c r="K99" s="142"/>
      <c r="L99" s="142"/>
      <c r="M99" s="142"/>
      <c r="N99" s="69"/>
      <c r="O99" s="69"/>
      <c r="P99" s="69"/>
      <c r="AV99" s="69"/>
    </row>
    <row r="100" spans="1:48" s="70" customFormat="1" x14ac:dyDescent="0.3">
      <c r="A100" s="206"/>
      <c r="B100" s="223"/>
      <c r="C100" s="223"/>
      <c r="D100" s="224"/>
      <c r="E100" s="223"/>
      <c r="F100" s="46"/>
      <c r="G100" s="46"/>
      <c r="H100" s="296"/>
      <c r="I100" s="142"/>
      <c r="J100" s="142"/>
      <c r="K100" s="142"/>
      <c r="L100" s="142"/>
      <c r="M100" s="142"/>
      <c r="N100" s="69"/>
      <c r="O100" s="69"/>
      <c r="P100" s="69"/>
      <c r="AV100" s="69"/>
    </row>
    <row r="101" spans="1:48" s="70" customFormat="1" x14ac:dyDescent="0.3">
      <c r="A101" s="206"/>
      <c r="B101" s="223"/>
      <c r="C101" s="223"/>
      <c r="D101" s="224"/>
      <c r="E101" s="223"/>
      <c r="F101" s="46"/>
      <c r="G101" s="46"/>
      <c r="H101" s="296"/>
      <c r="I101" s="11"/>
      <c r="J101" s="63"/>
      <c r="K101" s="142"/>
      <c r="L101" s="142"/>
      <c r="M101" s="142"/>
      <c r="N101" s="69"/>
      <c r="O101" s="69"/>
      <c r="P101" s="69"/>
      <c r="AV101" s="69"/>
    </row>
    <row r="102" spans="1:48" s="70" customFormat="1" x14ac:dyDescent="0.3">
      <c r="A102" s="206"/>
      <c r="B102" s="223"/>
      <c r="C102" s="223"/>
      <c r="D102" s="224"/>
      <c r="E102" s="223"/>
      <c r="F102" s="46"/>
      <c r="G102" s="46"/>
      <c r="H102" s="296"/>
      <c r="I102" s="142"/>
      <c r="J102" s="142"/>
      <c r="K102" s="142"/>
      <c r="L102" s="142"/>
      <c r="M102" s="142"/>
      <c r="N102" s="69"/>
      <c r="O102" s="69"/>
      <c r="P102" s="69"/>
      <c r="AV102" s="69"/>
    </row>
    <row r="103" spans="1:48" s="70" customFormat="1" x14ac:dyDescent="0.3">
      <c r="A103" s="206"/>
      <c r="B103" s="223"/>
      <c r="C103" s="223"/>
      <c r="D103" s="224"/>
      <c r="E103" s="223"/>
      <c r="F103" s="46"/>
      <c r="G103" s="46"/>
      <c r="H103" s="296"/>
      <c r="I103" s="11"/>
      <c r="J103" s="63"/>
      <c r="K103" s="142"/>
      <c r="L103" s="142"/>
      <c r="M103" s="142"/>
      <c r="N103" s="144"/>
      <c r="O103" s="69"/>
      <c r="P103" s="69"/>
      <c r="AV103" s="69"/>
    </row>
    <row r="104" spans="1:48" s="70" customFormat="1" x14ac:dyDescent="0.3">
      <c r="A104" s="206"/>
      <c r="B104" s="223"/>
      <c r="C104" s="223"/>
      <c r="D104" s="224"/>
      <c r="E104" s="223"/>
      <c r="F104" s="46"/>
      <c r="G104" s="46"/>
      <c r="H104" s="296"/>
      <c r="I104" s="142"/>
      <c r="J104" s="142"/>
      <c r="K104" s="142"/>
      <c r="L104" s="142"/>
      <c r="M104" s="142"/>
      <c r="N104" s="144"/>
      <c r="O104" s="69"/>
      <c r="P104" s="69"/>
      <c r="AV104" s="69"/>
    </row>
    <row r="105" spans="1:48" s="70" customFormat="1" x14ac:dyDescent="0.3">
      <c r="A105" s="206"/>
      <c r="B105" s="223"/>
      <c r="C105" s="223"/>
      <c r="D105" s="224"/>
      <c r="E105" s="223"/>
      <c r="F105" s="46"/>
      <c r="G105" s="46"/>
      <c r="H105" s="296"/>
      <c r="I105" s="11"/>
      <c r="J105" s="63"/>
      <c r="K105" s="142"/>
      <c r="L105" s="142"/>
      <c r="M105" s="142"/>
      <c r="N105" s="144"/>
      <c r="O105" s="69"/>
      <c r="AV105" s="69"/>
    </row>
    <row r="106" spans="1:48" s="70" customFormat="1" x14ac:dyDescent="0.3">
      <c r="A106" s="206"/>
      <c r="B106" s="223"/>
      <c r="C106" s="223"/>
      <c r="D106" s="224"/>
      <c r="E106" s="223"/>
      <c r="F106" s="46"/>
      <c r="G106" s="46"/>
      <c r="H106" s="296"/>
      <c r="I106" s="142"/>
      <c r="J106" s="142"/>
      <c r="K106" s="142"/>
      <c r="L106" s="142"/>
      <c r="M106" s="142"/>
      <c r="N106" s="144"/>
      <c r="O106" s="69"/>
      <c r="AV106" s="69"/>
    </row>
    <row r="107" spans="1:48" s="70" customFormat="1" x14ac:dyDescent="0.3">
      <c r="A107" s="206"/>
      <c r="B107" s="223"/>
      <c r="C107" s="223"/>
      <c r="D107" s="224"/>
      <c r="E107" s="223"/>
      <c r="F107" s="46"/>
      <c r="G107" s="46"/>
      <c r="H107" s="296"/>
      <c r="I107" s="11"/>
      <c r="J107" s="63"/>
      <c r="K107" s="142"/>
      <c r="L107" s="142"/>
      <c r="M107" s="142"/>
      <c r="N107" s="144"/>
      <c r="O107" s="69"/>
      <c r="AV107" s="69"/>
    </row>
    <row r="108" spans="1:48" s="70" customFormat="1" x14ac:dyDescent="0.3">
      <c r="A108" s="148"/>
      <c r="B108" s="225"/>
      <c r="C108" s="225"/>
      <c r="D108" s="225"/>
      <c r="E108" s="225"/>
      <c r="F108" s="46"/>
      <c r="G108" s="46"/>
      <c r="H108" s="296"/>
      <c r="I108" s="142"/>
      <c r="J108" s="142"/>
      <c r="K108" s="142"/>
      <c r="L108" s="142"/>
      <c r="M108" s="142"/>
      <c r="N108" s="144"/>
      <c r="O108" s="144"/>
      <c r="AV108" s="69"/>
    </row>
    <row r="109" spans="1:48" s="70" customFormat="1" x14ac:dyDescent="0.3">
      <c r="A109" s="69"/>
      <c r="B109" s="69"/>
      <c r="C109" s="69"/>
      <c r="D109" s="69"/>
      <c r="E109" s="69"/>
      <c r="F109" s="69"/>
      <c r="G109" s="69"/>
      <c r="H109" s="297"/>
      <c r="I109" s="142"/>
      <c r="J109" s="142"/>
      <c r="K109" s="142"/>
      <c r="L109" s="142"/>
      <c r="M109" s="142"/>
      <c r="N109" s="144"/>
      <c r="O109" s="144"/>
      <c r="AV109" s="69"/>
    </row>
    <row r="110" spans="1:48" s="70" customFormat="1" x14ac:dyDescent="0.3">
      <c r="A110" s="69"/>
      <c r="B110" s="69"/>
      <c r="C110" s="69"/>
      <c r="D110" s="69"/>
      <c r="E110" s="69"/>
      <c r="F110" s="69"/>
      <c r="G110" s="69"/>
      <c r="H110" s="297"/>
      <c r="I110" s="69"/>
      <c r="J110" s="69"/>
      <c r="K110" s="142"/>
      <c r="L110" s="142"/>
      <c r="M110" s="142"/>
      <c r="N110" s="144"/>
      <c r="O110" s="144"/>
      <c r="AV110" s="69"/>
    </row>
    <row r="111" spans="1:48" s="70" customFormat="1" x14ac:dyDescent="0.3">
      <c r="A111" s="69"/>
      <c r="B111" s="69"/>
      <c r="C111" s="69"/>
      <c r="D111" s="69"/>
      <c r="E111" s="69"/>
      <c r="F111" s="69"/>
      <c r="G111" s="69"/>
      <c r="H111" s="297"/>
      <c r="I111" s="69"/>
      <c r="J111" s="69"/>
      <c r="K111" s="142"/>
      <c r="L111" s="142"/>
      <c r="M111" s="142"/>
      <c r="N111" s="144"/>
      <c r="O111" s="144"/>
      <c r="AV111" s="69"/>
    </row>
    <row r="112" spans="1:48" s="70" customFormat="1" x14ac:dyDescent="0.3">
      <c r="A112" s="69"/>
      <c r="B112" s="69"/>
      <c r="C112" s="69"/>
      <c r="D112" s="69"/>
      <c r="E112" s="69"/>
      <c r="F112" s="69"/>
      <c r="G112" s="69"/>
      <c r="H112" s="297"/>
      <c r="I112" s="69"/>
      <c r="J112" s="69"/>
      <c r="K112" s="142"/>
      <c r="L112" s="142"/>
      <c r="M112" s="142"/>
      <c r="N112" s="144"/>
      <c r="O112" s="144"/>
      <c r="AV112" s="69"/>
    </row>
    <row r="113" spans="1:48" s="70" customFormat="1" x14ac:dyDescent="0.3">
      <c r="A113" s="69"/>
      <c r="B113" s="69"/>
      <c r="C113" s="69"/>
      <c r="D113" s="69"/>
      <c r="E113" s="69"/>
      <c r="F113" s="69"/>
      <c r="G113" s="69"/>
      <c r="H113" s="297"/>
      <c r="I113" s="69"/>
      <c r="J113" s="69"/>
      <c r="K113" s="142"/>
      <c r="L113" s="142"/>
      <c r="M113" s="142"/>
      <c r="N113" s="144"/>
      <c r="O113" s="144"/>
      <c r="AV113" s="69"/>
    </row>
    <row r="114" spans="1:48" s="70" customFormat="1" x14ac:dyDescent="0.3">
      <c r="A114" s="69"/>
      <c r="B114" s="69"/>
      <c r="C114" s="69"/>
      <c r="D114" s="69"/>
      <c r="E114" s="69"/>
      <c r="F114" s="69"/>
      <c r="G114" s="69"/>
      <c r="H114" s="297"/>
      <c r="I114" s="69"/>
      <c r="J114" s="69"/>
      <c r="K114" s="142"/>
      <c r="L114" s="142"/>
      <c r="M114" s="142"/>
      <c r="N114" s="144"/>
      <c r="O114" s="144"/>
      <c r="AV114" s="69"/>
    </row>
    <row r="115" spans="1:48" s="70" customFormat="1" x14ac:dyDescent="0.3">
      <c r="A115" s="69"/>
      <c r="B115" s="69"/>
      <c r="C115" s="69"/>
      <c r="D115" s="69"/>
      <c r="E115" s="69"/>
      <c r="F115" s="69"/>
      <c r="G115" s="69"/>
      <c r="H115" s="297"/>
      <c r="I115" s="69"/>
      <c r="J115" s="69"/>
      <c r="K115" s="142"/>
      <c r="L115" s="142"/>
      <c r="M115" s="142"/>
      <c r="N115" s="144"/>
      <c r="O115" s="144"/>
      <c r="AV115" s="69"/>
    </row>
    <row r="116" spans="1:48" s="70" customFormat="1" x14ac:dyDescent="0.3">
      <c r="F116" s="69"/>
      <c r="G116" s="69"/>
      <c r="H116" s="297"/>
      <c r="I116" s="69"/>
      <c r="J116" s="69"/>
      <c r="K116" s="142"/>
      <c r="L116" s="142"/>
      <c r="M116" s="142"/>
      <c r="N116" s="144"/>
      <c r="O116" s="144"/>
      <c r="AV116" s="69"/>
    </row>
    <row r="117" spans="1:48" s="70" customFormat="1" x14ac:dyDescent="0.3">
      <c r="H117" s="298"/>
      <c r="I117" s="69"/>
      <c r="J117" s="69"/>
      <c r="K117" s="142"/>
      <c r="L117" s="142"/>
      <c r="M117" s="142"/>
      <c r="N117" s="144"/>
      <c r="O117" s="144"/>
      <c r="AV117" s="69"/>
    </row>
    <row r="118" spans="1:48" s="70" customFormat="1" x14ac:dyDescent="0.3">
      <c r="H118" s="298"/>
      <c r="K118" s="142"/>
      <c r="L118" s="142"/>
      <c r="M118" s="142"/>
      <c r="N118" s="144"/>
      <c r="O118" s="144"/>
      <c r="AV118" s="69"/>
    </row>
    <row r="119" spans="1:48" s="70" customFormat="1" x14ac:dyDescent="0.3">
      <c r="H119" s="298"/>
      <c r="K119" s="142"/>
      <c r="L119" s="142"/>
      <c r="M119" s="142"/>
      <c r="N119" s="144"/>
      <c r="O119" s="144"/>
      <c r="AV119" s="69"/>
    </row>
    <row r="120" spans="1:48" s="70" customFormat="1" x14ac:dyDescent="0.3">
      <c r="H120" s="298"/>
      <c r="K120" s="142"/>
      <c r="L120" s="142"/>
      <c r="M120" s="142"/>
      <c r="N120" s="144"/>
      <c r="O120" s="144"/>
      <c r="AV120" s="69"/>
    </row>
    <row r="121" spans="1:48" s="70" customFormat="1" x14ac:dyDescent="0.3">
      <c r="H121" s="298"/>
      <c r="K121" s="142"/>
      <c r="L121" s="142"/>
      <c r="M121" s="142"/>
      <c r="N121" s="144"/>
      <c r="O121" s="144"/>
      <c r="AV121" s="69"/>
    </row>
    <row r="122" spans="1:48" s="70" customFormat="1" x14ac:dyDescent="0.3">
      <c r="H122" s="298"/>
      <c r="K122" s="142"/>
      <c r="L122" s="142"/>
      <c r="M122" s="142"/>
      <c r="N122" s="144"/>
      <c r="O122" s="144"/>
      <c r="AV122" s="69"/>
    </row>
    <row r="123" spans="1:48" s="70" customFormat="1" x14ac:dyDescent="0.3">
      <c r="H123" s="298"/>
      <c r="K123" s="142"/>
      <c r="L123" s="142"/>
      <c r="M123" s="142"/>
      <c r="N123" s="144"/>
      <c r="O123" s="144"/>
      <c r="AV123" s="69"/>
    </row>
    <row r="124" spans="1:48" s="70" customFormat="1" x14ac:dyDescent="0.3">
      <c r="H124" s="298"/>
      <c r="K124" s="142"/>
      <c r="L124" s="142"/>
      <c r="M124" s="142"/>
      <c r="N124" s="144"/>
      <c r="O124" s="144"/>
      <c r="AV124" s="69"/>
    </row>
    <row r="125" spans="1:48" s="70" customFormat="1" x14ac:dyDescent="0.3">
      <c r="H125" s="298"/>
      <c r="K125" s="142"/>
      <c r="L125" s="142"/>
      <c r="M125" s="142"/>
      <c r="N125" s="144"/>
      <c r="O125" s="144"/>
      <c r="AV125" s="69"/>
    </row>
    <row r="126" spans="1:48" s="70" customFormat="1" x14ac:dyDescent="0.3">
      <c r="H126" s="298"/>
      <c r="K126" s="142"/>
      <c r="L126" s="142"/>
      <c r="M126" s="142"/>
      <c r="N126" s="144"/>
      <c r="O126" s="144"/>
      <c r="AV126" s="69"/>
    </row>
    <row r="127" spans="1:48" s="70" customFormat="1" x14ac:dyDescent="0.3">
      <c r="H127" s="298"/>
      <c r="K127" s="142"/>
      <c r="L127" s="142"/>
      <c r="M127" s="142"/>
      <c r="N127" s="144"/>
      <c r="O127" s="144"/>
      <c r="AV127" s="69"/>
    </row>
    <row r="128" spans="1:48" s="70" customFormat="1" x14ac:dyDescent="0.3">
      <c r="H128" s="298"/>
      <c r="K128" s="142"/>
      <c r="L128" s="142"/>
      <c r="M128" s="142"/>
      <c r="N128" s="144"/>
      <c r="O128" s="144"/>
      <c r="AV128" s="69"/>
    </row>
    <row r="129" spans="8:48" s="70" customFormat="1" x14ac:dyDescent="0.3">
      <c r="H129" s="298"/>
      <c r="K129" s="142"/>
      <c r="L129" s="142"/>
      <c r="M129" s="142"/>
      <c r="N129" s="144"/>
      <c r="O129" s="144"/>
      <c r="AV129" s="69"/>
    </row>
    <row r="130" spans="8:48" s="70" customFormat="1" x14ac:dyDescent="0.3">
      <c r="H130" s="298"/>
      <c r="K130" s="142"/>
      <c r="L130" s="142"/>
      <c r="M130" s="142"/>
      <c r="N130" s="144"/>
      <c r="O130" s="144"/>
      <c r="AV130" s="69"/>
    </row>
    <row r="131" spans="8:48" s="70" customFormat="1" x14ac:dyDescent="0.3">
      <c r="H131" s="298"/>
      <c r="K131" s="142"/>
      <c r="L131" s="142"/>
      <c r="M131" s="142"/>
      <c r="N131" s="144"/>
      <c r="O131" s="144"/>
      <c r="AV131" s="69"/>
    </row>
    <row r="132" spans="8:48" s="70" customFormat="1" x14ac:dyDescent="0.3">
      <c r="H132" s="298"/>
      <c r="K132" s="142"/>
      <c r="L132" s="142"/>
      <c r="M132" s="142"/>
      <c r="N132" s="144"/>
      <c r="O132" s="144"/>
      <c r="AV132" s="69"/>
    </row>
    <row r="133" spans="8:48" s="70" customFormat="1" x14ac:dyDescent="0.3">
      <c r="H133" s="298"/>
      <c r="K133" s="142"/>
      <c r="L133" s="142"/>
      <c r="M133" s="142"/>
      <c r="N133" s="144"/>
      <c r="O133" s="144"/>
      <c r="AV133" s="69"/>
    </row>
    <row r="134" spans="8:48" s="70" customFormat="1" x14ac:dyDescent="0.3">
      <c r="H134" s="298"/>
      <c r="K134" s="142"/>
      <c r="L134" s="142"/>
      <c r="M134" s="142"/>
      <c r="N134" s="144"/>
      <c r="O134" s="144"/>
      <c r="AV134" s="69"/>
    </row>
    <row r="135" spans="8:48" s="70" customFormat="1" x14ac:dyDescent="0.3">
      <c r="H135" s="298"/>
      <c r="K135" s="142"/>
      <c r="L135" s="142"/>
      <c r="M135" s="142"/>
      <c r="N135" s="144"/>
      <c r="O135" s="144"/>
      <c r="AV135" s="69"/>
    </row>
    <row r="136" spans="8:48" s="70" customFormat="1" x14ac:dyDescent="0.3">
      <c r="H136" s="298"/>
      <c r="K136" s="142"/>
      <c r="L136" s="142"/>
      <c r="M136" s="142"/>
      <c r="N136" s="144"/>
      <c r="O136" s="144"/>
      <c r="AV136" s="69"/>
    </row>
    <row r="137" spans="8:48" s="70" customFormat="1" x14ac:dyDescent="0.3">
      <c r="H137" s="298"/>
      <c r="K137" s="142"/>
      <c r="L137" s="142"/>
      <c r="M137" s="142"/>
      <c r="N137" s="144"/>
      <c r="O137" s="144"/>
      <c r="AV137" s="69"/>
    </row>
    <row r="138" spans="8:48" s="70" customFormat="1" x14ac:dyDescent="0.3">
      <c r="H138" s="298"/>
      <c r="K138" s="142"/>
      <c r="L138" s="142"/>
      <c r="M138" s="142"/>
      <c r="N138" s="144"/>
      <c r="O138" s="144"/>
      <c r="AV138" s="69"/>
    </row>
    <row r="139" spans="8:48" s="70" customFormat="1" x14ac:dyDescent="0.3">
      <c r="H139" s="298"/>
      <c r="K139" s="142"/>
      <c r="L139" s="142"/>
      <c r="M139" s="142"/>
      <c r="N139" s="144"/>
      <c r="O139" s="144"/>
      <c r="AV139" s="69"/>
    </row>
    <row r="140" spans="8:48" s="70" customFormat="1" x14ac:dyDescent="0.3">
      <c r="H140" s="298"/>
      <c r="K140" s="142"/>
      <c r="L140" s="142"/>
      <c r="M140" s="142"/>
      <c r="N140" s="144"/>
      <c r="O140" s="144"/>
      <c r="AV140" s="69"/>
    </row>
    <row r="141" spans="8:48" s="70" customFormat="1" x14ac:dyDescent="0.3">
      <c r="H141" s="298"/>
      <c r="K141" s="142"/>
      <c r="L141" s="142"/>
      <c r="M141" s="142"/>
      <c r="N141" s="144"/>
      <c r="O141" s="144"/>
      <c r="AV141" s="69"/>
    </row>
    <row r="142" spans="8:48" s="70" customFormat="1" x14ac:dyDescent="0.3">
      <c r="H142" s="298"/>
      <c r="K142" s="142"/>
      <c r="L142" s="142"/>
      <c r="M142" s="142"/>
      <c r="N142" s="144"/>
      <c r="O142" s="144"/>
      <c r="AV142" s="69"/>
    </row>
    <row r="143" spans="8:48" s="70" customFormat="1" x14ac:dyDescent="0.3">
      <c r="H143" s="298"/>
      <c r="K143" s="142"/>
      <c r="L143" s="142"/>
      <c r="M143" s="142"/>
      <c r="N143" s="144"/>
      <c r="O143" s="144"/>
      <c r="AV143" s="69"/>
    </row>
    <row r="144" spans="8:48" s="70" customFormat="1" x14ac:dyDescent="0.3">
      <c r="H144" s="298"/>
      <c r="K144" s="142"/>
      <c r="L144" s="142"/>
      <c r="M144" s="142"/>
      <c r="N144" s="144"/>
      <c r="O144" s="144"/>
      <c r="AV144" s="69"/>
    </row>
    <row r="145" spans="8:48" s="70" customFormat="1" x14ac:dyDescent="0.3">
      <c r="H145" s="298"/>
      <c r="K145" s="142"/>
      <c r="L145" s="142"/>
      <c r="M145" s="142"/>
      <c r="N145" s="144"/>
      <c r="O145" s="144"/>
      <c r="AV145" s="69"/>
    </row>
    <row r="146" spans="8:48" s="70" customFormat="1" x14ac:dyDescent="0.3">
      <c r="H146" s="298"/>
      <c r="K146" s="142"/>
      <c r="L146" s="142"/>
      <c r="M146" s="142"/>
      <c r="N146" s="144"/>
      <c r="O146" s="144"/>
      <c r="AV146" s="69"/>
    </row>
    <row r="147" spans="8:48" s="70" customFormat="1" x14ac:dyDescent="0.3">
      <c r="H147" s="298"/>
      <c r="K147" s="142"/>
      <c r="L147" s="142"/>
      <c r="M147" s="142"/>
      <c r="N147" s="144"/>
      <c r="O147" s="144"/>
      <c r="AV147" s="69"/>
    </row>
    <row r="148" spans="8:48" s="70" customFormat="1" x14ac:dyDescent="0.3">
      <c r="H148" s="298"/>
      <c r="K148" s="142"/>
      <c r="L148" s="142"/>
      <c r="M148" s="142"/>
      <c r="N148" s="144"/>
      <c r="O148" s="144"/>
      <c r="AV148" s="69"/>
    </row>
    <row r="149" spans="8:48" s="70" customFormat="1" x14ac:dyDescent="0.3">
      <c r="H149" s="298"/>
      <c r="K149" s="142"/>
      <c r="L149" s="142"/>
      <c r="M149" s="142"/>
      <c r="N149" s="144"/>
      <c r="O149" s="144"/>
      <c r="AV149" s="69"/>
    </row>
    <row r="150" spans="8:48" s="70" customFormat="1" x14ac:dyDescent="0.3">
      <c r="H150" s="298"/>
      <c r="K150" s="142"/>
      <c r="L150" s="142"/>
      <c r="M150" s="142"/>
      <c r="N150" s="144"/>
      <c r="O150" s="144"/>
      <c r="AV150" s="69"/>
    </row>
    <row r="151" spans="8:48" s="70" customFormat="1" x14ac:dyDescent="0.3">
      <c r="H151" s="298"/>
      <c r="K151" s="142"/>
      <c r="L151" s="142"/>
      <c r="M151" s="142"/>
      <c r="N151" s="144"/>
      <c r="O151" s="144"/>
      <c r="AV151" s="69"/>
    </row>
    <row r="152" spans="8:48" s="70" customFormat="1" x14ac:dyDescent="0.3">
      <c r="H152" s="298"/>
      <c r="K152" s="142"/>
      <c r="L152" s="142"/>
      <c r="M152" s="142"/>
      <c r="N152" s="144"/>
      <c r="O152" s="144"/>
      <c r="AV152" s="69"/>
    </row>
    <row r="153" spans="8:48" s="70" customFormat="1" x14ac:dyDescent="0.3">
      <c r="H153" s="298"/>
      <c r="K153" s="142"/>
      <c r="L153" s="142"/>
      <c r="M153" s="142"/>
      <c r="N153" s="144"/>
      <c r="O153" s="144"/>
      <c r="AV153" s="69"/>
    </row>
    <row r="154" spans="8:48" s="70" customFormat="1" x14ac:dyDescent="0.3">
      <c r="H154" s="298"/>
      <c r="K154" s="142"/>
      <c r="L154" s="142"/>
      <c r="M154" s="142"/>
      <c r="N154" s="144"/>
      <c r="O154" s="144"/>
      <c r="AV154" s="69"/>
    </row>
    <row r="155" spans="8:48" s="70" customFormat="1" x14ac:dyDescent="0.3">
      <c r="H155" s="298"/>
      <c r="K155" s="142"/>
      <c r="L155" s="142"/>
      <c r="M155" s="142"/>
      <c r="N155" s="144"/>
      <c r="O155" s="144"/>
      <c r="AV155" s="69"/>
    </row>
    <row r="156" spans="8:48" s="70" customFormat="1" x14ac:dyDescent="0.3">
      <c r="H156" s="298"/>
      <c r="K156" s="142"/>
      <c r="L156" s="142"/>
      <c r="M156" s="142"/>
      <c r="N156" s="144"/>
      <c r="O156" s="144"/>
      <c r="AV156" s="69"/>
    </row>
    <row r="157" spans="8:48" s="70" customFormat="1" x14ac:dyDescent="0.3">
      <c r="H157" s="298"/>
      <c r="K157" s="142"/>
      <c r="L157" s="142"/>
      <c r="M157" s="142"/>
      <c r="N157" s="144"/>
      <c r="O157" s="144"/>
      <c r="AV157" s="69"/>
    </row>
    <row r="158" spans="8:48" s="70" customFormat="1" x14ac:dyDescent="0.3">
      <c r="H158" s="298"/>
      <c r="K158" s="142"/>
      <c r="L158" s="142"/>
      <c r="M158" s="142"/>
      <c r="N158" s="144"/>
      <c r="O158" s="144"/>
      <c r="AV158" s="69"/>
    </row>
    <row r="159" spans="8:48" s="70" customFormat="1" x14ac:dyDescent="0.3">
      <c r="H159" s="298"/>
      <c r="K159" s="142"/>
      <c r="L159" s="142"/>
      <c r="M159" s="142"/>
      <c r="N159" s="144"/>
      <c r="O159" s="144"/>
      <c r="AV159" s="69"/>
    </row>
    <row r="160" spans="8:48" s="70" customFormat="1" x14ac:dyDescent="0.3">
      <c r="H160" s="298"/>
      <c r="K160" s="142"/>
      <c r="L160" s="142"/>
      <c r="M160" s="142"/>
      <c r="N160" s="144"/>
      <c r="O160" s="144"/>
      <c r="AV160" s="69"/>
    </row>
    <row r="161" spans="1:49" s="70" customFormat="1" x14ac:dyDescent="0.3">
      <c r="H161" s="298"/>
      <c r="K161" s="142"/>
      <c r="L161" s="142"/>
      <c r="M161" s="142"/>
      <c r="N161" s="144"/>
      <c r="O161" s="144"/>
      <c r="AV161" s="69"/>
    </row>
    <row r="162" spans="1:49" s="70" customFormat="1" x14ac:dyDescent="0.3">
      <c r="H162" s="298"/>
      <c r="K162" s="142"/>
      <c r="L162" s="142"/>
      <c r="M162" s="142"/>
      <c r="N162" s="144"/>
      <c r="O162" s="144"/>
      <c r="AV162" s="69"/>
    </row>
    <row r="163" spans="1:49" s="70" customFormat="1" x14ac:dyDescent="0.3">
      <c r="H163" s="298"/>
      <c r="K163" s="142"/>
      <c r="L163" s="142"/>
      <c r="M163" s="142"/>
      <c r="N163" s="144"/>
      <c r="O163" s="144"/>
      <c r="AV163" s="69"/>
    </row>
    <row r="164" spans="1:49" s="70" customFormat="1" x14ac:dyDescent="0.3">
      <c r="H164" s="298"/>
      <c r="K164" s="142"/>
      <c r="L164" s="142"/>
      <c r="M164" s="142"/>
      <c r="N164" s="144"/>
      <c r="O164" s="144"/>
      <c r="AV164" s="69"/>
    </row>
    <row r="165" spans="1:49" s="70" customFormat="1" x14ac:dyDescent="0.3">
      <c r="H165" s="298"/>
      <c r="K165" s="142"/>
      <c r="L165" s="142"/>
      <c r="M165" s="142"/>
      <c r="N165" s="144"/>
      <c r="O165" s="144"/>
      <c r="AV165" s="69"/>
    </row>
    <row r="166" spans="1:49" s="70" customFormat="1" x14ac:dyDescent="0.3">
      <c r="H166" s="298"/>
      <c r="K166" s="142"/>
      <c r="L166" s="142"/>
      <c r="M166" s="142"/>
      <c r="N166" s="144"/>
      <c r="O166" s="144"/>
      <c r="AV166" s="69"/>
    </row>
    <row r="167" spans="1:49" s="70" customFormat="1" x14ac:dyDescent="0.3">
      <c r="H167" s="298"/>
      <c r="K167" s="142"/>
      <c r="L167" s="142"/>
      <c r="M167" s="142"/>
      <c r="N167" s="144"/>
      <c r="O167" s="144"/>
      <c r="AV167" s="69"/>
    </row>
    <row r="168" spans="1:49" s="70" customFormat="1" x14ac:dyDescent="0.3">
      <c r="H168" s="298"/>
      <c r="K168" s="142"/>
      <c r="L168" s="142"/>
      <c r="M168" s="142"/>
      <c r="N168" s="144"/>
      <c r="O168" s="144"/>
      <c r="AV168" s="69"/>
    </row>
    <row r="169" spans="1:49" s="70" customFormat="1" x14ac:dyDescent="0.3">
      <c r="H169" s="298"/>
      <c r="K169" s="142"/>
      <c r="L169" s="142"/>
      <c r="M169" s="142"/>
      <c r="N169" s="144"/>
      <c r="O169" s="144"/>
      <c r="AV169" s="69"/>
    </row>
    <row r="170" spans="1:49" s="70" customFormat="1" x14ac:dyDescent="0.3">
      <c r="H170" s="298"/>
      <c r="K170" s="142"/>
      <c r="L170" s="142"/>
      <c r="M170" s="142"/>
      <c r="N170" s="144"/>
      <c r="O170" s="144"/>
      <c r="AV170" s="69"/>
    </row>
    <row r="171" spans="1:49" s="70" customFormat="1" x14ac:dyDescent="0.3">
      <c r="H171" s="298"/>
      <c r="K171" s="142"/>
      <c r="L171" s="142"/>
      <c r="M171" s="142"/>
      <c r="N171" s="144"/>
      <c r="O171" s="144"/>
      <c r="AV171" s="69"/>
    </row>
    <row r="172" spans="1:49" s="70" customFormat="1" x14ac:dyDescent="0.3">
      <c r="H172" s="298"/>
      <c r="K172" s="142"/>
      <c r="L172" s="142"/>
      <c r="M172" s="142"/>
      <c r="N172" s="144"/>
      <c r="O172" s="144"/>
      <c r="AV172" s="69"/>
    </row>
    <row r="173" spans="1:49" s="145" customFormat="1" x14ac:dyDescent="0.3">
      <c r="A173" s="70"/>
      <c r="B173" s="70"/>
      <c r="C173" s="70"/>
      <c r="D173" s="70"/>
      <c r="E173" s="70"/>
      <c r="F173" s="70"/>
      <c r="G173" s="70"/>
      <c r="H173" s="298"/>
      <c r="I173" s="70"/>
      <c r="J173" s="70"/>
      <c r="K173" s="142"/>
      <c r="L173" s="142"/>
      <c r="M173" s="142"/>
      <c r="N173" s="144"/>
      <c r="O173" s="144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69"/>
      <c r="AW173" s="70"/>
    </row>
    <row r="174" spans="1:49" s="145" customFormat="1" x14ac:dyDescent="0.3">
      <c r="A174" s="70"/>
      <c r="B174" s="70"/>
      <c r="C174" s="70"/>
      <c r="D174" s="70"/>
      <c r="E174" s="70"/>
      <c r="F174" s="70"/>
      <c r="G174" s="70"/>
      <c r="H174" s="298"/>
      <c r="I174" s="70"/>
      <c r="J174" s="70"/>
      <c r="K174" s="142"/>
      <c r="L174" s="142"/>
      <c r="M174" s="142"/>
      <c r="N174" s="144"/>
      <c r="O174" s="144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69"/>
      <c r="AW174" s="70"/>
    </row>
    <row r="175" spans="1:49" s="145" customFormat="1" x14ac:dyDescent="0.3">
      <c r="A175" s="70"/>
      <c r="B175" s="70"/>
      <c r="C175" s="70"/>
      <c r="D175" s="70"/>
      <c r="E175" s="70"/>
      <c r="F175" s="70"/>
      <c r="G175" s="70"/>
      <c r="H175" s="298"/>
      <c r="I175" s="70"/>
      <c r="J175" s="70"/>
      <c r="K175" s="142"/>
      <c r="L175" s="142"/>
      <c r="M175" s="142"/>
      <c r="N175" s="144"/>
      <c r="O175" s="144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69"/>
      <c r="AW175" s="70"/>
    </row>
    <row r="176" spans="1:49" s="145" customFormat="1" x14ac:dyDescent="0.3">
      <c r="A176" s="70"/>
      <c r="B176" s="70"/>
      <c r="C176" s="70"/>
      <c r="D176" s="70"/>
      <c r="E176" s="70"/>
      <c r="F176" s="70"/>
      <c r="G176" s="70"/>
      <c r="H176" s="298"/>
      <c r="I176" s="70"/>
      <c r="J176" s="70"/>
      <c r="K176" s="142"/>
      <c r="L176" s="142"/>
      <c r="M176" s="142"/>
      <c r="N176" s="144"/>
      <c r="O176" s="144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69"/>
      <c r="AW176" s="70"/>
    </row>
    <row r="177" spans="1:49" s="145" customFormat="1" x14ac:dyDescent="0.3">
      <c r="A177" s="70"/>
      <c r="B177" s="70"/>
      <c r="C177" s="70"/>
      <c r="D177" s="70"/>
      <c r="E177" s="70"/>
      <c r="F177" s="70"/>
      <c r="G177" s="70"/>
      <c r="H177" s="298"/>
      <c r="I177" s="70"/>
      <c r="J177" s="70"/>
      <c r="K177" s="142"/>
      <c r="L177" s="142"/>
      <c r="M177" s="142"/>
      <c r="N177" s="144"/>
      <c r="O177" s="144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69"/>
      <c r="AW177" s="70"/>
    </row>
    <row r="178" spans="1:49" s="145" customFormat="1" x14ac:dyDescent="0.3">
      <c r="A178" s="70"/>
      <c r="B178" s="70"/>
      <c r="C178" s="70"/>
      <c r="D178" s="70"/>
      <c r="E178" s="70"/>
      <c r="F178" s="70"/>
      <c r="G178" s="70"/>
      <c r="H178" s="298"/>
      <c r="I178" s="70"/>
      <c r="J178" s="70"/>
      <c r="K178" s="142"/>
      <c r="L178" s="142"/>
      <c r="M178" s="142"/>
      <c r="N178" s="144"/>
      <c r="O178" s="144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69"/>
      <c r="AW178" s="70"/>
    </row>
    <row r="179" spans="1:49" s="145" customFormat="1" x14ac:dyDescent="0.3">
      <c r="A179" s="70"/>
      <c r="B179" s="70"/>
      <c r="C179" s="70"/>
      <c r="D179" s="70"/>
      <c r="E179" s="70"/>
      <c r="F179" s="70"/>
      <c r="G179" s="70"/>
      <c r="H179" s="298"/>
      <c r="I179" s="70"/>
      <c r="J179" s="70"/>
      <c r="K179" s="142"/>
      <c r="L179" s="142"/>
      <c r="M179" s="142"/>
      <c r="N179" s="144"/>
      <c r="O179" s="144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69"/>
      <c r="AW179" s="70"/>
    </row>
    <row r="180" spans="1:49" s="145" customFormat="1" x14ac:dyDescent="0.3">
      <c r="A180" s="70"/>
      <c r="B180" s="70"/>
      <c r="C180" s="70"/>
      <c r="D180" s="70"/>
      <c r="E180" s="70"/>
      <c r="F180" s="70"/>
      <c r="G180" s="70"/>
      <c r="H180" s="298"/>
      <c r="I180" s="70"/>
      <c r="J180" s="70"/>
      <c r="K180" s="142"/>
      <c r="L180" s="142"/>
      <c r="M180" s="142"/>
      <c r="N180" s="147"/>
      <c r="O180" s="144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69"/>
      <c r="AW180" s="70"/>
    </row>
    <row r="181" spans="1:49" s="145" customFormat="1" x14ac:dyDescent="0.3">
      <c r="A181" s="70"/>
      <c r="B181" s="70"/>
      <c r="C181" s="70"/>
      <c r="D181" s="70"/>
      <c r="E181" s="70"/>
      <c r="F181" s="70"/>
      <c r="G181" s="70"/>
      <c r="H181" s="298"/>
      <c r="I181" s="70"/>
      <c r="J181" s="70"/>
      <c r="K181" s="142"/>
      <c r="L181" s="142"/>
      <c r="M181" s="142"/>
      <c r="N181" s="147"/>
      <c r="O181" s="144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69"/>
      <c r="AW181" s="70"/>
    </row>
    <row r="182" spans="1:49" s="145" customFormat="1" x14ac:dyDescent="0.3">
      <c r="A182" s="70"/>
      <c r="B182" s="70"/>
      <c r="C182" s="70"/>
      <c r="D182" s="70"/>
      <c r="E182" s="70"/>
      <c r="F182" s="70"/>
      <c r="G182" s="70"/>
      <c r="H182" s="298"/>
      <c r="I182" s="70"/>
      <c r="J182" s="70"/>
      <c r="K182" s="142"/>
      <c r="L182" s="142"/>
      <c r="M182" s="142"/>
      <c r="N182" s="147"/>
      <c r="O182" s="144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69"/>
      <c r="AW182" s="70"/>
    </row>
    <row r="183" spans="1:49" s="145" customFormat="1" x14ac:dyDescent="0.3">
      <c r="A183" s="70"/>
      <c r="B183" s="70"/>
      <c r="C183" s="70"/>
      <c r="D183" s="70"/>
      <c r="E183" s="70"/>
      <c r="F183" s="70"/>
      <c r="G183" s="70"/>
      <c r="H183" s="298"/>
      <c r="I183" s="70"/>
      <c r="J183" s="70"/>
      <c r="K183" s="142"/>
      <c r="L183" s="142"/>
      <c r="M183" s="142"/>
      <c r="N183" s="147"/>
      <c r="O183" s="144"/>
      <c r="P183" s="149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69"/>
      <c r="AW183" s="70"/>
    </row>
    <row r="184" spans="1:49" s="145" customFormat="1" x14ac:dyDescent="0.3">
      <c r="A184" s="70"/>
      <c r="B184" s="70"/>
      <c r="C184" s="70"/>
      <c r="D184" s="70"/>
      <c r="E184" s="70"/>
      <c r="F184" s="70"/>
      <c r="G184" s="70"/>
      <c r="H184" s="298"/>
      <c r="I184" s="70"/>
      <c r="J184" s="70"/>
      <c r="K184" s="142"/>
      <c r="L184" s="142"/>
      <c r="M184" s="142"/>
      <c r="N184" s="147"/>
      <c r="O184" s="144"/>
      <c r="P184" s="149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69"/>
      <c r="AW184" s="70"/>
    </row>
    <row r="185" spans="1:49" s="145" customFormat="1" x14ac:dyDescent="0.3">
      <c r="A185" s="70"/>
      <c r="B185" s="70"/>
      <c r="C185" s="70"/>
      <c r="D185" s="70"/>
      <c r="E185" s="70"/>
      <c r="F185" s="70"/>
      <c r="G185" s="70"/>
      <c r="H185" s="298"/>
      <c r="I185" s="70"/>
      <c r="J185" s="70"/>
      <c r="K185" s="146"/>
      <c r="L185" s="146"/>
      <c r="M185" s="146"/>
      <c r="N185" s="147"/>
      <c r="O185" s="147"/>
      <c r="P185" s="149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69"/>
      <c r="AW185" s="70"/>
    </row>
    <row r="186" spans="1:49" s="145" customFormat="1" x14ac:dyDescent="0.3">
      <c r="A186" s="70"/>
      <c r="B186" s="70"/>
      <c r="C186" s="70"/>
      <c r="D186" s="70"/>
      <c r="E186" s="70"/>
      <c r="F186" s="70"/>
      <c r="G186" s="70"/>
      <c r="H186" s="298"/>
      <c r="I186" s="70"/>
      <c r="J186" s="70"/>
      <c r="K186" s="146"/>
      <c r="L186" s="146"/>
      <c r="M186" s="146"/>
      <c r="N186" s="147"/>
      <c r="O186" s="147"/>
      <c r="P186" s="149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69"/>
      <c r="AW186" s="70"/>
    </row>
    <row r="187" spans="1:49" s="145" customFormat="1" x14ac:dyDescent="0.3">
      <c r="A187" s="70"/>
      <c r="B187" s="70"/>
      <c r="C187" s="70"/>
      <c r="D187" s="70"/>
      <c r="E187" s="70"/>
      <c r="F187" s="70"/>
      <c r="G187" s="70"/>
      <c r="H187" s="298"/>
      <c r="I187" s="70"/>
      <c r="J187" s="70"/>
      <c r="K187" s="146"/>
      <c r="L187" s="146"/>
      <c r="M187" s="146"/>
      <c r="N187" s="147"/>
      <c r="O187" s="147"/>
      <c r="P187" s="149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69"/>
      <c r="AW187" s="70"/>
    </row>
    <row r="188" spans="1:49" s="145" customFormat="1" x14ac:dyDescent="0.3">
      <c r="A188" s="70"/>
      <c r="B188" s="70"/>
      <c r="C188" s="70"/>
      <c r="D188" s="70"/>
      <c r="E188" s="70"/>
      <c r="F188" s="70"/>
      <c r="G188" s="70"/>
      <c r="H188" s="298"/>
      <c r="I188" s="70"/>
      <c r="J188" s="70"/>
      <c r="K188" s="146"/>
      <c r="L188" s="146"/>
      <c r="M188" s="146"/>
      <c r="N188" s="147"/>
      <c r="O188" s="147"/>
      <c r="P188" s="149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69"/>
      <c r="AW188" s="70"/>
    </row>
    <row r="189" spans="1:49" s="145" customFormat="1" x14ac:dyDescent="0.3">
      <c r="A189" s="70"/>
      <c r="B189" s="70"/>
      <c r="C189" s="70"/>
      <c r="D189" s="70"/>
      <c r="E189" s="70"/>
      <c r="F189" s="70"/>
      <c r="G189" s="70"/>
      <c r="H189" s="298"/>
      <c r="I189" s="70"/>
      <c r="J189" s="70"/>
      <c r="K189" s="146"/>
      <c r="L189" s="146"/>
      <c r="M189" s="146"/>
      <c r="N189" s="147"/>
      <c r="O189" s="147"/>
      <c r="P189" s="149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69"/>
      <c r="AW189" s="70"/>
    </row>
    <row r="190" spans="1:49" x14ac:dyDescent="0.3">
      <c r="A190" s="70"/>
      <c r="B190" s="70"/>
      <c r="C190" s="70"/>
      <c r="D190" s="70"/>
      <c r="E190" s="70"/>
      <c r="F190" s="70"/>
      <c r="G190" s="70"/>
      <c r="H190" s="298"/>
      <c r="I190" s="70"/>
      <c r="J190" s="70"/>
      <c r="K190" s="146"/>
      <c r="L190" s="146"/>
      <c r="M190" s="146"/>
      <c r="N190" s="147"/>
      <c r="O190" s="147"/>
      <c r="P190" s="149"/>
      <c r="AV190" s="148"/>
      <c r="AW190" s="148"/>
    </row>
    <row r="191" spans="1:49" x14ac:dyDescent="0.3">
      <c r="A191" s="70"/>
      <c r="B191" s="70"/>
      <c r="C191" s="70"/>
      <c r="D191" s="70"/>
      <c r="E191" s="70"/>
      <c r="F191" s="70"/>
      <c r="G191" s="70"/>
      <c r="H191" s="298"/>
      <c r="I191" s="70"/>
      <c r="J191" s="70"/>
      <c r="K191" s="146"/>
      <c r="L191" s="146"/>
      <c r="M191" s="146"/>
      <c r="N191" s="147"/>
      <c r="O191" s="147"/>
      <c r="P191" s="149"/>
      <c r="AV191" s="148"/>
      <c r="AW191" s="148"/>
    </row>
    <row r="192" spans="1:49" x14ac:dyDescent="0.3">
      <c r="A192" s="70"/>
      <c r="B192" s="70"/>
      <c r="C192" s="70"/>
      <c r="D192" s="70"/>
      <c r="E192" s="70"/>
      <c r="F192" s="70"/>
      <c r="G192" s="70"/>
      <c r="H192" s="298"/>
      <c r="I192" s="70"/>
      <c r="J192" s="70"/>
      <c r="K192" s="146"/>
      <c r="L192" s="146"/>
      <c r="M192" s="146"/>
      <c r="N192" s="147"/>
      <c r="O192" s="147"/>
      <c r="P192" s="149"/>
      <c r="AV192" s="148"/>
      <c r="AW192" s="148"/>
    </row>
    <row r="193" spans="1:49" x14ac:dyDescent="0.3">
      <c r="A193" s="149"/>
      <c r="B193" s="149"/>
      <c r="C193" s="149"/>
      <c r="D193" s="149"/>
      <c r="E193" s="149"/>
      <c r="F193" s="70"/>
      <c r="G193" s="70"/>
      <c r="H193" s="298"/>
      <c r="I193" s="70"/>
      <c r="J193" s="70"/>
      <c r="K193" s="146"/>
      <c r="L193" s="146"/>
      <c r="M193" s="146"/>
      <c r="N193" s="147"/>
      <c r="O193" s="147"/>
      <c r="P193" s="149"/>
      <c r="AV193" s="148"/>
      <c r="AW193" s="148"/>
    </row>
    <row r="194" spans="1:49" x14ac:dyDescent="0.3">
      <c r="A194" s="149"/>
      <c r="B194" s="149"/>
      <c r="C194" s="149"/>
      <c r="D194" s="149"/>
      <c r="E194" s="149"/>
      <c r="F194" s="149"/>
      <c r="G194" s="149"/>
      <c r="H194" s="299"/>
      <c r="I194" s="70"/>
      <c r="J194" s="70"/>
      <c r="K194" s="146"/>
      <c r="L194" s="146"/>
      <c r="M194" s="146"/>
      <c r="N194" s="147"/>
      <c r="O194" s="147"/>
      <c r="P194" s="149"/>
      <c r="AV194" s="148"/>
      <c r="AW194" s="148"/>
    </row>
    <row r="195" spans="1:49" x14ac:dyDescent="0.3">
      <c r="A195" s="149"/>
      <c r="B195" s="149"/>
      <c r="C195" s="149"/>
      <c r="D195" s="149"/>
      <c r="E195" s="149"/>
      <c r="F195" s="149"/>
      <c r="G195" s="149"/>
      <c r="H195" s="299"/>
      <c r="I195" s="149"/>
      <c r="J195" s="149"/>
      <c r="K195" s="146"/>
      <c r="L195" s="146"/>
      <c r="M195" s="146"/>
      <c r="N195" s="147"/>
      <c r="O195" s="147"/>
      <c r="AV195" s="148"/>
      <c r="AW195" s="148"/>
    </row>
    <row r="196" spans="1:49" x14ac:dyDescent="0.3">
      <c r="A196" s="149"/>
      <c r="B196" s="149"/>
      <c r="C196" s="149"/>
      <c r="D196" s="149"/>
      <c r="E196" s="149"/>
      <c r="F196" s="149"/>
      <c r="G196" s="149"/>
      <c r="H196" s="299"/>
      <c r="I196" s="149"/>
      <c r="J196" s="149"/>
      <c r="K196" s="146"/>
      <c r="L196" s="146"/>
      <c r="M196" s="146"/>
      <c r="N196" s="147"/>
      <c r="O196" s="147"/>
      <c r="AV196" s="148"/>
      <c r="AW196" s="148"/>
    </row>
    <row r="197" spans="1:49" x14ac:dyDescent="0.3">
      <c r="A197" s="149"/>
      <c r="B197" s="149"/>
      <c r="C197" s="149"/>
      <c r="D197" s="149"/>
      <c r="E197" s="149"/>
      <c r="F197" s="149"/>
      <c r="G197" s="149"/>
      <c r="H197" s="299"/>
      <c r="I197" s="149"/>
      <c r="J197" s="149"/>
      <c r="K197" s="146"/>
      <c r="L197" s="146"/>
      <c r="M197" s="146"/>
      <c r="O197" s="147"/>
      <c r="AV197" s="148"/>
      <c r="AW197" s="148"/>
    </row>
    <row r="198" spans="1:49" x14ac:dyDescent="0.3">
      <c r="A198" s="149"/>
      <c r="B198" s="149"/>
      <c r="C198" s="149"/>
      <c r="D198" s="149"/>
      <c r="E198" s="149"/>
      <c r="F198" s="149"/>
      <c r="G198" s="149"/>
      <c r="H198" s="299"/>
      <c r="I198" s="149"/>
      <c r="J198" s="149"/>
      <c r="K198" s="146"/>
      <c r="L198" s="146"/>
      <c r="M198" s="146"/>
      <c r="O198" s="147"/>
      <c r="AV198" s="148"/>
      <c r="AW198" s="148"/>
    </row>
    <row r="199" spans="1:49" x14ac:dyDescent="0.3">
      <c r="A199" s="149"/>
      <c r="B199" s="149"/>
      <c r="C199" s="149"/>
      <c r="D199" s="149"/>
      <c r="E199" s="149"/>
      <c r="F199" s="149"/>
      <c r="G199" s="149"/>
      <c r="H199" s="299"/>
      <c r="I199" s="149"/>
      <c r="J199" s="149"/>
      <c r="K199" s="146"/>
      <c r="L199" s="146"/>
      <c r="M199" s="146"/>
      <c r="O199" s="147"/>
      <c r="AV199" s="148"/>
      <c r="AW199" s="148"/>
    </row>
    <row r="200" spans="1:49" x14ac:dyDescent="0.3">
      <c r="A200" s="149"/>
      <c r="B200" s="149"/>
      <c r="C200" s="149"/>
      <c r="D200" s="149"/>
      <c r="E200" s="149"/>
      <c r="F200" s="149"/>
      <c r="G200" s="149"/>
      <c r="H200" s="299"/>
      <c r="I200" s="149"/>
      <c r="J200" s="149"/>
      <c r="K200" s="146"/>
      <c r="L200" s="146"/>
      <c r="M200" s="146"/>
      <c r="O200" s="147"/>
      <c r="AV200" s="148"/>
      <c r="AW200" s="148"/>
    </row>
    <row r="201" spans="1:49" x14ac:dyDescent="0.3">
      <c r="A201" s="149"/>
      <c r="B201" s="149"/>
      <c r="C201" s="149"/>
      <c r="D201" s="149"/>
      <c r="E201" s="149"/>
      <c r="F201" s="149"/>
      <c r="G201" s="149"/>
      <c r="H201" s="299"/>
      <c r="I201" s="149"/>
      <c r="J201" s="149"/>
      <c r="K201" s="146"/>
      <c r="L201" s="146"/>
      <c r="M201" s="146"/>
      <c r="N201" s="148"/>
      <c r="O201" s="147"/>
      <c r="AV201" s="148"/>
      <c r="AW201" s="148"/>
    </row>
    <row r="202" spans="1:49" x14ac:dyDescent="0.3">
      <c r="A202" s="149"/>
      <c r="B202" s="149"/>
      <c r="C202" s="149"/>
      <c r="D202" s="149"/>
      <c r="E202" s="149"/>
      <c r="F202" s="149"/>
      <c r="G202" s="149"/>
      <c r="H202" s="299"/>
      <c r="I202" s="149"/>
      <c r="J202" s="149"/>
    </row>
    <row r="203" spans="1:49" x14ac:dyDescent="0.3">
      <c r="A203" s="149"/>
      <c r="B203" s="149"/>
      <c r="C203" s="149"/>
      <c r="D203" s="149"/>
      <c r="E203" s="149"/>
      <c r="F203" s="149"/>
      <c r="G203" s="149"/>
      <c r="H203" s="299"/>
      <c r="I203" s="149"/>
      <c r="J203" s="14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  <c r="AM203" s="69"/>
      <c r="AN203" s="69"/>
      <c r="AO203" s="69"/>
      <c r="AP203" s="69"/>
      <c r="AQ203" s="69"/>
      <c r="AR203" s="69"/>
      <c r="AS203" s="69"/>
      <c r="AT203" s="69"/>
      <c r="AU203" s="69"/>
      <c r="AV203" s="148"/>
      <c r="AW203" s="148"/>
    </row>
    <row r="204" spans="1:49" x14ac:dyDescent="0.3">
      <c r="A204" s="149"/>
      <c r="B204" s="149"/>
      <c r="C204" s="149"/>
      <c r="D204" s="149"/>
      <c r="E204" s="149"/>
      <c r="F204" s="149"/>
      <c r="G204" s="149"/>
      <c r="H204" s="299"/>
      <c r="I204" s="149"/>
      <c r="J204" s="149"/>
    </row>
    <row r="205" spans="1:49" x14ac:dyDescent="0.3">
      <c r="A205" s="149"/>
      <c r="B205" s="149"/>
      <c r="C205" s="149"/>
      <c r="D205" s="149"/>
      <c r="E205" s="149"/>
      <c r="F205" s="149"/>
      <c r="G205" s="149"/>
      <c r="H205" s="299"/>
      <c r="I205" s="149"/>
      <c r="J205" s="149"/>
    </row>
    <row r="206" spans="1:49" x14ac:dyDescent="0.3">
      <c r="A206" s="149"/>
      <c r="B206" s="149"/>
      <c r="C206" s="149"/>
      <c r="D206" s="149"/>
      <c r="E206" s="149"/>
      <c r="F206" s="149"/>
      <c r="G206" s="149"/>
      <c r="H206" s="299"/>
      <c r="I206" s="149"/>
      <c r="J206" s="149"/>
    </row>
    <row r="207" spans="1:49" x14ac:dyDescent="0.3">
      <c r="A207" s="149"/>
      <c r="B207" s="149"/>
      <c r="C207" s="149"/>
      <c r="D207" s="149"/>
      <c r="E207" s="149"/>
      <c r="F207" s="149"/>
      <c r="G207" s="149"/>
      <c r="H207" s="299"/>
      <c r="I207" s="149"/>
      <c r="J207" s="149"/>
    </row>
    <row r="208" spans="1:49" x14ac:dyDescent="0.3">
      <c r="A208" s="149"/>
      <c r="B208" s="149"/>
      <c r="C208" s="149"/>
      <c r="D208" s="149"/>
      <c r="E208" s="149"/>
      <c r="F208" s="149"/>
      <c r="G208" s="149"/>
      <c r="H208" s="299"/>
      <c r="I208" s="149"/>
      <c r="J208" s="149"/>
    </row>
    <row r="209" spans="1:13" x14ac:dyDescent="0.3">
      <c r="A209" s="149"/>
      <c r="B209" s="149"/>
      <c r="C209" s="149"/>
      <c r="D209" s="149"/>
      <c r="E209" s="149"/>
      <c r="F209" s="149"/>
      <c r="G209" s="149"/>
      <c r="H209" s="299"/>
      <c r="I209" s="149"/>
      <c r="J209" s="149"/>
    </row>
    <row r="210" spans="1:13" x14ac:dyDescent="0.3">
      <c r="F210" s="149"/>
      <c r="G210" s="149"/>
      <c r="H210" s="299"/>
      <c r="I210" s="149"/>
      <c r="J210" s="149"/>
    </row>
    <row r="211" spans="1:13" x14ac:dyDescent="0.3">
      <c r="I211" s="149"/>
      <c r="J211" s="149"/>
    </row>
    <row r="215" spans="1:13" x14ac:dyDescent="0.3">
      <c r="K215" s="148"/>
      <c r="L215" s="148"/>
      <c r="M215" s="148"/>
    </row>
    <row r="1048539" spans="16:16" x14ac:dyDescent="0.3">
      <c r="P1048539" s="57"/>
    </row>
    <row r="1048547" spans="1:60" s="70" customFormat="1" x14ac:dyDescent="0.3">
      <c r="A1048547" s="148"/>
      <c r="B1048547" s="148"/>
      <c r="C1048547" s="148"/>
      <c r="D1048547" s="148"/>
      <c r="E1048547" s="148"/>
      <c r="F1048547" s="148"/>
      <c r="G1048547" s="148"/>
      <c r="H1048547" s="297"/>
      <c r="I1048547" s="148"/>
      <c r="J1048547" s="148"/>
      <c r="K1048547" s="150"/>
      <c r="L1048547" s="150"/>
      <c r="M1048547" s="150"/>
      <c r="N1048547" s="150"/>
      <c r="O1048547" s="150"/>
      <c r="P1048547" s="148"/>
      <c r="AV1048547" s="69"/>
      <c r="AW1048547" s="69"/>
      <c r="AX1048547" s="148"/>
      <c r="AY1048547" s="148"/>
      <c r="AZ1048547" s="148"/>
      <c r="BA1048547" s="148"/>
      <c r="BB1048547" s="148"/>
      <c r="BC1048547" s="148"/>
      <c r="BD1048547" s="148"/>
      <c r="BE1048547" s="148"/>
      <c r="BF1048547" s="148"/>
      <c r="BG1048547" s="148"/>
      <c r="BH1048547" s="148"/>
    </row>
  </sheetData>
  <mergeCells count="46">
    <mergeCell ref="N74:O74"/>
    <mergeCell ref="N75:O75"/>
    <mergeCell ref="N76:P76"/>
    <mergeCell ref="N77:O77"/>
    <mergeCell ref="N68:O68"/>
    <mergeCell ref="N69:O69"/>
    <mergeCell ref="N70:O70"/>
    <mergeCell ref="N71:O71"/>
    <mergeCell ref="N72:O72"/>
    <mergeCell ref="N73:O73"/>
    <mergeCell ref="N67:O67"/>
    <mergeCell ref="A56:E56"/>
    <mergeCell ref="N56:P56"/>
    <mergeCell ref="N57:O57"/>
    <mergeCell ref="N58:O58"/>
    <mergeCell ref="N59:P60"/>
    <mergeCell ref="N61:P61"/>
    <mergeCell ref="N62:O62"/>
    <mergeCell ref="N63:O63"/>
    <mergeCell ref="N64:O64"/>
    <mergeCell ref="N65:O65"/>
    <mergeCell ref="N66:O66"/>
    <mergeCell ref="A54:J54"/>
    <mergeCell ref="N43:P43"/>
    <mergeCell ref="A44:N44"/>
    <mergeCell ref="A45:P45"/>
    <mergeCell ref="E46:J46"/>
    <mergeCell ref="E47:J47"/>
    <mergeCell ref="E48:J48"/>
    <mergeCell ref="A43:J43"/>
    <mergeCell ref="E49:J49"/>
    <mergeCell ref="E50:J50"/>
    <mergeCell ref="E51:J51"/>
    <mergeCell ref="E52:J52"/>
    <mergeCell ref="E53:J53"/>
    <mergeCell ref="E38:J38"/>
    <mergeCell ref="E39:J39"/>
    <mergeCell ref="E40:J40"/>
    <mergeCell ref="E41:J41"/>
    <mergeCell ref="E42:J42"/>
    <mergeCell ref="A37:P37"/>
    <mergeCell ref="A1:P1"/>
    <mergeCell ref="A2:P2"/>
    <mergeCell ref="A6:B6"/>
    <mergeCell ref="A7:P7"/>
    <mergeCell ref="A36:B36"/>
  </mergeCells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B672-2C1E-4239-B27E-5012F726CFE8}">
  <dimension ref="A1:BH1048546"/>
  <sheetViews>
    <sheetView workbookViewId="0">
      <selection sqref="A1:XFD1048576"/>
    </sheetView>
  </sheetViews>
  <sheetFormatPr defaultColWidth="9.109375" defaultRowHeight="13.8" x14ac:dyDescent="0.3"/>
  <cols>
    <col min="1" max="1" width="50.6640625" style="148" bestFit="1" customWidth="1"/>
    <col min="2" max="2" width="8.33203125" style="148" bestFit="1" customWidth="1"/>
    <col min="3" max="3" width="17.33203125" style="148" customWidth="1"/>
    <col min="4" max="4" width="17.109375" style="148" bestFit="1" customWidth="1"/>
    <col min="5" max="5" width="18.33203125" style="148" customWidth="1"/>
    <col min="6" max="6" width="17.109375" style="148" bestFit="1" customWidth="1"/>
    <col min="7" max="7" width="16" style="148" bestFit="1" customWidth="1"/>
    <col min="8" max="8" width="15.88671875" style="297" bestFit="1" customWidth="1"/>
    <col min="9" max="9" width="12.6640625" style="148" customWidth="1"/>
    <col min="10" max="10" width="15.77734375" style="148" customWidth="1"/>
    <col min="11" max="11" width="16.77734375" style="150" bestFit="1" customWidth="1"/>
    <col min="12" max="12" width="15.88671875" style="150" bestFit="1" customWidth="1"/>
    <col min="13" max="13" width="17.109375" style="150" bestFit="1" customWidth="1"/>
    <col min="14" max="14" width="106.88671875" style="150" customWidth="1"/>
    <col min="15" max="15" width="8.6640625" style="150" customWidth="1"/>
    <col min="16" max="16" width="16.77734375" style="148" bestFit="1" customWidth="1"/>
    <col min="17" max="18" width="13.109375" style="70" bestFit="1" customWidth="1"/>
    <col min="19" max="47" width="9.109375" style="70"/>
    <col min="48" max="49" width="9.109375" style="69"/>
    <col min="50" max="16384" width="9.109375" style="148"/>
  </cols>
  <sheetData>
    <row r="1" spans="1:42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</row>
    <row r="2" spans="1:42" s="10" customFormat="1" ht="28.5" customHeight="1" x14ac:dyDescent="0.3">
      <c r="A2" s="571" t="s">
        <v>1159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3"/>
    </row>
    <row r="3" spans="1:42" s="10" customFormat="1" ht="33.6" customHeight="1" x14ac:dyDescent="0.3">
      <c r="A3" s="83" t="s">
        <v>3</v>
      </c>
      <c r="B3" s="83" t="s">
        <v>0</v>
      </c>
      <c r="C3" s="83" t="s">
        <v>821</v>
      </c>
      <c r="D3" s="84" t="s">
        <v>1</v>
      </c>
      <c r="E3" s="84" t="s">
        <v>68</v>
      </c>
      <c r="F3" s="84" t="s">
        <v>69</v>
      </c>
      <c r="G3" s="85" t="s">
        <v>2</v>
      </c>
      <c r="H3" s="85" t="s">
        <v>592</v>
      </c>
      <c r="I3" s="84" t="s">
        <v>6</v>
      </c>
      <c r="J3" s="84" t="s">
        <v>7</v>
      </c>
      <c r="K3" s="84" t="s">
        <v>4</v>
      </c>
      <c r="L3" s="84" t="s">
        <v>5</v>
      </c>
      <c r="M3" s="84" t="s">
        <v>70</v>
      </c>
      <c r="N3" s="83" t="s">
        <v>59</v>
      </c>
      <c r="O3" s="86" t="s">
        <v>8</v>
      </c>
      <c r="P3" s="86" t="s">
        <v>10</v>
      </c>
    </row>
    <row r="4" spans="1:42" s="203" customFormat="1" ht="25.05" customHeight="1" x14ac:dyDescent="0.3">
      <c r="A4" s="195" t="s">
        <v>1169</v>
      </c>
      <c r="B4" s="301">
        <v>23</v>
      </c>
      <c r="C4" s="301" t="s">
        <v>827</v>
      </c>
      <c r="D4" s="196">
        <f>660</f>
        <v>660</v>
      </c>
      <c r="E4" s="312">
        <v>0</v>
      </c>
      <c r="F4" s="196">
        <f t="shared" ref="F4" si="0">D4-E4</f>
        <v>660</v>
      </c>
      <c r="G4" s="312">
        <f>(50+25)</f>
        <v>75</v>
      </c>
      <c r="H4" s="312">
        <f>(1665.9/27)</f>
        <v>61.7</v>
      </c>
      <c r="I4" s="312">
        <f>'[2]GERAL 2025'!I10</f>
        <v>1.3720449172576832</v>
      </c>
      <c r="J4" s="312">
        <v>0</v>
      </c>
      <c r="K4" s="302">
        <f>SUM(F4:J4)</f>
        <v>798.0720449172577</v>
      </c>
      <c r="L4" s="312">
        <f>60%*(D4+G4)</f>
        <v>441</v>
      </c>
      <c r="M4" s="312">
        <f>K4-L4</f>
        <v>357.0720449172577</v>
      </c>
      <c r="N4" s="301" t="s">
        <v>1187</v>
      </c>
      <c r="O4" s="197">
        <v>10</v>
      </c>
      <c r="P4" s="197">
        <v>11</v>
      </c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1"/>
      <c r="AM4" s="202"/>
      <c r="AN4" s="202"/>
      <c r="AO4" s="202"/>
      <c r="AP4" s="202"/>
    </row>
    <row r="5" spans="1:42" s="206" customFormat="1" ht="25.05" customHeight="1" x14ac:dyDescent="0.3">
      <c r="A5" s="301" t="s">
        <v>1171</v>
      </c>
      <c r="B5" s="301">
        <v>24</v>
      </c>
      <c r="C5" s="301" t="s">
        <v>827</v>
      </c>
      <c r="D5" s="196">
        <f>740</f>
        <v>740</v>
      </c>
      <c r="E5" s="312">
        <v>0</v>
      </c>
      <c r="F5" s="196">
        <f>D5-E5</f>
        <v>740</v>
      </c>
      <c r="G5" s="312">
        <f>50</f>
        <v>50</v>
      </c>
      <c r="H5" s="312">
        <f t="shared" ref="H5" si="1">(1665.9/27)</f>
        <v>61.7</v>
      </c>
      <c r="I5" s="312">
        <f>'[2]GERAL 2025'!I9</f>
        <v>1.3720449172576832</v>
      </c>
      <c r="J5" s="312">
        <v>0</v>
      </c>
      <c r="K5" s="302">
        <f>SUM(F5:J5)</f>
        <v>853.0720449172577</v>
      </c>
      <c r="L5" s="312">
        <f>60%*(D5+G5)</f>
        <v>474</v>
      </c>
      <c r="M5" s="312">
        <f>K5-L5</f>
        <v>379.0720449172577</v>
      </c>
      <c r="N5" s="301" t="s">
        <v>1188</v>
      </c>
      <c r="O5" s="197">
        <v>10</v>
      </c>
      <c r="P5" s="197">
        <v>11</v>
      </c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</row>
    <row r="6" spans="1:42" s="10" customFormat="1" ht="25.05" customHeight="1" x14ac:dyDescent="0.3">
      <c r="A6" s="518" t="s">
        <v>4</v>
      </c>
      <c r="B6" s="518"/>
      <c r="C6" s="304"/>
      <c r="D6" s="307">
        <f>SUM(D4:D5)</f>
        <v>1400</v>
      </c>
      <c r="E6" s="307">
        <f t="shared" ref="E6:M6" si="2">SUM(E4:E5)</f>
        <v>0</v>
      </c>
      <c r="F6" s="307">
        <f t="shared" si="2"/>
        <v>1400</v>
      </c>
      <c r="G6" s="307">
        <f t="shared" si="2"/>
        <v>125</v>
      </c>
      <c r="H6" s="302">
        <f t="shared" si="2"/>
        <v>123.4</v>
      </c>
      <c r="I6" s="307">
        <f t="shared" si="2"/>
        <v>2.7440898345153664</v>
      </c>
      <c r="J6" s="307">
        <f t="shared" si="2"/>
        <v>0</v>
      </c>
      <c r="K6" s="307">
        <f t="shared" si="2"/>
        <v>1651.1440898345154</v>
      </c>
      <c r="L6" s="307">
        <f t="shared" si="2"/>
        <v>915</v>
      </c>
      <c r="M6" s="307">
        <f t="shared" si="2"/>
        <v>736.1440898345154</v>
      </c>
      <c r="N6" s="305"/>
      <c r="O6" s="3"/>
      <c r="P6" s="3"/>
    </row>
    <row r="7" spans="1:42" s="10" customFormat="1" ht="25.05" customHeight="1" x14ac:dyDescent="0.3">
      <c r="A7" s="571" t="s">
        <v>1189</v>
      </c>
      <c r="B7" s="572"/>
      <c r="C7" s="572"/>
      <c r="D7" s="572"/>
      <c r="E7" s="572"/>
      <c r="F7" s="572"/>
      <c r="G7" s="572"/>
      <c r="H7" s="572"/>
      <c r="I7" s="572"/>
      <c r="J7" s="572"/>
      <c r="K7" s="572"/>
      <c r="L7" s="572"/>
      <c r="M7" s="572"/>
      <c r="N7" s="572"/>
      <c r="O7" s="572"/>
      <c r="P7" s="573"/>
    </row>
    <row r="8" spans="1:42" s="11" customFormat="1" ht="34.799999999999997" customHeight="1" x14ac:dyDescent="0.3">
      <c r="A8" s="83" t="s">
        <v>3</v>
      </c>
      <c r="B8" s="83" t="s">
        <v>0</v>
      </c>
      <c r="C8" s="83" t="s">
        <v>821</v>
      </c>
      <c r="D8" s="84" t="s">
        <v>1</v>
      </c>
      <c r="E8" s="84" t="s">
        <v>68</v>
      </c>
      <c r="F8" s="84" t="s">
        <v>69</v>
      </c>
      <c r="G8" s="85" t="s">
        <v>2</v>
      </c>
      <c r="H8" s="85" t="s">
        <v>592</v>
      </c>
      <c r="I8" s="84" t="s">
        <v>6</v>
      </c>
      <c r="J8" s="84" t="s">
        <v>7</v>
      </c>
      <c r="K8" s="84" t="s">
        <v>4</v>
      </c>
      <c r="L8" s="84" t="s">
        <v>5</v>
      </c>
      <c r="M8" s="84" t="s">
        <v>70</v>
      </c>
      <c r="N8" s="83" t="s">
        <v>59</v>
      </c>
      <c r="O8" s="86" t="s">
        <v>8</v>
      </c>
      <c r="P8" s="86" t="s">
        <v>10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</row>
    <row r="9" spans="1:42" s="316" customFormat="1" ht="25.05" customHeight="1" x14ac:dyDescent="0.3">
      <c r="A9" s="195" t="s">
        <v>1079</v>
      </c>
      <c r="B9" s="301">
        <v>1</v>
      </c>
      <c r="C9" s="301" t="s">
        <v>830</v>
      </c>
      <c r="D9" s="196">
        <f>'[2]GERAL 2025'!G3</f>
        <v>610</v>
      </c>
      <c r="E9" s="312">
        <v>0</v>
      </c>
      <c r="F9" s="312">
        <f t="shared" ref="F9:F25" si="3">D9-E9</f>
        <v>610</v>
      </c>
      <c r="G9" s="196">
        <v>50</v>
      </c>
      <c r="H9" s="312">
        <f>(1665.9/27)</f>
        <v>61.7</v>
      </c>
      <c r="I9" s="312">
        <f>'[2]GERAL 2025'!I3</f>
        <v>1.3720449172576832</v>
      </c>
      <c r="J9" s="312">
        <v>0</v>
      </c>
      <c r="K9" s="302">
        <f t="shared" ref="K9:K35" si="4">SUM(F9:J9)</f>
        <v>723.0720449172577</v>
      </c>
      <c r="L9" s="312">
        <f>7%*K9</f>
        <v>50.615043144208045</v>
      </c>
      <c r="M9" s="312">
        <f>K9-L9</f>
        <v>672.45700177304968</v>
      </c>
      <c r="N9" s="196" t="s">
        <v>1190</v>
      </c>
      <c r="O9" s="197">
        <v>10</v>
      </c>
      <c r="P9" s="197">
        <v>11</v>
      </c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</row>
    <row r="10" spans="1:42" s="203" customFormat="1" ht="24.6" customHeight="1" x14ac:dyDescent="0.3">
      <c r="A10" s="301"/>
      <c r="B10" s="311">
        <v>2</v>
      </c>
      <c r="C10" s="301"/>
      <c r="D10" s="196">
        <v>0</v>
      </c>
      <c r="E10" s="196">
        <v>0</v>
      </c>
      <c r="F10" s="196">
        <f t="shared" si="3"/>
        <v>0</v>
      </c>
      <c r="G10" s="196">
        <v>0</v>
      </c>
      <c r="H10" s="312">
        <v>0</v>
      </c>
      <c r="I10" s="312">
        <v>0</v>
      </c>
      <c r="J10" s="196">
        <v>0</v>
      </c>
      <c r="K10" s="302">
        <f t="shared" si="4"/>
        <v>0</v>
      </c>
      <c r="L10" s="312">
        <f>7%*K10</f>
        <v>0</v>
      </c>
      <c r="M10" s="312">
        <f t="shared" ref="M10:M34" si="5">K10-L10</f>
        <v>0</v>
      </c>
      <c r="N10" s="301" t="s">
        <v>525</v>
      </c>
      <c r="O10" s="197">
        <v>10</v>
      </c>
      <c r="P10" s="197">
        <v>11</v>
      </c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1"/>
      <c r="AM10" s="202"/>
      <c r="AN10" s="202"/>
      <c r="AO10" s="202"/>
      <c r="AP10" s="202"/>
    </row>
    <row r="11" spans="1:42" s="204" customFormat="1" ht="24.6" customHeight="1" x14ac:dyDescent="0.3">
      <c r="A11" s="301" t="s">
        <v>1005</v>
      </c>
      <c r="B11" s="311">
        <v>3</v>
      </c>
      <c r="C11" s="301" t="s">
        <v>822</v>
      </c>
      <c r="D11" s="196">
        <v>0</v>
      </c>
      <c r="E11" s="196">
        <v>0</v>
      </c>
      <c r="F11" s="196">
        <f t="shared" si="3"/>
        <v>0</v>
      </c>
      <c r="G11" s="196">
        <v>0</v>
      </c>
      <c r="H11" s="312">
        <v>0</v>
      </c>
      <c r="I11" s="312">
        <v>0</v>
      </c>
      <c r="J11" s="196">
        <v>0</v>
      </c>
      <c r="K11" s="302">
        <f t="shared" si="4"/>
        <v>0</v>
      </c>
      <c r="L11" s="312">
        <f>7%*K11</f>
        <v>0</v>
      </c>
      <c r="M11" s="312">
        <f>K11-L11</f>
        <v>0</v>
      </c>
      <c r="N11" s="196" t="s">
        <v>179</v>
      </c>
      <c r="O11" s="197">
        <v>10</v>
      </c>
      <c r="P11" s="197">
        <v>11</v>
      </c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</row>
    <row r="12" spans="1:42" s="316" customFormat="1" ht="24.6" customHeight="1" x14ac:dyDescent="0.3">
      <c r="A12" s="301" t="s">
        <v>1133</v>
      </c>
      <c r="B12" s="301">
        <v>4</v>
      </c>
      <c r="C12" s="301" t="s">
        <v>829</v>
      </c>
      <c r="D12" s="196">
        <f>660</f>
        <v>660</v>
      </c>
      <c r="E12" s="196">
        <v>0</v>
      </c>
      <c r="F12" s="196">
        <f t="shared" si="3"/>
        <v>660</v>
      </c>
      <c r="G12" s="312">
        <f>50</f>
        <v>50</v>
      </c>
      <c r="H12" s="312">
        <f t="shared" ref="H12:H35" si="6">(1665.9/27)</f>
        <v>61.7</v>
      </c>
      <c r="I12" s="312">
        <f>'[2]GERAL 2025'!I34</f>
        <v>1.3720449172576832</v>
      </c>
      <c r="J12" s="312">
        <v>0</v>
      </c>
      <c r="K12" s="302">
        <f t="shared" si="4"/>
        <v>773.0720449172577</v>
      </c>
      <c r="L12" s="312">
        <f>7%*K12</f>
        <v>54.115043144208045</v>
      </c>
      <c r="M12" s="312">
        <f t="shared" si="5"/>
        <v>718.95700177304968</v>
      </c>
      <c r="N12" s="301" t="s">
        <v>1188</v>
      </c>
      <c r="O12" s="197">
        <v>10</v>
      </c>
      <c r="P12" s="311">
        <v>11</v>
      </c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</row>
    <row r="13" spans="1:42" s="316" customFormat="1" ht="25.05" customHeight="1" x14ac:dyDescent="0.3">
      <c r="A13" s="301" t="s">
        <v>744</v>
      </c>
      <c r="B13" s="301">
        <v>5</v>
      </c>
      <c r="C13" s="301" t="s">
        <v>823</v>
      </c>
      <c r="D13" s="196">
        <f>'[2]GERAL 2023'!G7+(6.53784 %*580)</f>
        <v>617.91947200000004</v>
      </c>
      <c r="E13" s="312">
        <v>0</v>
      </c>
      <c r="F13" s="312">
        <f t="shared" si="3"/>
        <v>617.91947200000004</v>
      </c>
      <c r="G13" s="312">
        <f>50</f>
        <v>50</v>
      </c>
      <c r="H13" s="312">
        <f t="shared" si="6"/>
        <v>61.7</v>
      </c>
      <c r="I13" s="312">
        <f>'[2]GERAL 2025'!I7</f>
        <v>1.3720449172576832</v>
      </c>
      <c r="J13" s="312">
        <v>0</v>
      </c>
      <c r="K13" s="302">
        <f t="shared" si="4"/>
        <v>730.99151691725774</v>
      </c>
      <c r="L13" s="312">
        <f>7%*K13</f>
        <v>51.16940618420805</v>
      </c>
      <c r="M13" s="312">
        <f t="shared" si="5"/>
        <v>679.82211073304973</v>
      </c>
      <c r="N13" s="301" t="s">
        <v>1188</v>
      </c>
      <c r="O13" s="197">
        <v>10</v>
      </c>
      <c r="P13" s="197">
        <v>11</v>
      </c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</row>
    <row r="14" spans="1:42" s="206" customFormat="1" ht="24.6" customHeight="1" x14ac:dyDescent="0.3">
      <c r="A14" s="301" t="s">
        <v>745</v>
      </c>
      <c r="B14" s="301">
        <v>6</v>
      </c>
      <c r="C14" s="301" t="s">
        <v>823</v>
      </c>
      <c r="D14" s="196">
        <f>'[2]GERAL 2023'!G8+(6.53784%*680)</f>
        <v>724.457312</v>
      </c>
      <c r="E14" s="196">
        <v>0</v>
      </c>
      <c r="F14" s="312">
        <f t="shared" si="3"/>
        <v>724.457312</v>
      </c>
      <c r="G14" s="312">
        <v>50</v>
      </c>
      <c r="H14" s="312">
        <f t="shared" si="6"/>
        <v>61.7</v>
      </c>
      <c r="I14" s="312">
        <f>'[2]GERAL 2025'!I8</f>
        <v>1.9208628841607567</v>
      </c>
      <c r="J14" s="312">
        <v>0</v>
      </c>
      <c r="K14" s="302">
        <f t="shared" si="4"/>
        <v>838.07817488416083</v>
      </c>
      <c r="L14" s="312">
        <f t="shared" ref="L14:L35" si="7">7%*K14</f>
        <v>58.665472241891266</v>
      </c>
      <c r="M14" s="312">
        <f>K14-L14</f>
        <v>779.41270264226955</v>
      </c>
      <c r="N14" s="301" t="s">
        <v>1188</v>
      </c>
      <c r="O14" s="197">
        <v>10</v>
      </c>
      <c r="P14" s="197">
        <v>11</v>
      </c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</row>
    <row r="15" spans="1:42" s="316" customFormat="1" ht="24.6" customHeight="1" x14ac:dyDescent="0.3">
      <c r="A15" s="301" t="s">
        <v>1136</v>
      </c>
      <c r="B15" s="301">
        <v>7</v>
      </c>
      <c r="C15" s="301" t="s">
        <v>829</v>
      </c>
      <c r="D15" s="196">
        <v>0</v>
      </c>
      <c r="E15" s="312">
        <v>0</v>
      </c>
      <c r="F15" s="196">
        <f t="shared" si="3"/>
        <v>0</v>
      </c>
      <c r="G15" s="312">
        <v>0</v>
      </c>
      <c r="H15" s="312">
        <v>0</v>
      </c>
      <c r="I15" s="312">
        <v>0</v>
      </c>
      <c r="J15" s="312">
        <v>0</v>
      </c>
      <c r="K15" s="302">
        <f t="shared" si="4"/>
        <v>0</v>
      </c>
      <c r="L15" s="312">
        <f>7%*K15</f>
        <v>0</v>
      </c>
      <c r="M15" s="312">
        <f t="shared" si="5"/>
        <v>0</v>
      </c>
      <c r="N15" s="301" t="s">
        <v>179</v>
      </c>
      <c r="O15" s="197">
        <v>10</v>
      </c>
      <c r="P15" s="197">
        <v>11</v>
      </c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</row>
    <row r="16" spans="1:42" s="316" customFormat="1" ht="24.6" customHeight="1" x14ac:dyDescent="0.3">
      <c r="A16" s="301" t="s">
        <v>1085</v>
      </c>
      <c r="B16" s="301">
        <v>8</v>
      </c>
      <c r="C16" s="301" t="s">
        <v>830</v>
      </c>
      <c r="D16" s="196">
        <f>'[2]GERAL 2025'!G10</f>
        <v>640</v>
      </c>
      <c r="E16" s="312">
        <v>0</v>
      </c>
      <c r="F16" s="196">
        <f t="shared" si="3"/>
        <v>640</v>
      </c>
      <c r="G16" s="312">
        <v>0</v>
      </c>
      <c r="H16" s="312">
        <f t="shared" si="6"/>
        <v>61.7</v>
      </c>
      <c r="I16" s="312">
        <f>'[2]GERAL 2025'!I10</f>
        <v>1.3720449172576832</v>
      </c>
      <c r="J16" s="312">
        <v>0</v>
      </c>
      <c r="K16" s="302">
        <f t="shared" si="4"/>
        <v>703.0720449172577</v>
      </c>
      <c r="L16" s="312">
        <f>7%*K16</f>
        <v>49.215043144208046</v>
      </c>
      <c r="M16" s="312">
        <f>K16-L16</f>
        <v>653.85700177304966</v>
      </c>
      <c r="N16" s="196" t="s">
        <v>723</v>
      </c>
      <c r="O16" s="197">
        <v>10</v>
      </c>
      <c r="P16" s="197">
        <v>11</v>
      </c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</row>
    <row r="17" spans="1:47" s="316" customFormat="1" ht="24.6" customHeight="1" x14ac:dyDescent="0.3">
      <c r="A17" s="301" t="s">
        <v>852</v>
      </c>
      <c r="B17" s="301">
        <v>9</v>
      </c>
      <c r="C17" s="301" t="s">
        <v>828</v>
      </c>
      <c r="D17" s="196">
        <f>640+(5.59268%*640)</f>
        <v>675.79315199999996</v>
      </c>
      <c r="E17" s="312">
        <v>0</v>
      </c>
      <c r="F17" s="196">
        <f t="shared" si="3"/>
        <v>675.79315199999996</v>
      </c>
      <c r="G17" s="312">
        <v>0</v>
      </c>
      <c r="H17" s="312">
        <f t="shared" si="6"/>
        <v>61.7</v>
      </c>
      <c r="I17" s="312">
        <f>'[2]GERAL 2025'!I11</f>
        <v>1.3720449172576832</v>
      </c>
      <c r="J17" s="312">
        <v>0</v>
      </c>
      <c r="K17" s="302">
        <f t="shared" si="4"/>
        <v>738.86519691725766</v>
      </c>
      <c r="L17" s="312">
        <f>7%*K17</f>
        <v>51.720563784208039</v>
      </c>
      <c r="M17" s="312">
        <f>K17-L17</f>
        <v>687.14463313304964</v>
      </c>
      <c r="N17" s="301" t="s">
        <v>723</v>
      </c>
      <c r="O17" s="207">
        <v>10</v>
      </c>
      <c r="P17" s="197">
        <v>11</v>
      </c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</row>
    <row r="18" spans="1:47" s="148" customFormat="1" ht="25.05" customHeight="1" x14ac:dyDescent="0.3">
      <c r="A18" s="311" t="s">
        <v>739</v>
      </c>
      <c r="B18" s="311">
        <v>10</v>
      </c>
      <c r="C18" s="203" t="s">
        <v>825</v>
      </c>
      <c r="D18" s="196">
        <f>588.62</f>
        <v>588.62</v>
      </c>
      <c r="E18" s="312">
        <v>0</v>
      </c>
      <c r="F18" s="196">
        <f t="shared" si="3"/>
        <v>588.62</v>
      </c>
      <c r="G18" s="312">
        <v>26.76</v>
      </c>
      <c r="H18" s="312">
        <f t="shared" si="6"/>
        <v>61.7</v>
      </c>
      <c r="I18" s="312">
        <f>'[2]GERAL 2025'!I12</f>
        <v>1.3720449172576832</v>
      </c>
      <c r="J18" s="312">
        <v>132.38999999999999</v>
      </c>
      <c r="K18" s="302">
        <f t="shared" si="4"/>
        <v>810.84204491725768</v>
      </c>
      <c r="L18" s="312">
        <f t="shared" si="7"/>
        <v>56.75894314420804</v>
      </c>
      <c r="M18" s="312">
        <f t="shared" si="5"/>
        <v>754.08310177304963</v>
      </c>
      <c r="N18" s="196" t="s">
        <v>1191</v>
      </c>
      <c r="O18" s="197">
        <v>10</v>
      </c>
      <c r="P18" s="311">
        <v>11</v>
      </c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  <c r="AI18" s="208"/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  <c r="AT18" s="208"/>
      <c r="AU18" s="208"/>
    </row>
    <row r="19" spans="1:47" s="148" customFormat="1" ht="24.6" customHeight="1" x14ac:dyDescent="0.3">
      <c r="A19" s="203" t="s">
        <v>1192</v>
      </c>
      <c r="B19" s="311">
        <v>11</v>
      </c>
      <c r="C19" s="203" t="s">
        <v>825</v>
      </c>
      <c r="D19" s="312">
        <f>660/30*22</f>
        <v>484</v>
      </c>
      <c r="E19" s="312">
        <v>0</v>
      </c>
      <c r="F19" s="196">
        <f t="shared" si="3"/>
        <v>484</v>
      </c>
      <c r="G19" s="312">
        <f>25/30*22</f>
        <v>18.333333333333336</v>
      </c>
      <c r="H19" s="312">
        <f>(1665.9/27)/30*22</f>
        <v>45.24666666666667</v>
      </c>
      <c r="I19" s="312">
        <f>'[2]GERAL 2025'!I38/30*22</f>
        <v>1.0061662726556342</v>
      </c>
      <c r="J19" s="312">
        <v>133.82</v>
      </c>
      <c r="K19" s="302">
        <f t="shared" si="4"/>
        <v>682.40616627265558</v>
      </c>
      <c r="L19" s="312">
        <f>7%*K19</f>
        <v>47.768431639085897</v>
      </c>
      <c r="M19" s="312">
        <f>K19-L19</f>
        <v>634.63773463356972</v>
      </c>
      <c r="N19" s="196" t="s">
        <v>1193</v>
      </c>
      <c r="O19" s="197">
        <v>10</v>
      </c>
      <c r="P19" s="311">
        <v>11</v>
      </c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8"/>
      <c r="AR19" s="208"/>
      <c r="AS19" s="208"/>
      <c r="AT19" s="208"/>
      <c r="AU19" s="208"/>
    </row>
    <row r="20" spans="1:47" s="316" customFormat="1" ht="24" customHeight="1" x14ac:dyDescent="0.3">
      <c r="A20" s="301" t="s">
        <v>1087</v>
      </c>
      <c r="B20" s="301">
        <v>12</v>
      </c>
      <c r="C20" s="301" t="s">
        <v>830</v>
      </c>
      <c r="D20" s="196">
        <f>'[2]GERAL 2025'!G14</f>
        <v>610</v>
      </c>
      <c r="E20" s="312">
        <v>0</v>
      </c>
      <c r="F20" s="196">
        <f t="shared" si="3"/>
        <v>610</v>
      </c>
      <c r="G20" s="196">
        <v>50</v>
      </c>
      <c r="H20" s="312">
        <f t="shared" si="6"/>
        <v>61.7</v>
      </c>
      <c r="I20" s="312">
        <f>'[2]GERAL 2025'!I14</f>
        <v>1.3720449172576832</v>
      </c>
      <c r="J20" s="196">
        <v>0</v>
      </c>
      <c r="K20" s="302">
        <f t="shared" si="4"/>
        <v>723.0720449172577</v>
      </c>
      <c r="L20" s="312">
        <f t="shared" si="7"/>
        <v>50.615043144208045</v>
      </c>
      <c r="M20" s="312">
        <f t="shared" si="5"/>
        <v>672.45700177304968</v>
      </c>
      <c r="N20" s="196" t="s">
        <v>1188</v>
      </c>
      <c r="O20" s="197">
        <v>10</v>
      </c>
      <c r="P20" s="197">
        <v>11</v>
      </c>
      <c r="Q20" s="198"/>
      <c r="R20" s="198"/>
      <c r="S20" s="198"/>
      <c r="T20" s="198"/>
      <c r="U20" s="198"/>
      <c r="V20" s="198"/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</row>
    <row r="21" spans="1:47" s="206" customFormat="1" ht="25.05" customHeight="1" x14ac:dyDescent="0.3">
      <c r="A21" s="301" t="s">
        <v>756</v>
      </c>
      <c r="B21" s="301">
        <v>13</v>
      </c>
      <c r="C21" s="301" t="s">
        <v>827</v>
      </c>
      <c r="D21" s="196">
        <v>596.77</v>
      </c>
      <c r="E21" s="196">
        <v>0</v>
      </c>
      <c r="F21" s="196">
        <f t="shared" si="3"/>
        <v>596.77</v>
      </c>
      <c r="G21" s="312">
        <v>0</v>
      </c>
      <c r="H21" s="312">
        <f t="shared" si="6"/>
        <v>61.7</v>
      </c>
      <c r="I21" s="312">
        <f>'[2]GERAL 2025'!I15</f>
        <v>1.3720449172576832</v>
      </c>
      <c r="J21" s="312">
        <v>0</v>
      </c>
      <c r="K21" s="302">
        <f t="shared" si="4"/>
        <v>659.84204491725768</v>
      </c>
      <c r="L21" s="312">
        <f t="shared" si="7"/>
        <v>46.188943144208039</v>
      </c>
      <c r="M21" s="312">
        <f t="shared" si="5"/>
        <v>613.65310177304968</v>
      </c>
      <c r="N21" s="301" t="s">
        <v>723</v>
      </c>
      <c r="O21" s="197">
        <v>10</v>
      </c>
      <c r="P21" s="197">
        <v>11</v>
      </c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</row>
    <row r="22" spans="1:47" s="148" customFormat="1" ht="24.6" customHeight="1" x14ac:dyDescent="0.3">
      <c r="A22" s="197" t="s">
        <v>977</v>
      </c>
      <c r="B22" s="311">
        <v>14</v>
      </c>
      <c r="C22" s="301" t="s">
        <v>827</v>
      </c>
      <c r="D22" s="196">
        <v>657.82</v>
      </c>
      <c r="E22" s="312">
        <v>0</v>
      </c>
      <c r="F22" s="196">
        <f t="shared" si="3"/>
        <v>657.82</v>
      </c>
      <c r="G22" s="312">
        <v>54.25</v>
      </c>
      <c r="H22" s="312">
        <f t="shared" si="6"/>
        <v>61.7</v>
      </c>
      <c r="I22" s="312">
        <f>'[2]GERAL 2025'!I16</f>
        <v>1.3720449172576832</v>
      </c>
      <c r="J22" s="312">
        <v>0</v>
      </c>
      <c r="K22" s="302">
        <f t="shared" si="4"/>
        <v>775.14204491725775</v>
      </c>
      <c r="L22" s="312">
        <f t="shared" si="7"/>
        <v>54.259943144208044</v>
      </c>
      <c r="M22" s="312">
        <f t="shared" si="5"/>
        <v>720.88210177304973</v>
      </c>
      <c r="N22" s="301" t="s">
        <v>1188</v>
      </c>
      <c r="O22" s="197">
        <v>10</v>
      </c>
      <c r="P22" s="311">
        <v>11</v>
      </c>
      <c r="Q22" s="208"/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  <c r="AD22" s="208"/>
      <c r="AE22" s="208"/>
      <c r="AF22" s="208"/>
      <c r="AG22" s="208"/>
      <c r="AH22" s="208"/>
      <c r="AI22" s="208"/>
      <c r="AJ22" s="208"/>
      <c r="AK22" s="208"/>
      <c r="AL22" s="208"/>
      <c r="AM22" s="208"/>
      <c r="AN22" s="208"/>
      <c r="AO22" s="208"/>
      <c r="AP22" s="208"/>
      <c r="AQ22" s="208"/>
      <c r="AR22" s="208"/>
      <c r="AS22" s="208"/>
      <c r="AT22" s="208"/>
      <c r="AU22" s="208"/>
    </row>
    <row r="23" spans="1:47" s="204" customFormat="1" ht="24.6" customHeight="1" x14ac:dyDescent="0.3">
      <c r="A23" s="301" t="s">
        <v>748</v>
      </c>
      <c r="B23" s="301">
        <v>15</v>
      </c>
      <c r="C23" s="301" t="s">
        <v>827</v>
      </c>
      <c r="D23" s="196">
        <v>737.83</v>
      </c>
      <c r="E23" s="312">
        <v>0</v>
      </c>
      <c r="F23" s="196">
        <f t="shared" si="3"/>
        <v>737.83</v>
      </c>
      <c r="G23" s="312">
        <v>27.13</v>
      </c>
      <c r="H23" s="312">
        <f t="shared" si="6"/>
        <v>61.7</v>
      </c>
      <c r="I23" s="312">
        <f>'[2]GERAL 2025'!I17</f>
        <v>1.9208628841607567</v>
      </c>
      <c r="J23" s="312">
        <v>0</v>
      </c>
      <c r="K23" s="302">
        <f t="shared" si="4"/>
        <v>828.58086288416087</v>
      </c>
      <c r="L23" s="312">
        <f t="shared" si="7"/>
        <v>58.000660401891267</v>
      </c>
      <c r="M23" s="312">
        <f t="shared" si="5"/>
        <v>770.58020248226956</v>
      </c>
      <c r="N23" s="301" t="s">
        <v>1194</v>
      </c>
      <c r="O23" s="197">
        <v>10</v>
      </c>
      <c r="P23" s="311">
        <v>11</v>
      </c>
      <c r="Q23" s="200"/>
      <c r="R23" s="200"/>
      <c r="S23" s="200"/>
      <c r="T23" s="200"/>
      <c r="U23" s="200"/>
      <c r="V23" s="200"/>
      <c r="W23" s="200"/>
      <c r="X23" s="200"/>
      <c r="Y23" s="200"/>
    </row>
    <row r="24" spans="1:47" s="206" customFormat="1" ht="24.6" customHeight="1" x14ac:dyDescent="0.3">
      <c r="A24" s="226" t="s">
        <v>1195</v>
      </c>
      <c r="B24" s="197">
        <v>16</v>
      </c>
      <c r="C24" s="203" t="s">
        <v>825</v>
      </c>
      <c r="D24" s="196">
        <f>690/30*26</f>
        <v>598</v>
      </c>
      <c r="E24" s="312">
        <v>0</v>
      </c>
      <c r="F24" s="196">
        <f>D24-E24</f>
        <v>598</v>
      </c>
      <c r="G24" s="312">
        <v>0</v>
      </c>
      <c r="H24" s="312">
        <f>(1665.9/27)/30*26</f>
        <v>53.473333333333329</v>
      </c>
      <c r="I24" s="312">
        <f>'[2]GERAL 2025'!I39/30*26</f>
        <v>1.1891055949566587</v>
      </c>
      <c r="J24" s="312">
        <v>134.21</v>
      </c>
      <c r="K24" s="302">
        <f t="shared" si="4"/>
        <v>786.87243892829008</v>
      </c>
      <c r="L24" s="312">
        <f t="shared" si="7"/>
        <v>55.081070724980307</v>
      </c>
      <c r="M24" s="312">
        <f>K24-L24</f>
        <v>731.79136820330973</v>
      </c>
      <c r="N24" s="196" t="s">
        <v>1196</v>
      </c>
      <c r="O24" s="197">
        <v>10</v>
      </c>
      <c r="P24" s="197">
        <v>11</v>
      </c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  <c r="AP24" s="205"/>
    </row>
    <row r="25" spans="1:47" s="206" customFormat="1" ht="24.6" customHeight="1" x14ac:dyDescent="0.3">
      <c r="A25" s="195" t="s">
        <v>1029</v>
      </c>
      <c r="B25" s="195">
        <v>17</v>
      </c>
      <c r="C25" s="195" t="s">
        <v>824</v>
      </c>
      <c r="D25" s="196">
        <f>'[2]GERAL 2024'!G45</f>
        <v>610</v>
      </c>
      <c r="E25" s="312">
        <v>0</v>
      </c>
      <c r="F25" s="196">
        <f t="shared" si="3"/>
        <v>610</v>
      </c>
      <c r="G25" s="312">
        <v>50</v>
      </c>
      <c r="H25" s="312">
        <f t="shared" si="6"/>
        <v>61.7</v>
      </c>
      <c r="I25" s="312">
        <f>'[2]GERAL 2025'!I19</f>
        <v>1.3720449172576832</v>
      </c>
      <c r="J25" s="312">
        <v>0</v>
      </c>
      <c r="K25" s="302">
        <f t="shared" si="4"/>
        <v>723.0720449172577</v>
      </c>
      <c r="L25" s="312">
        <f>7%*K25</f>
        <v>50.615043144208045</v>
      </c>
      <c r="M25" s="312">
        <f>K25-L25</f>
        <v>672.45700177304968</v>
      </c>
      <c r="N25" s="301" t="s">
        <v>1188</v>
      </c>
      <c r="O25" s="197">
        <v>10</v>
      </c>
      <c r="P25" s="197">
        <v>11</v>
      </c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</row>
    <row r="26" spans="1:47" s="206" customFormat="1" ht="24.6" customHeight="1" x14ac:dyDescent="0.3">
      <c r="A26" s="195" t="s">
        <v>1030</v>
      </c>
      <c r="B26" s="301">
        <v>18</v>
      </c>
      <c r="C26" s="195" t="s">
        <v>824</v>
      </c>
      <c r="D26" s="196">
        <f>'[2]GERAL 2024'!G46</f>
        <v>640</v>
      </c>
      <c r="E26" s="312">
        <v>0</v>
      </c>
      <c r="F26" s="196">
        <f>D26-E26</f>
        <v>640</v>
      </c>
      <c r="G26" s="312">
        <v>0</v>
      </c>
      <c r="H26" s="312">
        <f t="shared" si="6"/>
        <v>61.7</v>
      </c>
      <c r="I26" s="312">
        <f>'[2]GERAL 2025'!I20</f>
        <v>1.3720449172576832</v>
      </c>
      <c r="J26" s="312">
        <v>0</v>
      </c>
      <c r="K26" s="302">
        <f t="shared" si="4"/>
        <v>703.0720449172577</v>
      </c>
      <c r="L26" s="312">
        <f t="shared" si="7"/>
        <v>49.215043144208046</v>
      </c>
      <c r="M26" s="312">
        <f t="shared" si="5"/>
        <v>653.85700177304966</v>
      </c>
      <c r="N26" s="301" t="s">
        <v>723</v>
      </c>
      <c r="O26" s="197">
        <v>10</v>
      </c>
      <c r="P26" s="197">
        <v>11</v>
      </c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</row>
    <row r="27" spans="1:47" s="206" customFormat="1" ht="25.05" customHeight="1" x14ac:dyDescent="0.3">
      <c r="A27" s="301" t="s">
        <v>1012</v>
      </c>
      <c r="B27" s="301">
        <v>19</v>
      </c>
      <c r="C27" s="301" t="s">
        <v>822</v>
      </c>
      <c r="D27" s="196">
        <f>'[2]GERAL 2024'!G44</f>
        <v>580</v>
      </c>
      <c r="E27" s="312">
        <v>0</v>
      </c>
      <c r="F27" s="196">
        <f>(D27-E27)</f>
        <v>580</v>
      </c>
      <c r="G27" s="312">
        <v>50</v>
      </c>
      <c r="H27" s="312">
        <f t="shared" si="6"/>
        <v>61.7</v>
      </c>
      <c r="I27" s="312">
        <f>'[2]GERAL 2025'!I21</f>
        <v>1.3720449172576832</v>
      </c>
      <c r="J27" s="312">
        <v>0</v>
      </c>
      <c r="K27" s="302">
        <f t="shared" si="4"/>
        <v>693.0720449172577</v>
      </c>
      <c r="L27" s="312">
        <f t="shared" si="7"/>
        <v>48.515043144208043</v>
      </c>
      <c r="M27" s="312">
        <f t="shared" si="5"/>
        <v>644.55700177304971</v>
      </c>
      <c r="N27" s="301" t="s">
        <v>1188</v>
      </c>
      <c r="O27" s="207">
        <v>10</v>
      </c>
      <c r="P27" s="197">
        <v>11</v>
      </c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</row>
    <row r="28" spans="1:47" s="206" customFormat="1" ht="24" customHeight="1" x14ac:dyDescent="0.3">
      <c r="A28" s="195"/>
      <c r="B28" s="301">
        <v>20</v>
      </c>
      <c r="C28" s="301"/>
      <c r="D28" s="196">
        <v>0</v>
      </c>
      <c r="E28" s="312">
        <v>0</v>
      </c>
      <c r="F28" s="196">
        <f t="shared" ref="F28:F35" si="8">D28-E28</f>
        <v>0</v>
      </c>
      <c r="G28" s="312">
        <v>0</v>
      </c>
      <c r="H28" s="312">
        <v>0</v>
      </c>
      <c r="I28" s="312">
        <v>0</v>
      </c>
      <c r="J28" s="312">
        <v>0</v>
      </c>
      <c r="K28" s="302">
        <f t="shared" si="4"/>
        <v>0</v>
      </c>
      <c r="L28" s="312">
        <f t="shared" si="7"/>
        <v>0</v>
      </c>
      <c r="M28" s="312">
        <f t="shared" si="5"/>
        <v>0</v>
      </c>
      <c r="N28" s="301" t="s">
        <v>525</v>
      </c>
      <c r="O28" s="207">
        <v>10</v>
      </c>
      <c r="P28" s="197">
        <v>11</v>
      </c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</row>
    <row r="29" spans="1:47" s="206" customFormat="1" ht="25.2" customHeight="1" x14ac:dyDescent="0.3">
      <c r="A29" s="195" t="s">
        <v>788</v>
      </c>
      <c r="B29" s="301">
        <v>21</v>
      </c>
      <c r="C29" s="301" t="s">
        <v>822</v>
      </c>
      <c r="D29" s="196">
        <f>'[2]GERAL 2023'!G39+(2.45026%*580)</f>
        <v>594.21150799999998</v>
      </c>
      <c r="E29" s="312">
        <v>0</v>
      </c>
      <c r="F29" s="196">
        <f t="shared" si="8"/>
        <v>594.21150799999998</v>
      </c>
      <c r="G29" s="312">
        <v>25</v>
      </c>
      <c r="H29" s="312">
        <f t="shared" si="6"/>
        <v>61.7</v>
      </c>
      <c r="I29" s="312">
        <f>'[2]GERAL 2025'!I23</f>
        <v>1.3720449172576832</v>
      </c>
      <c r="J29" s="312">
        <v>0</v>
      </c>
      <c r="K29" s="302">
        <f t="shared" si="4"/>
        <v>682.28355291725768</v>
      </c>
      <c r="L29" s="312">
        <f t="shared" si="7"/>
        <v>47.759848704208039</v>
      </c>
      <c r="M29" s="312">
        <f t="shared" si="5"/>
        <v>634.52370421304965</v>
      </c>
      <c r="N29" s="301" t="s">
        <v>1194</v>
      </c>
      <c r="O29" s="207">
        <v>10</v>
      </c>
      <c r="P29" s="197">
        <v>11</v>
      </c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</row>
    <row r="30" spans="1:47" s="206" customFormat="1" ht="25.05" customHeight="1" x14ac:dyDescent="0.3">
      <c r="A30" s="338" t="s">
        <v>950</v>
      </c>
      <c r="B30" s="216">
        <v>22</v>
      </c>
      <c r="C30" s="216" t="s">
        <v>951</v>
      </c>
      <c r="D30" s="217">
        <v>662.35</v>
      </c>
      <c r="E30" s="210">
        <v>0</v>
      </c>
      <c r="F30" s="217">
        <f t="shared" si="8"/>
        <v>662.35</v>
      </c>
      <c r="G30" s="210">
        <v>0</v>
      </c>
      <c r="H30" s="210">
        <f t="shared" si="6"/>
        <v>61.7</v>
      </c>
      <c r="I30" s="210">
        <f>'[2]GERAL 2025'!I24</f>
        <v>1.3720449172576832</v>
      </c>
      <c r="J30" s="210">
        <v>0</v>
      </c>
      <c r="K30" s="339">
        <f t="shared" si="4"/>
        <v>725.42204491725772</v>
      </c>
      <c r="L30" s="210">
        <f>7%*K30</f>
        <v>50.779543144208048</v>
      </c>
      <c r="M30" s="210">
        <f>K30-L30</f>
        <v>674.64250177304962</v>
      </c>
      <c r="N30" s="216" t="s">
        <v>723</v>
      </c>
      <c r="O30" s="340">
        <v>10</v>
      </c>
      <c r="P30" s="235">
        <v>11</v>
      </c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</row>
    <row r="31" spans="1:47" s="301" customFormat="1" ht="24.6" customHeight="1" x14ac:dyDescent="0.3">
      <c r="A31" s="195" t="s">
        <v>1169</v>
      </c>
      <c r="B31" s="301">
        <v>23</v>
      </c>
      <c r="C31" s="301" t="s">
        <v>827</v>
      </c>
      <c r="D31" s="196">
        <v>0</v>
      </c>
      <c r="E31" s="312">
        <v>0</v>
      </c>
      <c r="F31" s="196">
        <f t="shared" si="8"/>
        <v>0</v>
      </c>
      <c r="G31" s="312">
        <v>0</v>
      </c>
      <c r="H31" s="312">
        <v>0</v>
      </c>
      <c r="I31" s="312">
        <v>0</v>
      </c>
      <c r="J31" s="312">
        <v>0</v>
      </c>
      <c r="K31" s="302">
        <f t="shared" si="4"/>
        <v>0</v>
      </c>
      <c r="L31" s="312">
        <f>7%*K31</f>
        <v>0</v>
      </c>
      <c r="M31" s="312">
        <f>K31-L31</f>
        <v>0</v>
      </c>
      <c r="N31" s="301" t="s">
        <v>108</v>
      </c>
      <c r="O31" s="197">
        <v>10</v>
      </c>
      <c r="P31" s="197">
        <v>11</v>
      </c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</row>
    <row r="32" spans="1:47" s="203" customFormat="1" ht="25.05" customHeight="1" x14ac:dyDescent="0.3">
      <c r="A32" s="301" t="s">
        <v>1171</v>
      </c>
      <c r="B32" s="301">
        <v>24</v>
      </c>
      <c r="C32" s="301" t="s">
        <v>827</v>
      </c>
      <c r="D32" s="196">
        <v>0</v>
      </c>
      <c r="E32" s="312">
        <v>0</v>
      </c>
      <c r="F32" s="196">
        <f>D32-E32</f>
        <v>0</v>
      </c>
      <c r="G32" s="312">
        <v>0</v>
      </c>
      <c r="H32" s="312">
        <v>0</v>
      </c>
      <c r="I32" s="312">
        <v>0</v>
      </c>
      <c r="J32" s="312">
        <v>0</v>
      </c>
      <c r="K32" s="302">
        <f t="shared" si="4"/>
        <v>0</v>
      </c>
      <c r="L32" s="312">
        <f>7%*K32</f>
        <v>0</v>
      </c>
      <c r="M32" s="312">
        <f t="shared" si="5"/>
        <v>0</v>
      </c>
      <c r="N32" s="301" t="s">
        <v>108</v>
      </c>
      <c r="O32" s="197">
        <v>10</v>
      </c>
      <c r="P32" s="197">
        <v>11</v>
      </c>
      <c r="Q32" s="202"/>
      <c r="R32" s="202"/>
      <c r="S32" s="202"/>
      <c r="T32" s="202"/>
      <c r="U32" s="202"/>
      <c r="V32" s="202"/>
      <c r="W32" s="202"/>
      <c r="X32" s="202"/>
      <c r="Y32" s="202"/>
    </row>
    <row r="33" spans="1:42" s="204" customFormat="1" ht="25.05" customHeight="1" x14ac:dyDescent="0.3">
      <c r="A33" s="206" t="s">
        <v>1007</v>
      </c>
      <c r="B33" s="341">
        <v>25</v>
      </c>
      <c r="C33" s="341" t="s">
        <v>822</v>
      </c>
      <c r="D33" s="342">
        <f>640</f>
        <v>640</v>
      </c>
      <c r="E33" s="343">
        <v>0</v>
      </c>
      <c r="F33" s="342">
        <f t="shared" si="8"/>
        <v>640</v>
      </c>
      <c r="G33" s="343">
        <f>25</f>
        <v>25</v>
      </c>
      <c r="H33" s="343">
        <f t="shared" si="6"/>
        <v>61.7</v>
      </c>
      <c r="I33" s="343">
        <f>'[2]GERAL 2025'!I27</f>
        <v>1.3720449172576832</v>
      </c>
      <c r="J33" s="343">
        <v>0</v>
      </c>
      <c r="K33" s="344">
        <f t="shared" si="4"/>
        <v>728.0720449172577</v>
      </c>
      <c r="L33" s="343">
        <f t="shared" si="7"/>
        <v>50.965043144208046</v>
      </c>
      <c r="M33" s="343">
        <f t="shared" si="5"/>
        <v>677.10700177304966</v>
      </c>
      <c r="N33" s="341" t="s">
        <v>1194</v>
      </c>
      <c r="O33" s="345">
        <v>10</v>
      </c>
      <c r="P33" s="346">
        <v>11</v>
      </c>
      <c r="Q33" s="200"/>
      <c r="R33" s="200"/>
      <c r="S33" s="200"/>
      <c r="T33" s="200"/>
      <c r="U33" s="200"/>
      <c r="V33" s="200"/>
      <c r="W33" s="200"/>
      <c r="X33" s="200"/>
      <c r="Y33" s="200"/>
    </row>
    <row r="34" spans="1:42" s="206" customFormat="1" ht="24.6" customHeight="1" x14ac:dyDescent="0.3">
      <c r="A34" s="195" t="s">
        <v>751</v>
      </c>
      <c r="B34" s="301">
        <v>26</v>
      </c>
      <c r="C34" s="301" t="s">
        <v>827</v>
      </c>
      <c r="D34" s="196">
        <v>607.62</v>
      </c>
      <c r="E34" s="312">
        <v>0</v>
      </c>
      <c r="F34" s="196">
        <f t="shared" si="8"/>
        <v>607.62</v>
      </c>
      <c r="G34" s="312">
        <v>27.13</v>
      </c>
      <c r="H34" s="312">
        <f t="shared" si="6"/>
        <v>61.7</v>
      </c>
      <c r="I34" s="312">
        <f>'[2]GERAL 2025'!I28</f>
        <v>1.3720449172576832</v>
      </c>
      <c r="J34" s="312">
        <v>0</v>
      </c>
      <c r="K34" s="302">
        <f t="shared" si="4"/>
        <v>697.8220449172577</v>
      </c>
      <c r="L34" s="312">
        <f t="shared" si="7"/>
        <v>48.847543144208046</v>
      </c>
      <c r="M34" s="312">
        <f t="shared" si="5"/>
        <v>648.97450177304961</v>
      </c>
      <c r="N34" s="301" t="s">
        <v>1194</v>
      </c>
      <c r="O34" s="197">
        <v>10</v>
      </c>
      <c r="P34" s="197">
        <v>11</v>
      </c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</row>
    <row r="35" spans="1:42" s="206" customFormat="1" ht="25.05" customHeight="1" x14ac:dyDescent="0.3">
      <c r="A35" s="195" t="s">
        <v>752</v>
      </c>
      <c r="B35" s="301">
        <v>27</v>
      </c>
      <c r="C35" s="216" t="s">
        <v>827</v>
      </c>
      <c r="D35" s="217">
        <v>629.32000000000005</v>
      </c>
      <c r="E35" s="210">
        <v>0</v>
      </c>
      <c r="F35" s="196">
        <f t="shared" si="8"/>
        <v>629.32000000000005</v>
      </c>
      <c r="G35" s="210">
        <v>0</v>
      </c>
      <c r="H35" s="312">
        <f t="shared" si="6"/>
        <v>61.7</v>
      </c>
      <c r="I35" s="210">
        <f>'[2]GERAL 2025'!I29</f>
        <v>1.3720449172576832</v>
      </c>
      <c r="J35" s="210">
        <v>0</v>
      </c>
      <c r="K35" s="302">
        <f t="shared" si="4"/>
        <v>692.39204491725775</v>
      </c>
      <c r="L35" s="312">
        <f t="shared" si="7"/>
        <v>48.467443144208048</v>
      </c>
      <c r="M35" s="312">
        <f>K35-L35</f>
        <v>643.92460177304974</v>
      </c>
      <c r="N35" s="301" t="s">
        <v>723</v>
      </c>
      <c r="O35" s="197">
        <v>10</v>
      </c>
      <c r="P35" s="197">
        <v>11</v>
      </c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</row>
    <row r="36" spans="1:42" s="206" customFormat="1" ht="25.05" customHeight="1" x14ac:dyDescent="0.3">
      <c r="A36" s="584" t="s">
        <v>4</v>
      </c>
      <c r="B36" s="584"/>
      <c r="C36" s="315"/>
      <c r="D36" s="302">
        <f>SUM(D9:D35)</f>
        <v>13164.711444</v>
      </c>
      <c r="E36" s="302">
        <f t="shared" ref="E36:M36" si="9">SUM(E9:E35)</f>
        <v>0</v>
      </c>
      <c r="F36" s="302">
        <f t="shared" si="9"/>
        <v>13164.711444</v>
      </c>
      <c r="G36" s="302">
        <f t="shared" si="9"/>
        <v>553.60333333333335</v>
      </c>
      <c r="H36" s="302">
        <f>SUM(H9:H35)</f>
        <v>1271.0200000000004</v>
      </c>
      <c r="I36" s="302">
        <f>SUM(I9:I35)</f>
        <v>29.361761229314411</v>
      </c>
      <c r="J36" s="302">
        <f>SUM(J9:J35)</f>
        <v>400.41999999999996</v>
      </c>
      <c r="K36" s="302">
        <f>SUM(K9:K35)</f>
        <v>15419.116538562648</v>
      </c>
      <c r="L36" s="302">
        <f t="shared" si="9"/>
        <v>1079.3381576993854</v>
      </c>
      <c r="M36" s="302">
        <f t="shared" si="9"/>
        <v>14339.778380863261</v>
      </c>
      <c r="N36" s="301"/>
      <c r="O36" s="197"/>
      <c r="P36" s="197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</row>
    <row r="37" spans="1:42" s="11" customFormat="1" ht="28.5" customHeight="1" x14ac:dyDescent="0.3">
      <c r="A37" s="521" t="s">
        <v>1197</v>
      </c>
      <c r="B37" s="521"/>
      <c r="C37" s="521"/>
      <c r="D37" s="521"/>
      <c r="E37" s="521"/>
      <c r="F37" s="521"/>
      <c r="G37" s="521"/>
      <c r="H37" s="521"/>
      <c r="I37" s="521"/>
      <c r="J37" s="521"/>
      <c r="K37" s="521"/>
      <c r="L37" s="521"/>
      <c r="M37" s="521"/>
      <c r="N37" s="521"/>
      <c r="O37" s="521"/>
      <c r="P37" s="521"/>
      <c r="Q37" s="10"/>
      <c r="R37" s="10"/>
      <c r="S37" s="10"/>
      <c r="T37" s="10"/>
      <c r="U37" s="10"/>
      <c r="V37" s="10"/>
      <c r="W37" s="10"/>
      <c r="X37" s="10"/>
      <c r="Y37" s="10"/>
    </row>
    <row r="38" spans="1:42" s="11" customFormat="1" ht="27.6" customHeight="1" x14ac:dyDescent="0.3">
      <c r="A38" s="300" t="s">
        <v>3</v>
      </c>
      <c r="B38" s="300" t="s">
        <v>0</v>
      </c>
      <c r="C38" s="300" t="s">
        <v>821</v>
      </c>
      <c r="D38" s="308" t="s">
        <v>174</v>
      </c>
      <c r="E38" s="555" t="s">
        <v>175</v>
      </c>
      <c r="F38" s="556"/>
      <c r="G38" s="556"/>
      <c r="H38" s="556"/>
      <c r="I38" s="556"/>
      <c r="J38" s="557"/>
      <c r="K38" s="308" t="s">
        <v>4</v>
      </c>
      <c r="L38" s="308" t="s">
        <v>5</v>
      </c>
      <c r="M38" s="308" t="s">
        <v>70</v>
      </c>
      <c r="N38" s="300" t="s">
        <v>59</v>
      </c>
      <c r="O38" s="130" t="s">
        <v>8</v>
      </c>
      <c r="P38" s="130" t="s">
        <v>10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42" s="206" customFormat="1" ht="27.6" customHeight="1" x14ac:dyDescent="0.3">
      <c r="A39" s="301" t="s">
        <v>965</v>
      </c>
      <c r="B39" s="311">
        <v>11</v>
      </c>
      <c r="C39" s="301" t="s">
        <v>827</v>
      </c>
      <c r="D39" s="312">
        <v>1191.3800000000001</v>
      </c>
      <c r="E39" s="551" t="s">
        <v>715</v>
      </c>
      <c r="F39" s="580"/>
      <c r="G39" s="580"/>
      <c r="H39" s="580"/>
      <c r="I39" s="580"/>
      <c r="J39" s="552"/>
      <c r="K39" s="302">
        <f>1191.38/4</f>
        <v>297.84500000000003</v>
      </c>
      <c r="L39" s="312">
        <f>7%*K39</f>
        <v>20.849150000000005</v>
      </c>
      <c r="M39" s="312">
        <f>K39-L39</f>
        <v>276.99585000000002</v>
      </c>
      <c r="N39" s="301" t="s">
        <v>1198</v>
      </c>
      <c r="O39" s="207">
        <v>10</v>
      </c>
      <c r="P39" s="197">
        <v>11</v>
      </c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05"/>
      <c r="AB39" s="205"/>
    </row>
    <row r="40" spans="1:42" s="206" customFormat="1" ht="27.6" customHeight="1" x14ac:dyDescent="0.3">
      <c r="A40" s="311" t="s">
        <v>1005</v>
      </c>
      <c r="B40" s="311">
        <v>3</v>
      </c>
      <c r="C40" s="311" t="s">
        <v>822</v>
      </c>
      <c r="D40" s="312">
        <f>673.07</f>
        <v>673.07</v>
      </c>
      <c r="E40" s="551" t="s">
        <v>1199</v>
      </c>
      <c r="F40" s="580"/>
      <c r="G40" s="580"/>
      <c r="H40" s="580"/>
      <c r="I40" s="580"/>
      <c r="J40" s="552"/>
      <c r="K40" s="302">
        <v>744.87</v>
      </c>
      <c r="L40" s="312">
        <f>7%*K40</f>
        <v>52.140900000000002</v>
      </c>
      <c r="M40" s="312">
        <f>K40-L40</f>
        <v>692.72910000000002</v>
      </c>
      <c r="N40" s="301" t="s">
        <v>1199</v>
      </c>
      <c r="O40" s="207">
        <v>10</v>
      </c>
      <c r="P40" s="197">
        <v>11</v>
      </c>
      <c r="Q40" s="205"/>
      <c r="R40" s="205"/>
      <c r="S40" s="205"/>
      <c r="T40" s="205"/>
      <c r="U40" s="205"/>
      <c r="V40" s="205"/>
      <c r="W40" s="205"/>
      <c r="X40" s="205"/>
      <c r="Y40" s="205"/>
      <c r="Z40" s="205"/>
      <c r="AA40" s="205"/>
      <c r="AB40" s="205"/>
    </row>
    <row r="41" spans="1:42" s="204" customFormat="1" ht="24.6" customHeight="1" x14ac:dyDescent="0.3">
      <c r="A41" s="311" t="s">
        <v>1136</v>
      </c>
      <c r="B41" s="311">
        <v>7</v>
      </c>
      <c r="C41" s="311" t="s">
        <v>829</v>
      </c>
      <c r="D41" s="196">
        <f>690+61.7+1.37</f>
        <v>753.07</v>
      </c>
      <c r="E41" s="551" t="s">
        <v>1199</v>
      </c>
      <c r="F41" s="580"/>
      <c r="G41" s="580"/>
      <c r="H41" s="580"/>
      <c r="I41" s="580"/>
      <c r="J41" s="552"/>
      <c r="K41" s="302">
        <v>833.15</v>
      </c>
      <c r="L41" s="312">
        <f>7%*K41</f>
        <v>58.320500000000003</v>
      </c>
      <c r="M41" s="312">
        <f>K41-L41</f>
        <v>774.82949999999994</v>
      </c>
      <c r="N41" s="301" t="s">
        <v>1199</v>
      </c>
      <c r="O41" s="207">
        <v>10</v>
      </c>
      <c r="P41" s="197">
        <v>11</v>
      </c>
      <c r="Q41" s="200"/>
      <c r="R41" s="200"/>
      <c r="S41" s="200"/>
      <c r="T41" s="200"/>
      <c r="U41" s="200"/>
      <c r="V41" s="200"/>
      <c r="W41" s="200"/>
      <c r="X41" s="200"/>
      <c r="Y41" s="200"/>
    </row>
    <row r="42" spans="1:42" s="11" customFormat="1" ht="25.05" customHeight="1" x14ac:dyDescent="0.3">
      <c r="A42" s="518" t="s">
        <v>4</v>
      </c>
      <c r="B42" s="518"/>
      <c r="C42" s="518"/>
      <c r="D42" s="518"/>
      <c r="E42" s="518"/>
      <c r="F42" s="518"/>
      <c r="G42" s="518"/>
      <c r="H42" s="518"/>
      <c r="I42" s="518"/>
      <c r="J42" s="518"/>
      <c r="K42" s="307">
        <f>SUM(K39:K41)</f>
        <v>1875.8650000000002</v>
      </c>
      <c r="L42" s="307">
        <f>SUM(L39:L41)</f>
        <v>131.31055000000001</v>
      </c>
      <c r="M42" s="307">
        <f>SUM(M39:M41)</f>
        <v>1744.5544500000001</v>
      </c>
      <c r="N42" s="527"/>
      <c r="O42" s="527"/>
      <c r="P42" s="527"/>
      <c r="Q42" s="10"/>
      <c r="R42" s="10"/>
      <c r="S42" s="10"/>
      <c r="T42" s="10"/>
      <c r="U42" s="10"/>
      <c r="V42" s="10"/>
      <c r="W42" s="10"/>
      <c r="X42" s="10"/>
      <c r="Y42" s="10"/>
    </row>
    <row r="43" spans="1:42" s="11" customFormat="1" x14ac:dyDescent="0.3">
      <c r="A43" s="518"/>
      <c r="B43" s="518"/>
      <c r="C43" s="518"/>
      <c r="D43" s="518"/>
      <c r="E43" s="518"/>
      <c r="F43" s="518"/>
      <c r="G43" s="518"/>
      <c r="H43" s="518"/>
      <c r="I43" s="518"/>
      <c r="J43" s="518"/>
      <c r="K43" s="518"/>
      <c r="L43" s="518"/>
      <c r="M43" s="518"/>
      <c r="N43" s="518"/>
      <c r="O43" s="307"/>
      <c r="P43" s="307"/>
      <c r="Q43" s="10"/>
      <c r="R43" s="10"/>
      <c r="S43" s="10"/>
      <c r="T43" s="10"/>
      <c r="U43" s="10"/>
      <c r="V43" s="10"/>
      <c r="W43" s="10"/>
      <c r="X43" s="10"/>
      <c r="Y43" s="10"/>
    </row>
    <row r="44" spans="1:42" s="11" customFormat="1" ht="28.5" customHeight="1" x14ac:dyDescent="0.3">
      <c r="A44" s="521" t="s">
        <v>177</v>
      </c>
      <c r="B44" s="521"/>
      <c r="C44" s="521"/>
      <c r="D44" s="521"/>
      <c r="E44" s="521"/>
      <c r="F44" s="521"/>
      <c r="G44" s="521"/>
      <c r="H44" s="521"/>
      <c r="I44" s="521"/>
      <c r="J44" s="521"/>
      <c r="K44" s="521"/>
      <c r="L44" s="521"/>
      <c r="M44" s="521"/>
      <c r="N44" s="521"/>
      <c r="O44" s="521"/>
      <c r="P44" s="521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42" s="11" customFormat="1" ht="25.5" customHeight="1" x14ac:dyDescent="0.3">
      <c r="A45" s="306" t="s">
        <v>173</v>
      </c>
      <c r="B45" s="306" t="s">
        <v>0</v>
      </c>
      <c r="C45" s="306"/>
      <c r="D45" s="306" t="s">
        <v>174</v>
      </c>
      <c r="E45" s="521" t="s">
        <v>175</v>
      </c>
      <c r="F45" s="521"/>
      <c r="G45" s="521"/>
      <c r="H45" s="521"/>
      <c r="I45" s="521"/>
      <c r="J45" s="521"/>
      <c r="K45" s="314" t="s">
        <v>4</v>
      </c>
      <c r="L45" s="308"/>
      <c r="M45" s="308"/>
      <c r="N45" s="300" t="s">
        <v>59</v>
      </c>
      <c r="O45" s="130" t="s">
        <v>8</v>
      </c>
      <c r="P45" s="130" t="s">
        <v>10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42" x14ac:dyDescent="0.3">
      <c r="A46" s="311" t="s">
        <v>1136</v>
      </c>
      <c r="B46" s="311">
        <v>7</v>
      </c>
      <c r="C46" s="311" t="s">
        <v>829</v>
      </c>
      <c r="D46" s="274">
        <f>690+61.7+1.37</f>
        <v>753.07</v>
      </c>
      <c r="E46" s="595" t="s">
        <v>1200</v>
      </c>
      <c r="F46" s="595"/>
      <c r="G46" s="595"/>
      <c r="H46" s="595"/>
      <c r="I46" s="595"/>
      <c r="J46" s="595"/>
      <c r="K46" s="274">
        <f>690+61.7+1.37</f>
        <v>753.07</v>
      </c>
      <c r="L46" s="274"/>
      <c r="M46" s="274"/>
      <c r="N46" s="274" t="s">
        <v>1201</v>
      </c>
      <c r="O46" s="140">
        <v>10</v>
      </c>
      <c r="P46" s="313">
        <v>11</v>
      </c>
    </row>
    <row r="47" spans="1:42" x14ac:dyDescent="0.3">
      <c r="A47" s="301" t="s">
        <v>1005</v>
      </c>
      <c r="B47" s="311">
        <v>3</v>
      </c>
      <c r="C47" s="301" t="s">
        <v>822</v>
      </c>
      <c r="D47" s="274">
        <f>610+61.7+1.37</f>
        <v>673.07</v>
      </c>
      <c r="E47" s="595" t="s">
        <v>1200</v>
      </c>
      <c r="F47" s="595"/>
      <c r="G47" s="595"/>
      <c r="H47" s="595"/>
      <c r="I47" s="595"/>
      <c r="J47" s="595"/>
      <c r="K47" s="274">
        <f>610+61.7+1.37</f>
        <v>673.07</v>
      </c>
      <c r="L47" s="274"/>
      <c r="M47" s="274"/>
      <c r="N47" s="274" t="s">
        <v>1201</v>
      </c>
      <c r="O47" s="140">
        <v>10</v>
      </c>
      <c r="P47" s="313">
        <v>11</v>
      </c>
    </row>
    <row r="48" spans="1:42" s="69" customFormat="1" ht="15" customHeight="1" x14ac:dyDescent="0.3">
      <c r="A48" s="313" t="s">
        <v>132</v>
      </c>
      <c r="B48" s="313">
        <v>1</v>
      </c>
      <c r="C48" s="313"/>
      <c r="D48" s="5">
        <f>4977.59-1520</f>
        <v>3457.59</v>
      </c>
      <c r="E48" s="595" t="s">
        <v>284</v>
      </c>
      <c r="F48" s="595"/>
      <c r="G48" s="595"/>
      <c r="H48" s="595"/>
      <c r="I48" s="595"/>
      <c r="J48" s="595"/>
      <c r="K48" s="5">
        <f>4977.59-1520</f>
        <v>3457.59</v>
      </c>
      <c r="L48" s="5"/>
      <c r="M48" s="5"/>
      <c r="N48" s="5" t="s">
        <v>510</v>
      </c>
      <c r="O48" s="140">
        <v>10</v>
      </c>
      <c r="P48" s="313">
        <v>11</v>
      </c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</row>
    <row r="49" spans="1:60" s="11" customFormat="1" x14ac:dyDescent="0.3">
      <c r="A49" s="305" t="s">
        <v>87</v>
      </c>
      <c r="B49" s="305">
        <v>25</v>
      </c>
      <c r="C49" s="305"/>
      <c r="D49" s="5">
        <v>3013.33</v>
      </c>
      <c r="E49" s="595" t="s">
        <v>543</v>
      </c>
      <c r="F49" s="595"/>
      <c r="G49" s="595"/>
      <c r="H49" s="595"/>
      <c r="I49" s="595"/>
      <c r="J49" s="595"/>
      <c r="K49" s="275">
        <v>3040.58</v>
      </c>
      <c r="L49" s="317"/>
      <c r="M49" s="317"/>
      <c r="N49" s="5" t="s">
        <v>545</v>
      </c>
      <c r="O49" s="98">
        <v>10</v>
      </c>
      <c r="P49" s="3">
        <v>11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  <row r="50" spans="1:60" s="11" customFormat="1" x14ac:dyDescent="0.3">
      <c r="A50" s="3" t="s">
        <v>894</v>
      </c>
      <c r="B50" s="305">
        <v>16</v>
      </c>
      <c r="C50" s="305" t="s">
        <v>823</v>
      </c>
      <c r="D50" s="5">
        <f>144.52+11.29+12.89+0.3+0.18+1664</f>
        <v>1833.18</v>
      </c>
      <c r="E50" s="595" t="s">
        <v>1158</v>
      </c>
      <c r="F50" s="595"/>
      <c r="G50" s="595"/>
      <c r="H50" s="595"/>
      <c r="I50" s="595"/>
      <c r="J50" s="595"/>
      <c r="K50" s="275">
        <f>144.52+11.29+12.89+0.3+0.18+1664</f>
        <v>1833.18</v>
      </c>
      <c r="L50" s="317"/>
      <c r="M50" s="317"/>
      <c r="N50" s="303" t="s">
        <v>969</v>
      </c>
      <c r="O50" s="98">
        <v>10</v>
      </c>
      <c r="P50" s="3">
        <v>11</v>
      </c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 spans="1:60" s="206" customFormat="1" ht="15" customHeight="1" x14ac:dyDescent="0.3">
      <c r="A51" s="237" t="s">
        <v>902</v>
      </c>
      <c r="B51" s="195">
        <v>17</v>
      </c>
      <c r="C51" s="195" t="s">
        <v>823</v>
      </c>
      <c r="D51" s="196">
        <v>2080.41</v>
      </c>
      <c r="E51" s="551" t="s">
        <v>1011</v>
      </c>
      <c r="F51" s="580"/>
      <c r="G51" s="580"/>
      <c r="H51" s="580"/>
      <c r="I51" s="580"/>
      <c r="J51" s="552"/>
      <c r="K51" s="196">
        <v>300</v>
      </c>
      <c r="L51" s="312"/>
      <c r="M51" s="312"/>
      <c r="N51" s="301" t="s">
        <v>1039</v>
      </c>
      <c r="O51" s="235">
        <v>10</v>
      </c>
      <c r="P51" s="197">
        <v>11</v>
      </c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  <c r="AC51" s="205"/>
      <c r="AD51" s="205"/>
      <c r="AE51" s="205"/>
      <c r="AF51" s="205"/>
      <c r="AG51" s="205"/>
      <c r="AH51" s="205"/>
      <c r="AI51" s="205"/>
      <c r="AJ51" s="205"/>
      <c r="AK51" s="205"/>
      <c r="AL51" s="205"/>
      <c r="AM51" s="205"/>
      <c r="AN51" s="205"/>
      <c r="AO51" s="205"/>
      <c r="AP51" s="205"/>
    </row>
    <row r="52" spans="1:60" s="206" customFormat="1" ht="15" customHeight="1" x14ac:dyDescent="0.3">
      <c r="A52" s="237" t="s">
        <v>902</v>
      </c>
      <c r="B52" s="195">
        <v>17</v>
      </c>
      <c r="C52" s="195" t="s">
        <v>823</v>
      </c>
      <c r="D52" s="196">
        <v>2080.41</v>
      </c>
      <c r="E52" s="551" t="s">
        <v>1011</v>
      </c>
      <c r="F52" s="580"/>
      <c r="G52" s="580"/>
      <c r="H52" s="580"/>
      <c r="I52" s="580"/>
      <c r="J52" s="552"/>
      <c r="K52" s="196">
        <v>300</v>
      </c>
      <c r="L52" s="312"/>
      <c r="M52" s="312"/>
      <c r="N52" s="301" t="s">
        <v>1049</v>
      </c>
      <c r="O52" s="235">
        <v>10</v>
      </c>
      <c r="P52" s="197">
        <v>11</v>
      </c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  <c r="AJ52" s="205"/>
      <c r="AK52" s="205"/>
      <c r="AL52" s="205"/>
      <c r="AM52" s="205"/>
      <c r="AN52" s="205"/>
      <c r="AO52" s="205"/>
      <c r="AP52" s="205"/>
    </row>
    <row r="53" spans="1:60" s="40" customFormat="1" ht="15" customHeight="1" thickBot="1" x14ac:dyDescent="0.35">
      <c r="A53" s="534" t="s">
        <v>4</v>
      </c>
      <c r="B53" s="549"/>
      <c r="C53" s="549"/>
      <c r="D53" s="549"/>
      <c r="E53" s="549"/>
      <c r="F53" s="549"/>
      <c r="G53" s="549"/>
      <c r="H53" s="549"/>
      <c r="I53" s="549"/>
      <c r="J53" s="535"/>
      <c r="K53" s="309">
        <f>SUM(K46:K52)</f>
        <v>10357.49</v>
      </c>
      <c r="L53" s="305"/>
      <c r="M53" s="305"/>
      <c r="N53" s="305"/>
      <c r="O53" s="305"/>
      <c r="P53" s="305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1"/>
      <c r="AU53" s="11"/>
      <c r="AV53" s="11"/>
      <c r="AW53" s="11"/>
    </row>
    <row r="54" spans="1:60" s="19" customFormat="1" x14ac:dyDescent="0.3">
      <c r="A54" s="179"/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1"/>
      <c r="P54" s="182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</row>
    <row r="55" spans="1:60" s="40" customFormat="1" x14ac:dyDescent="0.3">
      <c r="A55" s="585"/>
      <c r="B55" s="585"/>
      <c r="C55" s="585"/>
      <c r="D55" s="585"/>
      <c r="E55" s="585"/>
      <c r="F55" s="46"/>
      <c r="G55" s="46"/>
      <c r="H55" s="295"/>
      <c r="I55" s="46"/>
      <c r="J55" s="46"/>
      <c r="K55" s="46"/>
      <c r="L55" s="46"/>
      <c r="M55" s="46"/>
      <c r="N55" s="544" t="s">
        <v>315</v>
      </c>
      <c r="O55" s="544"/>
      <c r="P55" s="545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1"/>
      <c r="AU55" s="11"/>
      <c r="AV55" s="11"/>
      <c r="AW55" s="11"/>
    </row>
    <row r="56" spans="1:60" s="40" customFormat="1" x14ac:dyDescent="0.3">
      <c r="A56" s="206"/>
      <c r="B56" s="223"/>
      <c r="C56" s="223"/>
      <c r="D56" s="224"/>
      <c r="E56" s="223"/>
      <c r="F56" s="46"/>
      <c r="G56" s="46"/>
      <c r="H56" s="295"/>
      <c r="I56" s="11"/>
      <c r="J56" s="11"/>
      <c r="K56" s="87"/>
      <c r="L56" s="87"/>
      <c r="M56" s="87"/>
      <c r="N56" s="527" t="s">
        <v>94</v>
      </c>
      <c r="O56" s="527"/>
      <c r="P56" s="309">
        <f>L36+L42</f>
        <v>1210.6487076993853</v>
      </c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1"/>
      <c r="AU56" s="11"/>
      <c r="AV56" s="11"/>
      <c r="AW56" s="11"/>
    </row>
    <row r="57" spans="1:60" s="40" customFormat="1" x14ac:dyDescent="0.3">
      <c r="A57" s="206"/>
      <c r="B57" s="223"/>
      <c r="C57" s="223"/>
      <c r="D57" s="224"/>
      <c r="E57" s="223"/>
      <c r="F57" s="46"/>
      <c r="G57" s="46"/>
      <c r="H57" s="295"/>
      <c r="I57" s="11"/>
      <c r="J57" s="11"/>
      <c r="K57" s="14"/>
      <c r="L57" s="14"/>
      <c r="M57" s="14"/>
      <c r="N57" s="518" t="s">
        <v>260</v>
      </c>
      <c r="O57" s="518"/>
      <c r="P57" s="309">
        <f>L6</f>
        <v>915</v>
      </c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1"/>
      <c r="AU57" s="11"/>
      <c r="AV57" s="11"/>
      <c r="AW57" s="11"/>
    </row>
    <row r="58" spans="1:60" s="40" customFormat="1" x14ac:dyDescent="0.3">
      <c r="A58" s="206"/>
      <c r="B58" s="223"/>
      <c r="C58" s="223"/>
      <c r="D58" s="224"/>
      <c r="E58" s="223"/>
      <c r="F58" s="46"/>
      <c r="G58" s="46"/>
      <c r="H58" s="295"/>
      <c r="I58" s="11"/>
      <c r="J58" s="11"/>
      <c r="K58" s="14"/>
      <c r="L58" s="14"/>
      <c r="M58" s="14"/>
      <c r="N58" s="520"/>
      <c r="O58" s="520"/>
      <c r="P58" s="52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1"/>
      <c r="AU58" s="11"/>
      <c r="AV58" s="11"/>
      <c r="AW58" s="11"/>
    </row>
    <row r="59" spans="1:60" s="40" customFormat="1" x14ac:dyDescent="0.3">
      <c r="A59" s="206"/>
      <c r="B59" s="223"/>
      <c r="C59" s="223"/>
      <c r="D59" s="224"/>
      <c r="E59" s="223"/>
      <c r="F59" s="46"/>
      <c r="G59" s="46"/>
      <c r="H59" s="295"/>
      <c r="I59" s="11"/>
      <c r="J59" s="11"/>
      <c r="K59" s="62"/>
      <c r="L59" s="62"/>
      <c r="M59" s="62"/>
      <c r="N59" s="520"/>
      <c r="O59" s="520"/>
      <c r="P59" s="52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1"/>
      <c r="AU59" s="11"/>
      <c r="AV59" s="11"/>
      <c r="AW59" s="11"/>
    </row>
    <row r="60" spans="1:60" s="40" customFormat="1" ht="14.4" x14ac:dyDescent="0.3">
      <c r="A60" s="206"/>
      <c r="B60" s="223"/>
      <c r="C60" s="223"/>
      <c r="D60" s="224"/>
      <c r="E60" s="223"/>
      <c r="F60" s="46"/>
      <c r="G60" s="46"/>
      <c r="H60" s="295"/>
      <c r="I60" s="11"/>
      <c r="J60" s="11"/>
      <c r="K60" s="14"/>
      <c r="L60" s="14"/>
      <c r="M60" s="14"/>
      <c r="N60" s="529" t="s">
        <v>12</v>
      </c>
      <c r="O60" s="529"/>
      <c r="P60" s="529"/>
      <c r="Q60" s="175"/>
      <c r="R60" s="178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1"/>
      <c r="AU60" s="11"/>
      <c r="AV60" s="11"/>
      <c r="AW60" s="11"/>
    </row>
    <row r="61" spans="1:60" s="11" customFormat="1" ht="15" customHeight="1" x14ac:dyDescent="0.3">
      <c r="A61" s="206"/>
      <c r="B61" s="223"/>
      <c r="C61" s="223"/>
      <c r="D61" s="224"/>
      <c r="E61" s="223"/>
      <c r="F61" s="46"/>
      <c r="G61" s="46"/>
      <c r="H61" s="295"/>
      <c r="K61" s="63"/>
      <c r="L61" s="63"/>
      <c r="M61" s="63"/>
      <c r="N61" s="592" t="s">
        <v>126</v>
      </c>
      <c r="O61" s="592"/>
      <c r="P61" s="240">
        <v>108.3</v>
      </c>
      <c r="Q61" s="190"/>
      <c r="R61" s="178"/>
    </row>
    <row r="62" spans="1:60" s="11" customFormat="1" ht="15.6" x14ac:dyDescent="0.3">
      <c r="A62" s="206"/>
      <c r="B62" s="223"/>
      <c r="C62" s="223"/>
      <c r="D62" s="224"/>
      <c r="E62" s="223"/>
      <c r="F62" s="46"/>
      <c r="G62" s="46"/>
      <c r="H62" s="295"/>
      <c r="K62" s="14"/>
      <c r="L62" s="14"/>
      <c r="M62" s="14"/>
      <c r="N62" s="593" t="s">
        <v>127</v>
      </c>
      <c r="O62" s="593"/>
      <c r="P62" s="240">
        <v>1674.7</v>
      </c>
      <c r="Q62" s="175"/>
      <c r="R62" s="178"/>
    </row>
    <row r="63" spans="1:60" s="11" customFormat="1" ht="15" customHeight="1" x14ac:dyDescent="0.3">
      <c r="A63" s="206"/>
      <c r="B63" s="223"/>
      <c r="C63" s="223"/>
      <c r="D63" s="224"/>
      <c r="E63" s="223"/>
      <c r="F63" s="46"/>
      <c r="G63" s="46"/>
      <c r="H63" s="295"/>
      <c r="K63" s="63"/>
      <c r="L63" s="63"/>
      <c r="M63" s="63"/>
      <c r="N63" s="594" t="s">
        <v>1202</v>
      </c>
      <c r="O63" s="594"/>
      <c r="P63" s="239">
        <v>132.38999999999999</v>
      </c>
      <c r="Q63" s="190"/>
      <c r="R63" s="178"/>
    </row>
    <row r="64" spans="1:60" s="11" customFormat="1" ht="15.6" x14ac:dyDescent="0.3">
      <c r="A64" s="206"/>
      <c r="B64" s="223"/>
      <c r="C64" s="223"/>
      <c r="D64" s="224"/>
      <c r="E64" s="223"/>
      <c r="F64" s="46"/>
      <c r="G64" s="46"/>
      <c r="H64" s="295"/>
      <c r="K64" s="14"/>
      <c r="L64" s="14"/>
      <c r="M64" s="14"/>
      <c r="N64" s="594" t="s">
        <v>1203</v>
      </c>
      <c r="O64" s="594"/>
      <c r="P64" s="251">
        <v>133.82</v>
      </c>
      <c r="Q64" s="222"/>
      <c r="R64" s="178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</row>
    <row r="65" spans="1:48" s="11" customFormat="1" ht="15.6" x14ac:dyDescent="0.3">
      <c r="A65" s="206"/>
      <c r="B65" s="223"/>
      <c r="C65" s="223"/>
      <c r="D65" s="224"/>
      <c r="E65" s="223"/>
      <c r="F65" s="46"/>
      <c r="G65" s="46"/>
      <c r="H65" s="295"/>
      <c r="K65" s="63"/>
      <c r="L65" s="63"/>
      <c r="M65" s="63"/>
      <c r="N65" s="588" t="s">
        <v>1204</v>
      </c>
      <c r="O65" s="589"/>
      <c r="P65" s="42">
        <v>134.21</v>
      </c>
      <c r="Q65" s="175"/>
      <c r="R65" s="178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</row>
    <row r="66" spans="1:48" s="11" customFormat="1" ht="15.6" x14ac:dyDescent="0.3">
      <c r="A66" s="206"/>
      <c r="B66" s="223"/>
      <c r="C66" s="223"/>
      <c r="D66" s="224"/>
      <c r="E66" s="223"/>
      <c r="F66" s="46"/>
      <c r="G66" s="46"/>
      <c r="H66" s="295"/>
      <c r="K66" s="14"/>
      <c r="L66" s="14"/>
      <c r="M66" s="14"/>
      <c r="N66" s="596"/>
      <c r="O66" s="597"/>
      <c r="P66" s="319"/>
      <c r="Q66" s="175"/>
      <c r="R66" s="185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</row>
    <row r="67" spans="1:48" s="11" customFormat="1" ht="15.6" x14ac:dyDescent="0.3">
      <c r="A67" s="206"/>
      <c r="B67" s="223"/>
      <c r="C67" s="223"/>
      <c r="D67" s="224"/>
      <c r="E67" s="223"/>
      <c r="F67" s="46"/>
      <c r="G67" s="46"/>
      <c r="H67" s="295"/>
      <c r="K67" s="14"/>
      <c r="L67" s="14"/>
      <c r="M67" s="14"/>
      <c r="N67" s="594"/>
      <c r="O67" s="594"/>
      <c r="P67" s="42"/>
      <c r="Q67" s="175"/>
      <c r="R67" s="185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</row>
    <row r="68" spans="1:48" s="11" customFormat="1" ht="15.6" x14ac:dyDescent="0.3">
      <c r="A68" s="206"/>
      <c r="B68" s="223"/>
      <c r="C68" s="223"/>
      <c r="D68" s="224"/>
      <c r="E68" s="223"/>
      <c r="F68" s="46"/>
      <c r="G68" s="46"/>
      <c r="H68" s="295"/>
      <c r="K68" s="63"/>
      <c r="L68" s="63"/>
      <c r="M68" s="63"/>
      <c r="N68" s="594"/>
      <c r="O68" s="594"/>
      <c r="P68" s="42"/>
      <c r="Q68" s="175"/>
      <c r="R68" s="178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</row>
    <row r="69" spans="1:48" s="11" customFormat="1" ht="15.6" x14ac:dyDescent="0.3">
      <c r="A69" s="206"/>
      <c r="B69" s="223"/>
      <c r="C69" s="223"/>
      <c r="D69" s="224"/>
      <c r="E69" s="223"/>
      <c r="F69" s="46"/>
      <c r="G69" s="46"/>
      <c r="H69" s="295"/>
      <c r="K69" s="14"/>
      <c r="L69" s="14"/>
      <c r="M69" s="14"/>
      <c r="N69" s="594"/>
      <c r="O69" s="594"/>
      <c r="P69" s="42"/>
      <c r="Q69" s="175"/>
      <c r="R69" s="178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</row>
    <row r="70" spans="1:48" s="11" customFormat="1" ht="15" customHeight="1" x14ac:dyDescent="0.3">
      <c r="A70" s="206"/>
      <c r="B70" s="223"/>
      <c r="C70" s="223"/>
      <c r="D70" s="224"/>
      <c r="E70" s="223"/>
      <c r="F70" s="46"/>
      <c r="G70" s="46"/>
      <c r="H70" s="295"/>
      <c r="K70" s="63"/>
      <c r="L70" s="63"/>
      <c r="M70" s="63"/>
      <c r="N70" s="594"/>
      <c r="O70" s="594"/>
      <c r="P70" s="42"/>
      <c r="R70" s="14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</row>
    <row r="71" spans="1:48" s="11" customFormat="1" ht="15.6" x14ac:dyDescent="0.3">
      <c r="A71" s="206"/>
      <c r="B71" s="223"/>
      <c r="C71" s="223"/>
      <c r="D71" s="224"/>
      <c r="E71" s="223"/>
      <c r="F71" s="46"/>
      <c r="G71" s="46"/>
      <c r="H71" s="295"/>
      <c r="K71" s="14"/>
      <c r="L71" s="14"/>
      <c r="M71" s="14"/>
      <c r="N71" s="594"/>
      <c r="O71" s="594"/>
      <c r="P71" s="42"/>
      <c r="Q71" s="190"/>
      <c r="R71" s="178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</row>
    <row r="72" spans="1:48" s="11" customFormat="1" ht="18.600000000000001" customHeight="1" x14ac:dyDescent="0.3">
      <c r="A72" s="206"/>
      <c r="B72" s="223"/>
      <c r="C72" s="223"/>
      <c r="D72" s="224"/>
      <c r="E72" s="223"/>
      <c r="F72" s="46"/>
      <c r="G72" s="46"/>
      <c r="H72" s="295"/>
      <c r="K72" s="63"/>
      <c r="L72" s="63"/>
      <c r="M72" s="63"/>
      <c r="N72" s="586" t="s">
        <v>26</v>
      </c>
      <c r="O72" s="586"/>
      <c r="P72" s="241">
        <f>SUM(P56:P71)</f>
        <v>4309.0687076993854</v>
      </c>
      <c r="Q72" s="175"/>
      <c r="R72" s="178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</row>
    <row r="73" spans="1:48" s="11" customFormat="1" ht="15.6" x14ac:dyDescent="0.3">
      <c r="A73" s="206"/>
      <c r="B73" s="223"/>
      <c r="C73" s="223"/>
      <c r="D73" s="224"/>
      <c r="E73" s="223"/>
      <c r="F73" s="46"/>
      <c r="G73" s="46"/>
      <c r="H73" s="295"/>
      <c r="N73" s="587"/>
      <c r="O73" s="587"/>
      <c r="P73" s="242"/>
      <c r="Q73" s="175"/>
      <c r="R73" s="178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</row>
    <row r="74" spans="1:48" s="11" customFormat="1" ht="14.4" x14ac:dyDescent="0.3">
      <c r="A74" s="206"/>
      <c r="B74" s="223"/>
      <c r="C74" s="223"/>
      <c r="D74" s="224"/>
      <c r="E74" s="223"/>
      <c r="F74" s="46"/>
      <c r="G74" s="46"/>
      <c r="H74" s="295"/>
      <c r="K74" s="63"/>
      <c r="L74" s="63"/>
      <c r="M74" s="63"/>
      <c r="N74" s="564" t="s">
        <v>11</v>
      </c>
      <c r="O74" s="565"/>
      <c r="P74" s="153">
        <f>K6+K36+K42</f>
        <v>18946.125628397163</v>
      </c>
      <c r="Q74" s="175"/>
      <c r="R74" s="178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</row>
    <row r="75" spans="1:48" s="11" customFormat="1" ht="14.4" x14ac:dyDescent="0.3">
      <c r="A75" s="206"/>
      <c r="B75" s="223"/>
      <c r="C75" s="223"/>
      <c r="D75" s="224"/>
      <c r="E75" s="223"/>
      <c r="F75" s="46"/>
      <c r="G75" s="46"/>
      <c r="H75" s="295"/>
      <c r="K75" s="14"/>
      <c r="L75" s="14"/>
      <c r="M75" s="14"/>
      <c r="N75" s="518"/>
      <c r="O75" s="518"/>
      <c r="P75" s="519"/>
      <c r="Q75" s="175"/>
      <c r="R75" s="185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</row>
    <row r="76" spans="1:48" s="11" customFormat="1" ht="14.4" x14ac:dyDescent="0.3">
      <c r="A76" s="206"/>
      <c r="B76" s="223"/>
      <c r="C76" s="223"/>
      <c r="D76" s="224"/>
      <c r="E76" s="223"/>
      <c r="F76" s="46"/>
      <c r="G76" s="46"/>
      <c r="H76" s="295"/>
      <c r="N76" s="513" t="s">
        <v>13</v>
      </c>
      <c r="O76" s="513"/>
      <c r="P76" s="151">
        <f>P74-P72</f>
        <v>14637.056920697778</v>
      </c>
      <c r="Q76" s="175"/>
      <c r="R76" s="176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</row>
    <row r="77" spans="1:48" s="11" customFormat="1" ht="14.4" x14ac:dyDescent="0.3">
      <c r="A77" s="206"/>
      <c r="B77" s="223"/>
      <c r="C77" s="223"/>
      <c r="D77" s="224"/>
      <c r="E77" s="223"/>
      <c r="F77" s="46"/>
      <c r="G77" s="46"/>
      <c r="H77" s="295"/>
      <c r="N77" s="124"/>
      <c r="O77" s="124"/>
      <c r="P77" s="57"/>
      <c r="Q77" s="175"/>
      <c r="R77" s="176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</row>
    <row r="78" spans="1:48" s="11" customFormat="1" ht="14.4" x14ac:dyDescent="0.3">
      <c r="A78" s="206"/>
      <c r="B78" s="223"/>
      <c r="C78" s="223"/>
      <c r="D78" s="224"/>
      <c r="E78" s="223"/>
      <c r="F78" s="46"/>
      <c r="G78" s="46"/>
      <c r="H78" s="295"/>
      <c r="N78" s="124"/>
      <c r="O78" s="124"/>
      <c r="P78" s="57"/>
      <c r="Q78" s="175"/>
      <c r="R78" s="178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</row>
    <row r="79" spans="1:48" s="11" customFormat="1" ht="14.4" x14ac:dyDescent="0.3">
      <c r="A79" s="206"/>
      <c r="B79" s="223"/>
      <c r="C79" s="223"/>
      <c r="D79" s="224"/>
      <c r="E79" s="223"/>
      <c r="F79" s="46"/>
      <c r="G79" s="46"/>
      <c r="H79" s="295"/>
      <c r="K79" s="14"/>
      <c r="L79" s="14"/>
      <c r="M79" s="14"/>
      <c r="N79" s="124"/>
      <c r="O79" s="124"/>
      <c r="P79" s="57"/>
      <c r="Q79" s="175"/>
      <c r="R79" s="178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</row>
    <row r="80" spans="1:48" s="11" customFormat="1" ht="14.4" x14ac:dyDescent="0.3">
      <c r="A80" s="206"/>
      <c r="B80" s="223"/>
      <c r="C80" s="223"/>
      <c r="D80" s="224"/>
      <c r="E80" s="223"/>
      <c r="F80" s="46"/>
      <c r="G80" s="46"/>
      <c r="H80" s="295"/>
      <c r="K80" s="310"/>
      <c r="L80" s="310"/>
      <c r="M80" s="310"/>
      <c r="Q80" s="175"/>
      <c r="R80" s="178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</row>
    <row r="81" spans="1:47" s="11" customFormat="1" ht="14.4" x14ac:dyDescent="0.3">
      <c r="A81" s="206"/>
      <c r="B81" s="223"/>
      <c r="C81" s="223"/>
      <c r="D81" s="224"/>
      <c r="E81" s="223"/>
      <c r="F81" s="46"/>
      <c r="G81" s="46"/>
      <c r="H81" s="295"/>
      <c r="K81" s="14"/>
      <c r="L81" s="14"/>
      <c r="M81" s="14"/>
      <c r="N81" s="310"/>
      <c r="O81" s="14"/>
      <c r="P81" s="57"/>
      <c r="Q81" s="175"/>
      <c r="R81" s="178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</row>
    <row r="82" spans="1:47" s="11" customFormat="1" ht="14.4" x14ac:dyDescent="0.3">
      <c r="A82" s="206"/>
      <c r="B82" s="223"/>
      <c r="C82" s="223"/>
      <c r="D82" s="224"/>
      <c r="E82" s="223"/>
      <c r="F82" s="46"/>
      <c r="G82" s="46"/>
      <c r="H82" s="295"/>
      <c r="K82" s="14"/>
      <c r="L82" s="14"/>
      <c r="M82" s="14"/>
      <c r="O82" s="310"/>
      <c r="P82" s="57"/>
      <c r="Q82" s="175"/>
      <c r="R82" s="178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</row>
    <row r="83" spans="1:47" s="11" customFormat="1" ht="14.4" x14ac:dyDescent="0.3">
      <c r="A83" s="206"/>
      <c r="B83" s="223"/>
      <c r="C83" s="223"/>
      <c r="D83" s="224"/>
      <c r="E83" s="223"/>
      <c r="F83" s="46"/>
      <c r="G83" s="46"/>
      <c r="H83" s="295"/>
      <c r="K83" s="14"/>
      <c r="L83" s="14"/>
      <c r="M83" s="14"/>
      <c r="P83" s="57"/>
      <c r="Q83" s="175"/>
      <c r="R83" s="178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</row>
    <row r="84" spans="1:47" s="11" customFormat="1" x14ac:dyDescent="0.3">
      <c r="A84" s="206"/>
      <c r="B84" s="223"/>
      <c r="C84" s="223"/>
      <c r="D84" s="224"/>
      <c r="E84" s="223"/>
      <c r="F84" s="46"/>
      <c r="G84" s="46"/>
      <c r="H84" s="295"/>
      <c r="K84" s="14"/>
      <c r="L84" s="14"/>
      <c r="M84" s="14"/>
      <c r="N84" s="14"/>
      <c r="O84" s="14"/>
      <c r="P84" s="57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</row>
    <row r="85" spans="1:47" s="69" customFormat="1" x14ac:dyDescent="0.3">
      <c r="A85" s="206"/>
      <c r="B85" s="223"/>
      <c r="C85" s="223"/>
      <c r="D85" s="224"/>
      <c r="E85" s="223"/>
      <c r="F85" s="46"/>
      <c r="G85" s="46"/>
      <c r="H85" s="295"/>
      <c r="I85" s="11"/>
      <c r="J85" s="11"/>
      <c r="K85" s="14"/>
      <c r="L85" s="14"/>
      <c r="M85" s="14"/>
      <c r="N85" s="14"/>
      <c r="O85" s="310"/>
      <c r="P85" s="57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</row>
    <row r="86" spans="1:47" s="69" customFormat="1" x14ac:dyDescent="0.3">
      <c r="A86" s="206"/>
      <c r="B86" s="223"/>
      <c r="C86" s="223"/>
      <c r="D86" s="224"/>
      <c r="E86" s="223"/>
      <c r="F86" s="46"/>
      <c r="G86" s="46"/>
      <c r="H86" s="295"/>
      <c r="I86" s="11"/>
      <c r="J86" s="11"/>
      <c r="K86" s="14"/>
      <c r="L86" s="14"/>
      <c r="M86" s="14"/>
      <c r="N86" s="14"/>
      <c r="O86" s="11"/>
      <c r="P86" s="57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</row>
    <row r="87" spans="1:47" s="69" customFormat="1" x14ac:dyDescent="0.3">
      <c r="A87" s="206"/>
      <c r="B87" s="223"/>
      <c r="C87" s="223"/>
      <c r="D87" s="224"/>
      <c r="E87" s="223"/>
      <c r="F87" s="46"/>
      <c r="G87" s="46"/>
      <c r="H87" s="295"/>
      <c r="I87" s="11"/>
      <c r="J87" s="11"/>
      <c r="K87" s="14"/>
      <c r="L87" s="14"/>
      <c r="M87" s="14"/>
      <c r="N87" s="14"/>
      <c r="O87" s="11"/>
      <c r="P87" s="57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</row>
    <row r="88" spans="1:47" s="69" customFormat="1" x14ac:dyDescent="0.3">
      <c r="A88" s="206"/>
      <c r="B88" s="223"/>
      <c r="C88" s="223"/>
      <c r="D88" s="224"/>
      <c r="E88" s="223"/>
      <c r="F88" s="46"/>
      <c r="G88" s="46"/>
      <c r="H88" s="295"/>
      <c r="I88" s="11"/>
      <c r="J88" s="11"/>
      <c r="K88" s="14"/>
      <c r="L88" s="14"/>
      <c r="M88" s="14"/>
      <c r="N88" s="11"/>
      <c r="O88" s="11"/>
      <c r="P88" s="57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</row>
    <row r="89" spans="1:47" s="69" customFormat="1" x14ac:dyDescent="0.3">
      <c r="A89" s="206"/>
      <c r="B89" s="223"/>
      <c r="C89" s="223"/>
      <c r="D89" s="224"/>
      <c r="E89" s="223"/>
      <c r="F89" s="46"/>
      <c r="G89" s="46"/>
      <c r="H89" s="295"/>
      <c r="I89" s="11"/>
      <c r="J89" s="11"/>
      <c r="K89" s="14"/>
      <c r="L89" s="14"/>
      <c r="M89" s="14"/>
      <c r="N89" s="11"/>
      <c r="O89" s="14"/>
      <c r="P89" s="57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</row>
    <row r="90" spans="1:47" s="69" customFormat="1" x14ac:dyDescent="0.3">
      <c r="A90" s="206"/>
      <c r="B90" s="223"/>
      <c r="C90" s="223"/>
      <c r="D90" s="224"/>
      <c r="E90" s="223"/>
      <c r="F90" s="46"/>
      <c r="G90" s="46"/>
      <c r="H90" s="295"/>
      <c r="I90" s="11"/>
      <c r="J90" s="11"/>
      <c r="K90" s="14"/>
      <c r="L90" s="14"/>
      <c r="M90" s="14"/>
      <c r="N90" s="11"/>
      <c r="O90" s="14"/>
      <c r="P90" s="57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</row>
    <row r="91" spans="1:47" s="69" customFormat="1" x14ac:dyDescent="0.3">
      <c r="A91" s="206"/>
      <c r="B91" s="223"/>
      <c r="C91" s="223"/>
      <c r="D91" s="224"/>
      <c r="E91" s="223"/>
      <c r="F91" s="46"/>
      <c r="G91" s="46"/>
      <c r="H91" s="295"/>
      <c r="I91" s="11"/>
      <c r="J91" s="11"/>
      <c r="K91" s="14"/>
      <c r="L91" s="14"/>
      <c r="M91" s="14"/>
      <c r="N91" s="11"/>
      <c r="O91" s="14"/>
      <c r="P91" s="57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</row>
    <row r="92" spans="1:47" s="69" customFormat="1" x14ac:dyDescent="0.3">
      <c r="A92" s="206"/>
      <c r="B92" s="223"/>
      <c r="C92" s="223"/>
      <c r="D92" s="224"/>
      <c r="E92" s="223"/>
      <c r="F92" s="46"/>
      <c r="G92" s="46"/>
      <c r="H92" s="295"/>
      <c r="I92" s="11"/>
      <c r="J92" s="11"/>
      <c r="K92" s="14"/>
      <c r="L92" s="14"/>
      <c r="M92" s="14"/>
      <c r="N92" s="11"/>
      <c r="O92" s="14"/>
      <c r="P92" s="57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</row>
    <row r="93" spans="1:47" s="69" customFormat="1" x14ac:dyDescent="0.3">
      <c r="A93" s="206"/>
      <c r="B93" s="223"/>
      <c r="C93" s="223"/>
      <c r="D93" s="224"/>
      <c r="E93" s="223"/>
      <c r="F93" s="46"/>
      <c r="G93" s="46"/>
      <c r="H93" s="295"/>
      <c r="I93" s="11"/>
      <c r="J93" s="11"/>
      <c r="K93" s="14"/>
      <c r="L93" s="14"/>
      <c r="M93" s="14"/>
      <c r="N93" s="11"/>
      <c r="O93" s="11"/>
      <c r="P93" s="57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</row>
    <row r="94" spans="1:47" s="69" customFormat="1" x14ac:dyDescent="0.3">
      <c r="A94" s="206"/>
      <c r="B94" s="223"/>
      <c r="C94" s="223"/>
      <c r="D94" s="224"/>
      <c r="E94" s="223"/>
      <c r="F94" s="46"/>
      <c r="G94" s="46"/>
      <c r="H94" s="296"/>
      <c r="I94" s="11"/>
      <c r="J94" s="11"/>
      <c r="K94" s="14"/>
      <c r="L94" s="14"/>
      <c r="M94" s="14"/>
      <c r="N94" s="11"/>
      <c r="O94" s="11"/>
      <c r="P94" s="57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</row>
    <row r="95" spans="1:47" s="69" customFormat="1" x14ac:dyDescent="0.3">
      <c r="A95" s="206"/>
      <c r="B95" s="223"/>
      <c r="C95" s="223"/>
      <c r="D95" s="224"/>
      <c r="E95" s="223"/>
      <c r="F95" s="46"/>
      <c r="G95" s="46"/>
      <c r="H95" s="296"/>
      <c r="I95" s="11"/>
      <c r="J95" s="11"/>
      <c r="K95" s="14"/>
      <c r="L95" s="14"/>
      <c r="M95" s="14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</row>
    <row r="96" spans="1:47" s="69" customFormat="1" x14ac:dyDescent="0.3">
      <c r="A96" s="206"/>
      <c r="B96" s="223"/>
      <c r="C96" s="223"/>
      <c r="D96" s="224"/>
      <c r="E96" s="223"/>
      <c r="F96" s="46"/>
      <c r="G96" s="46"/>
      <c r="H96" s="296"/>
      <c r="K96" s="142"/>
      <c r="L96" s="142"/>
      <c r="M96" s="142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</row>
    <row r="97" spans="1:48" s="70" customFormat="1" x14ac:dyDescent="0.3">
      <c r="A97" s="206"/>
      <c r="B97" s="223"/>
      <c r="C97" s="223"/>
      <c r="D97" s="224"/>
      <c r="E97" s="223"/>
      <c r="F97" s="46"/>
      <c r="G97" s="46"/>
      <c r="H97" s="296"/>
      <c r="I97" s="63"/>
      <c r="J97" s="63"/>
      <c r="K97" s="69"/>
      <c r="L97" s="69"/>
      <c r="M97" s="69"/>
      <c r="N97" s="69"/>
      <c r="O97" s="69"/>
      <c r="P97" s="69"/>
    </row>
    <row r="98" spans="1:48" s="70" customFormat="1" ht="15" customHeight="1" x14ac:dyDescent="0.3">
      <c r="A98" s="206"/>
      <c r="B98" s="223"/>
      <c r="C98" s="223"/>
      <c r="D98" s="224"/>
      <c r="E98" s="223"/>
      <c r="F98" s="46"/>
      <c r="G98" s="46"/>
      <c r="H98" s="296"/>
      <c r="I98" s="11"/>
      <c r="J98" s="63"/>
      <c r="K98" s="142"/>
      <c r="L98" s="142"/>
      <c r="M98" s="142"/>
      <c r="N98" s="69"/>
      <c r="O98" s="69"/>
      <c r="P98" s="69"/>
      <c r="AV98" s="69"/>
    </row>
    <row r="99" spans="1:48" s="70" customFormat="1" x14ac:dyDescent="0.3">
      <c r="A99" s="206"/>
      <c r="B99" s="223"/>
      <c r="C99" s="223"/>
      <c r="D99" s="224"/>
      <c r="E99" s="223"/>
      <c r="F99" s="46"/>
      <c r="G99" s="46"/>
      <c r="H99" s="296"/>
      <c r="I99" s="142"/>
      <c r="J99" s="142"/>
      <c r="K99" s="142"/>
      <c r="L99" s="142"/>
      <c r="M99" s="142"/>
      <c r="N99" s="69"/>
      <c r="O99" s="69"/>
      <c r="P99" s="69"/>
      <c r="AV99" s="69"/>
    </row>
    <row r="100" spans="1:48" s="70" customFormat="1" x14ac:dyDescent="0.3">
      <c r="A100" s="206"/>
      <c r="B100" s="223"/>
      <c r="C100" s="223"/>
      <c r="D100" s="224"/>
      <c r="E100" s="223"/>
      <c r="F100" s="46"/>
      <c r="G100" s="46"/>
      <c r="H100" s="296"/>
      <c r="I100" s="11"/>
      <c r="J100" s="63"/>
      <c r="K100" s="142"/>
      <c r="L100" s="142"/>
      <c r="M100" s="142"/>
      <c r="N100" s="69"/>
      <c r="O100" s="69"/>
      <c r="P100" s="69"/>
      <c r="AV100" s="69"/>
    </row>
    <row r="101" spans="1:48" s="70" customFormat="1" x14ac:dyDescent="0.3">
      <c r="A101" s="206"/>
      <c r="B101" s="223"/>
      <c r="C101" s="223"/>
      <c r="D101" s="224"/>
      <c r="E101" s="223"/>
      <c r="F101" s="46"/>
      <c r="G101" s="46"/>
      <c r="H101" s="296"/>
      <c r="I101" s="142"/>
      <c r="J101" s="142"/>
      <c r="K101" s="142"/>
      <c r="L101" s="142"/>
      <c r="M101" s="142"/>
      <c r="N101" s="69"/>
      <c r="O101" s="69"/>
      <c r="P101" s="69"/>
      <c r="AV101" s="69"/>
    </row>
    <row r="102" spans="1:48" s="70" customFormat="1" x14ac:dyDescent="0.3">
      <c r="A102" s="206"/>
      <c r="B102" s="223"/>
      <c r="C102" s="223"/>
      <c r="D102" s="224"/>
      <c r="E102" s="223"/>
      <c r="F102" s="46"/>
      <c r="G102" s="46"/>
      <c r="H102" s="296"/>
      <c r="I102" s="11"/>
      <c r="J102" s="63"/>
      <c r="K102" s="142"/>
      <c r="L102" s="142"/>
      <c r="M102" s="142"/>
      <c r="N102" s="144"/>
      <c r="O102" s="69"/>
      <c r="P102" s="69"/>
      <c r="AV102" s="69"/>
    </row>
    <row r="103" spans="1:48" s="70" customFormat="1" x14ac:dyDescent="0.3">
      <c r="A103" s="206"/>
      <c r="B103" s="223"/>
      <c r="C103" s="223"/>
      <c r="D103" s="224"/>
      <c r="E103" s="223"/>
      <c r="F103" s="46"/>
      <c r="G103" s="46"/>
      <c r="H103" s="296"/>
      <c r="I103" s="142"/>
      <c r="J103" s="142"/>
      <c r="K103" s="142"/>
      <c r="L103" s="142"/>
      <c r="M103" s="142"/>
      <c r="N103" s="144"/>
      <c r="O103" s="69"/>
      <c r="P103" s="69"/>
      <c r="AV103" s="69"/>
    </row>
    <row r="104" spans="1:48" s="70" customFormat="1" x14ac:dyDescent="0.3">
      <c r="A104" s="206"/>
      <c r="B104" s="223"/>
      <c r="C104" s="223"/>
      <c r="D104" s="224"/>
      <c r="E104" s="223"/>
      <c r="F104" s="46"/>
      <c r="G104" s="46"/>
      <c r="H104" s="296"/>
      <c r="I104" s="11"/>
      <c r="J104" s="63"/>
      <c r="K104" s="142"/>
      <c r="L104" s="142"/>
      <c r="M104" s="142"/>
      <c r="N104" s="144"/>
      <c r="O104" s="69"/>
      <c r="AV104" s="69"/>
    </row>
    <row r="105" spans="1:48" s="70" customFormat="1" x14ac:dyDescent="0.3">
      <c r="A105" s="206"/>
      <c r="B105" s="223"/>
      <c r="C105" s="223"/>
      <c r="D105" s="224"/>
      <c r="E105" s="223"/>
      <c r="F105" s="46"/>
      <c r="G105" s="46"/>
      <c r="H105" s="296"/>
      <c r="I105" s="142"/>
      <c r="J105" s="142"/>
      <c r="K105" s="142"/>
      <c r="L105" s="142"/>
      <c r="M105" s="142"/>
      <c r="N105" s="144"/>
      <c r="O105" s="69"/>
      <c r="AV105" s="69"/>
    </row>
    <row r="106" spans="1:48" s="70" customFormat="1" x14ac:dyDescent="0.3">
      <c r="A106" s="206"/>
      <c r="B106" s="223"/>
      <c r="C106" s="223"/>
      <c r="D106" s="224"/>
      <c r="E106" s="223"/>
      <c r="F106" s="46"/>
      <c r="G106" s="46"/>
      <c r="H106" s="296"/>
      <c r="I106" s="11"/>
      <c r="J106" s="63"/>
      <c r="K106" s="142"/>
      <c r="L106" s="142"/>
      <c r="M106" s="142"/>
      <c r="N106" s="144"/>
      <c r="O106" s="69"/>
      <c r="AV106" s="69"/>
    </row>
    <row r="107" spans="1:48" s="70" customFormat="1" x14ac:dyDescent="0.3">
      <c r="A107" s="148"/>
      <c r="B107" s="225"/>
      <c r="C107" s="225"/>
      <c r="D107" s="225"/>
      <c r="E107" s="225"/>
      <c r="F107" s="46"/>
      <c r="G107" s="46"/>
      <c r="H107" s="296"/>
      <c r="I107" s="142"/>
      <c r="J107" s="142"/>
      <c r="K107" s="142"/>
      <c r="L107" s="142"/>
      <c r="M107" s="142"/>
      <c r="N107" s="144"/>
      <c r="O107" s="144"/>
      <c r="AV107" s="69"/>
    </row>
    <row r="108" spans="1:48" s="70" customFormat="1" x14ac:dyDescent="0.3">
      <c r="A108" s="69"/>
      <c r="B108" s="69"/>
      <c r="C108" s="69"/>
      <c r="D108" s="69"/>
      <c r="E108" s="69"/>
      <c r="F108" s="69"/>
      <c r="G108" s="69"/>
      <c r="H108" s="297"/>
      <c r="I108" s="142"/>
      <c r="J108" s="142"/>
      <c r="K108" s="142"/>
      <c r="L108" s="142"/>
      <c r="M108" s="142"/>
      <c r="N108" s="144"/>
      <c r="O108" s="144"/>
      <c r="AV108" s="69"/>
    </row>
    <row r="109" spans="1:48" s="70" customFormat="1" x14ac:dyDescent="0.3">
      <c r="A109" s="69"/>
      <c r="B109" s="69"/>
      <c r="C109" s="69"/>
      <c r="D109" s="69"/>
      <c r="E109" s="69"/>
      <c r="F109" s="69"/>
      <c r="G109" s="69"/>
      <c r="H109" s="297"/>
      <c r="I109" s="69"/>
      <c r="J109" s="69"/>
      <c r="K109" s="142"/>
      <c r="L109" s="142"/>
      <c r="M109" s="142"/>
      <c r="N109" s="144"/>
      <c r="O109" s="144"/>
      <c r="AV109" s="69"/>
    </row>
    <row r="110" spans="1:48" s="70" customFormat="1" x14ac:dyDescent="0.3">
      <c r="A110" s="69"/>
      <c r="B110" s="69"/>
      <c r="C110" s="69"/>
      <c r="D110" s="69"/>
      <c r="E110" s="69"/>
      <c r="F110" s="69"/>
      <c r="G110" s="69"/>
      <c r="H110" s="297"/>
      <c r="I110" s="69"/>
      <c r="J110" s="69"/>
      <c r="K110" s="142"/>
      <c r="L110" s="142"/>
      <c r="M110" s="142"/>
      <c r="N110" s="144"/>
      <c r="O110" s="144"/>
      <c r="AV110" s="69"/>
    </row>
    <row r="111" spans="1:48" s="70" customFormat="1" x14ac:dyDescent="0.3">
      <c r="A111" s="69"/>
      <c r="B111" s="69"/>
      <c r="C111" s="69"/>
      <c r="D111" s="69"/>
      <c r="E111" s="69"/>
      <c r="F111" s="69"/>
      <c r="G111" s="69"/>
      <c r="H111" s="297"/>
      <c r="I111" s="69"/>
      <c r="J111" s="69"/>
      <c r="K111" s="142"/>
      <c r="L111" s="142"/>
      <c r="M111" s="142"/>
      <c r="N111" s="144"/>
      <c r="O111" s="144"/>
      <c r="AV111" s="69"/>
    </row>
    <row r="112" spans="1:48" s="70" customFormat="1" x14ac:dyDescent="0.3">
      <c r="A112" s="69"/>
      <c r="B112" s="69"/>
      <c r="C112" s="69"/>
      <c r="D112" s="69"/>
      <c r="E112" s="69"/>
      <c r="F112" s="69"/>
      <c r="G112" s="69"/>
      <c r="H112" s="297"/>
      <c r="I112" s="69"/>
      <c r="J112" s="69"/>
      <c r="K112" s="142"/>
      <c r="L112" s="142"/>
      <c r="M112" s="142"/>
      <c r="N112" s="144"/>
      <c r="O112" s="144"/>
      <c r="AV112" s="69"/>
    </row>
    <row r="113" spans="1:48" s="70" customFormat="1" x14ac:dyDescent="0.3">
      <c r="A113" s="69"/>
      <c r="B113" s="69"/>
      <c r="C113" s="69"/>
      <c r="D113" s="69"/>
      <c r="E113" s="69"/>
      <c r="F113" s="69"/>
      <c r="G113" s="69"/>
      <c r="H113" s="297"/>
      <c r="I113" s="69"/>
      <c r="J113" s="69"/>
      <c r="K113" s="142"/>
      <c r="L113" s="142"/>
      <c r="M113" s="142"/>
      <c r="N113" s="144"/>
      <c r="O113" s="144"/>
      <c r="AV113" s="69"/>
    </row>
    <row r="114" spans="1:48" s="70" customFormat="1" x14ac:dyDescent="0.3">
      <c r="A114" s="69"/>
      <c r="B114" s="69"/>
      <c r="C114" s="69"/>
      <c r="D114" s="69"/>
      <c r="E114" s="69"/>
      <c r="F114" s="69"/>
      <c r="G114" s="69"/>
      <c r="H114" s="297"/>
      <c r="I114" s="69"/>
      <c r="J114" s="69"/>
      <c r="K114" s="142"/>
      <c r="L114" s="142"/>
      <c r="M114" s="142"/>
      <c r="N114" s="144"/>
      <c r="O114" s="144"/>
      <c r="AV114" s="69"/>
    </row>
    <row r="115" spans="1:48" s="70" customFormat="1" x14ac:dyDescent="0.3">
      <c r="F115" s="69"/>
      <c r="G115" s="69"/>
      <c r="H115" s="297"/>
      <c r="I115" s="69"/>
      <c r="J115" s="69"/>
      <c r="K115" s="142"/>
      <c r="L115" s="142"/>
      <c r="M115" s="142"/>
      <c r="N115" s="144"/>
      <c r="O115" s="144"/>
      <c r="AV115" s="69"/>
    </row>
    <row r="116" spans="1:48" s="70" customFormat="1" x14ac:dyDescent="0.3">
      <c r="H116" s="298"/>
      <c r="I116" s="69"/>
      <c r="J116" s="69"/>
      <c r="K116" s="142"/>
      <c r="L116" s="142"/>
      <c r="M116" s="142"/>
      <c r="N116" s="144"/>
      <c r="O116" s="144"/>
      <c r="AV116" s="69"/>
    </row>
    <row r="117" spans="1:48" s="70" customFormat="1" x14ac:dyDescent="0.3">
      <c r="H117" s="298"/>
      <c r="K117" s="142"/>
      <c r="L117" s="142"/>
      <c r="M117" s="142"/>
      <c r="N117" s="144"/>
      <c r="O117" s="144"/>
      <c r="AV117" s="69"/>
    </row>
    <row r="118" spans="1:48" s="70" customFormat="1" x14ac:dyDescent="0.3">
      <c r="H118" s="298"/>
      <c r="K118" s="142"/>
      <c r="L118" s="142"/>
      <c r="M118" s="142"/>
      <c r="N118" s="144"/>
      <c r="O118" s="144"/>
      <c r="AV118" s="69"/>
    </row>
    <row r="119" spans="1:48" s="70" customFormat="1" x14ac:dyDescent="0.3">
      <c r="H119" s="298"/>
      <c r="K119" s="142"/>
      <c r="L119" s="142"/>
      <c r="M119" s="142"/>
      <c r="N119" s="144"/>
      <c r="O119" s="144"/>
      <c r="AV119" s="69"/>
    </row>
    <row r="120" spans="1:48" s="70" customFormat="1" x14ac:dyDescent="0.3">
      <c r="H120" s="298"/>
      <c r="K120" s="142"/>
      <c r="L120" s="142"/>
      <c r="M120" s="142"/>
      <c r="N120" s="144"/>
      <c r="O120" s="144"/>
      <c r="AV120" s="69"/>
    </row>
    <row r="121" spans="1:48" s="70" customFormat="1" x14ac:dyDescent="0.3">
      <c r="H121" s="298"/>
      <c r="K121" s="142"/>
      <c r="L121" s="142"/>
      <c r="M121" s="142"/>
      <c r="N121" s="144"/>
      <c r="O121" s="144"/>
      <c r="AV121" s="69"/>
    </row>
    <row r="122" spans="1:48" s="70" customFormat="1" x14ac:dyDescent="0.3">
      <c r="H122" s="298"/>
      <c r="K122" s="142"/>
      <c r="L122" s="142"/>
      <c r="M122" s="142"/>
      <c r="N122" s="144"/>
      <c r="O122" s="144"/>
      <c r="AV122" s="69"/>
    </row>
    <row r="123" spans="1:48" s="70" customFormat="1" x14ac:dyDescent="0.3">
      <c r="H123" s="298"/>
      <c r="K123" s="142"/>
      <c r="L123" s="142"/>
      <c r="M123" s="142"/>
      <c r="N123" s="144"/>
      <c r="O123" s="144"/>
      <c r="AV123" s="69"/>
    </row>
    <row r="124" spans="1:48" s="70" customFormat="1" x14ac:dyDescent="0.3">
      <c r="H124" s="298"/>
      <c r="K124" s="142"/>
      <c r="L124" s="142"/>
      <c r="M124" s="142"/>
      <c r="N124" s="144"/>
      <c r="O124" s="144"/>
      <c r="AV124" s="69"/>
    </row>
    <row r="125" spans="1:48" s="70" customFormat="1" x14ac:dyDescent="0.3">
      <c r="H125" s="298"/>
      <c r="K125" s="142"/>
      <c r="L125" s="142"/>
      <c r="M125" s="142"/>
      <c r="N125" s="144"/>
      <c r="O125" s="144"/>
      <c r="AV125" s="69"/>
    </row>
    <row r="126" spans="1:48" s="70" customFormat="1" x14ac:dyDescent="0.3">
      <c r="H126" s="298"/>
      <c r="K126" s="142"/>
      <c r="L126" s="142"/>
      <c r="M126" s="142"/>
      <c r="N126" s="144"/>
      <c r="O126" s="144"/>
      <c r="AV126" s="69"/>
    </row>
    <row r="127" spans="1:48" s="70" customFormat="1" x14ac:dyDescent="0.3">
      <c r="H127" s="298"/>
      <c r="K127" s="142"/>
      <c r="L127" s="142"/>
      <c r="M127" s="142"/>
      <c r="N127" s="144"/>
      <c r="O127" s="144"/>
      <c r="AV127" s="69"/>
    </row>
    <row r="128" spans="1:48" s="70" customFormat="1" x14ac:dyDescent="0.3">
      <c r="H128" s="298"/>
      <c r="K128" s="142"/>
      <c r="L128" s="142"/>
      <c r="M128" s="142"/>
      <c r="N128" s="144"/>
      <c r="O128" s="144"/>
      <c r="AV128" s="69"/>
    </row>
    <row r="129" spans="8:48" s="70" customFormat="1" x14ac:dyDescent="0.3">
      <c r="H129" s="298"/>
      <c r="K129" s="142"/>
      <c r="L129" s="142"/>
      <c r="M129" s="142"/>
      <c r="N129" s="144"/>
      <c r="O129" s="144"/>
      <c r="AV129" s="69"/>
    </row>
    <row r="130" spans="8:48" s="70" customFormat="1" x14ac:dyDescent="0.3">
      <c r="H130" s="298"/>
      <c r="K130" s="142"/>
      <c r="L130" s="142"/>
      <c r="M130" s="142"/>
      <c r="N130" s="144"/>
      <c r="O130" s="144"/>
      <c r="AV130" s="69"/>
    </row>
    <row r="131" spans="8:48" s="70" customFormat="1" x14ac:dyDescent="0.3">
      <c r="H131" s="298"/>
      <c r="K131" s="142"/>
      <c r="L131" s="142"/>
      <c r="M131" s="142"/>
      <c r="N131" s="144"/>
      <c r="O131" s="144"/>
      <c r="AV131" s="69"/>
    </row>
    <row r="132" spans="8:48" s="70" customFormat="1" x14ac:dyDescent="0.3">
      <c r="H132" s="298"/>
      <c r="K132" s="142"/>
      <c r="L132" s="142"/>
      <c r="M132" s="142"/>
      <c r="N132" s="144"/>
      <c r="O132" s="144"/>
      <c r="AV132" s="69"/>
    </row>
    <row r="133" spans="8:48" s="70" customFormat="1" x14ac:dyDescent="0.3">
      <c r="H133" s="298"/>
      <c r="K133" s="142"/>
      <c r="L133" s="142"/>
      <c r="M133" s="142"/>
      <c r="N133" s="144"/>
      <c r="O133" s="144"/>
      <c r="AV133" s="69"/>
    </row>
    <row r="134" spans="8:48" s="70" customFormat="1" x14ac:dyDescent="0.3">
      <c r="H134" s="298"/>
      <c r="K134" s="142"/>
      <c r="L134" s="142"/>
      <c r="M134" s="142"/>
      <c r="N134" s="144"/>
      <c r="O134" s="144"/>
      <c r="AV134" s="69"/>
    </row>
    <row r="135" spans="8:48" s="70" customFormat="1" x14ac:dyDescent="0.3">
      <c r="H135" s="298"/>
      <c r="K135" s="142"/>
      <c r="L135" s="142"/>
      <c r="M135" s="142"/>
      <c r="N135" s="144"/>
      <c r="O135" s="144"/>
      <c r="AV135" s="69"/>
    </row>
    <row r="136" spans="8:48" s="70" customFormat="1" x14ac:dyDescent="0.3">
      <c r="H136" s="298"/>
      <c r="K136" s="142"/>
      <c r="L136" s="142"/>
      <c r="M136" s="142"/>
      <c r="N136" s="144"/>
      <c r="O136" s="144"/>
      <c r="AV136" s="69"/>
    </row>
    <row r="137" spans="8:48" s="70" customFormat="1" x14ac:dyDescent="0.3">
      <c r="H137" s="298"/>
      <c r="K137" s="142"/>
      <c r="L137" s="142"/>
      <c r="M137" s="142"/>
      <c r="N137" s="144"/>
      <c r="O137" s="144"/>
      <c r="AV137" s="69"/>
    </row>
    <row r="138" spans="8:48" s="70" customFormat="1" x14ac:dyDescent="0.3">
      <c r="H138" s="298"/>
      <c r="K138" s="142"/>
      <c r="L138" s="142"/>
      <c r="M138" s="142"/>
      <c r="N138" s="144"/>
      <c r="O138" s="144"/>
      <c r="AV138" s="69"/>
    </row>
    <row r="139" spans="8:48" s="70" customFormat="1" x14ac:dyDescent="0.3">
      <c r="H139" s="298"/>
      <c r="K139" s="142"/>
      <c r="L139" s="142"/>
      <c r="M139" s="142"/>
      <c r="N139" s="144"/>
      <c r="O139" s="144"/>
      <c r="AV139" s="69"/>
    </row>
    <row r="140" spans="8:48" s="70" customFormat="1" x14ac:dyDescent="0.3">
      <c r="H140" s="298"/>
      <c r="K140" s="142"/>
      <c r="L140" s="142"/>
      <c r="M140" s="142"/>
      <c r="N140" s="144"/>
      <c r="O140" s="144"/>
      <c r="AV140" s="69"/>
    </row>
    <row r="141" spans="8:48" s="70" customFormat="1" x14ac:dyDescent="0.3">
      <c r="H141" s="298"/>
      <c r="K141" s="142"/>
      <c r="L141" s="142"/>
      <c r="M141" s="142"/>
      <c r="N141" s="144"/>
      <c r="O141" s="144"/>
      <c r="AV141" s="69"/>
    </row>
    <row r="142" spans="8:48" s="70" customFormat="1" x14ac:dyDescent="0.3">
      <c r="H142" s="298"/>
      <c r="K142" s="142"/>
      <c r="L142" s="142"/>
      <c r="M142" s="142"/>
      <c r="N142" s="144"/>
      <c r="O142" s="144"/>
      <c r="AV142" s="69"/>
    </row>
    <row r="143" spans="8:48" s="70" customFormat="1" x14ac:dyDescent="0.3">
      <c r="H143" s="298"/>
      <c r="K143" s="142"/>
      <c r="L143" s="142"/>
      <c r="M143" s="142"/>
      <c r="N143" s="144"/>
      <c r="O143" s="144"/>
      <c r="AV143" s="69"/>
    </row>
    <row r="144" spans="8:48" s="70" customFormat="1" x14ac:dyDescent="0.3">
      <c r="H144" s="298"/>
      <c r="K144" s="142"/>
      <c r="L144" s="142"/>
      <c r="M144" s="142"/>
      <c r="N144" s="144"/>
      <c r="O144" s="144"/>
      <c r="AV144" s="69"/>
    </row>
    <row r="145" spans="8:48" s="70" customFormat="1" x14ac:dyDescent="0.3">
      <c r="H145" s="298"/>
      <c r="K145" s="142"/>
      <c r="L145" s="142"/>
      <c r="M145" s="142"/>
      <c r="N145" s="144"/>
      <c r="O145" s="144"/>
      <c r="AV145" s="69"/>
    </row>
    <row r="146" spans="8:48" s="70" customFormat="1" x14ac:dyDescent="0.3">
      <c r="H146" s="298"/>
      <c r="K146" s="142"/>
      <c r="L146" s="142"/>
      <c r="M146" s="142"/>
      <c r="N146" s="144"/>
      <c r="O146" s="144"/>
      <c r="AV146" s="69"/>
    </row>
    <row r="147" spans="8:48" s="70" customFormat="1" x14ac:dyDescent="0.3">
      <c r="H147" s="298"/>
      <c r="K147" s="142"/>
      <c r="L147" s="142"/>
      <c r="M147" s="142"/>
      <c r="N147" s="144"/>
      <c r="O147" s="144"/>
      <c r="AV147" s="69"/>
    </row>
    <row r="148" spans="8:48" s="70" customFormat="1" x14ac:dyDescent="0.3">
      <c r="H148" s="298"/>
      <c r="K148" s="142"/>
      <c r="L148" s="142"/>
      <c r="M148" s="142"/>
      <c r="N148" s="144"/>
      <c r="O148" s="144"/>
      <c r="AV148" s="69"/>
    </row>
    <row r="149" spans="8:48" s="70" customFormat="1" x14ac:dyDescent="0.3">
      <c r="H149" s="298"/>
      <c r="K149" s="142"/>
      <c r="L149" s="142"/>
      <c r="M149" s="142"/>
      <c r="N149" s="144"/>
      <c r="O149" s="144"/>
      <c r="AV149" s="69"/>
    </row>
    <row r="150" spans="8:48" s="70" customFormat="1" x14ac:dyDescent="0.3">
      <c r="H150" s="298"/>
      <c r="K150" s="142"/>
      <c r="L150" s="142"/>
      <c r="M150" s="142"/>
      <c r="N150" s="144"/>
      <c r="O150" s="144"/>
      <c r="AV150" s="69"/>
    </row>
    <row r="151" spans="8:48" s="70" customFormat="1" x14ac:dyDescent="0.3">
      <c r="H151" s="298"/>
      <c r="K151" s="142"/>
      <c r="L151" s="142"/>
      <c r="M151" s="142"/>
      <c r="N151" s="144"/>
      <c r="O151" s="144"/>
      <c r="AV151" s="69"/>
    </row>
    <row r="152" spans="8:48" s="70" customFormat="1" x14ac:dyDescent="0.3">
      <c r="H152" s="298"/>
      <c r="K152" s="142"/>
      <c r="L152" s="142"/>
      <c r="M152" s="142"/>
      <c r="N152" s="144"/>
      <c r="O152" s="144"/>
      <c r="AV152" s="69"/>
    </row>
    <row r="153" spans="8:48" s="70" customFormat="1" x14ac:dyDescent="0.3">
      <c r="H153" s="298"/>
      <c r="K153" s="142"/>
      <c r="L153" s="142"/>
      <c r="M153" s="142"/>
      <c r="N153" s="144"/>
      <c r="O153" s="144"/>
      <c r="AV153" s="69"/>
    </row>
    <row r="154" spans="8:48" s="70" customFormat="1" x14ac:dyDescent="0.3">
      <c r="H154" s="298"/>
      <c r="K154" s="142"/>
      <c r="L154" s="142"/>
      <c r="M154" s="142"/>
      <c r="N154" s="144"/>
      <c r="O154" s="144"/>
      <c r="AV154" s="69"/>
    </row>
    <row r="155" spans="8:48" s="70" customFormat="1" x14ac:dyDescent="0.3">
      <c r="H155" s="298"/>
      <c r="K155" s="142"/>
      <c r="L155" s="142"/>
      <c r="M155" s="142"/>
      <c r="N155" s="144"/>
      <c r="O155" s="144"/>
      <c r="AV155" s="69"/>
    </row>
    <row r="156" spans="8:48" s="70" customFormat="1" x14ac:dyDescent="0.3">
      <c r="H156" s="298"/>
      <c r="K156" s="142"/>
      <c r="L156" s="142"/>
      <c r="M156" s="142"/>
      <c r="N156" s="144"/>
      <c r="O156" s="144"/>
      <c r="AV156" s="69"/>
    </row>
    <row r="157" spans="8:48" s="70" customFormat="1" x14ac:dyDescent="0.3">
      <c r="H157" s="298"/>
      <c r="K157" s="142"/>
      <c r="L157" s="142"/>
      <c r="M157" s="142"/>
      <c r="N157" s="144"/>
      <c r="O157" s="144"/>
      <c r="AV157" s="69"/>
    </row>
    <row r="158" spans="8:48" s="70" customFormat="1" x14ac:dyDescent="0.3">
      <c r="H158" s="298"/>
      <c r="K158" s="142"/>
      <c r="L158" s="142"/>
      <c r="M158" s="142"/>
      <c r="N158" s="144"/>
      <c r="O158" s="144"/>
      <c r="AV158" s="69"/>
    </row>
    <row r="159" spans="8:48" s="70" customFormat="1" x14ac:dyDescent="0.3">
      <c r="H159" s="298"/>
      <c r="K159" s="142"/>
      <c r="L159" s="142"/>
      <c r="M159" s="142"/>
      <c r="N159" s="144"/>
      <c r="O159" s="144"/>
      <c r="AV159" s="69"/>
    </row>
    <row r="160" spans="8:48" s="70" customFormat="1" x14ac:dyDescent="0.3">
      <c r="H160" s="298"/>
      <c r="K160" s="142"/>
      <c r="L160" s="142"/>
      <c r="M160" s="142"/>
      <c r="N160" s="144"/>
      <c r="O160" s="144"/>
      <c r="AV160" s="69"/>
    </row>
    <row r="161" spans="1:49" s="70" customFormat="1" x14ac:dyDescent="0.3">
      <c r="H161" s="298"/>
      <c r="K161" s="142"/>
      <c r="L161" s="142"/>
      <c r="M161" s="142"/>
      <c r="N161" s="144"/>
      <c r="O161" s="144"/>
      <c r="AV161" s="69"/>
    </row>
    <row r="162" spans="1:49" s="70" customFormat="1" x14ac:dyDescent="0.3">
      <c r="H162" s="298"/>
      <c r="K162" s="142"/>
      <c r="L162" s="142"/>
      <c r="M162" s="142"/>
      <c r="N162" s="144"/>
      <c r="O162" s="144"/>
      <c r="AV162" s="69"/>
    </row>
    <row r="163" spans="1:49" s="70" customFormat="1" x14ac:dyDescent="0.3">
      <c r="H163" s="298"/>
      <c r="K163" s="142"/>
      <c r="L163" s="142"/>
      <c r="M163" s="142"/>
      <c r="N163" s="144"/>
      <c r="O163" s="144"/>
      <c r="AV163" s="69"/>
    </row>
    <row r="164" spans="1:49" s="70" customFormat="1" x14ac:dyDescent="0.3">
      <c r="H164" s="298"/>
      <c r="K164" s="142"/>
      <c r="L164" s="142"/>
      <c r="M164" s="142"/>
      <c r="N164" s="144"/>
      <c r="O164" s="144"/>
      <c r="AV164" s="69"/>
    </row>
    <row r="165" spans="1:49" s="70" customFormat="1" x14ac:dyDescent="0.3">
      <c r="H165" s="298"/>
      <c r="K165" s="142"/>
      <c r="L165" s="142"/>
      <c r="M165" s="142"/>
      <c r="N165" s="144"/>
      <c r="O165" s="144"/>
      <c r="AV165" s="69"/>
    </row>
    <row r="166" spans="1:49" s="70" customFormat="1" x14ac:dyDescent="0.3">
      <c r="H166" s="298"/>
      <c r="K166" s="142"/>
      <c r="L166" s="142"/>
      <c r="M166" s="142"/>
      <c r="N166" s="144"/>
      <c r="O166" s="144"/>
      <c r="AV166" s="69"/>
    </row>
    <row r="167" spans="1:49" s="70" customFormat="1" x14ac:dyDescent="0.3">
      <c r="H167" s="298"/>
      <c r="K167" s="142"/>
      <c r="L167" s="142"/>
      <c r="M167" s="142"/>
      <c r="N167" s="144"/>
      <c r="O167" s="144"/>
      <c r="AV167" s="69"/>
    </row>
    <row r="168" spans="1:49" s="70" customFormat="1" x14ac:dyDescent="0.3">
      <c r="H168" s="298"/>
      <c r="K168" s="142"/>
      <c r="L168" s="142"/>
      <c r="M168" s="142"/>
      <c r="N168" s="144"/>
      <c r="O168" s="144"/>
      <c r="AV168" s="69"/>
    </row>
    <row r="169" spans="1:49" s="70" customFormat="1" x14ac:dyDescent="0.3">
      <c r="H169" s="298"/>
      <c r="K169" s="142"/>
      <c r="L169" s="142"/>
      <c r="M169" s="142"/>
      <c r="N169" s="144"/>
      <c r="O169" s="144"/>
      <c r="AV169" s="69"/>
    </row>
    <row r="170" spans="1:49" s="70" customFormat="1" x14ac:dyDescent="0.3">
      <c r="H170" s="298"/>
      <c r="K170" s="142"/>
      <c r="L170" s="142"/>
      <c r="M170" s="142"/>
      <c r="N170" s="144"/>
      <c r="O170" s="144"/>
      <c r="AV170" s="69"/>
    </row>
    <row r="171" spans="1:49" s="70" customFormat="1" x14ac:dyDescent="0.3">
      <c r="H171" s="298"/>
      <c r="K171" s="142"/>
      <c r="L171" s="142"/>
      <c r="M171" s="142"/>
      <c r="N171" s="144"/>
      <c r="O171" s="144"/>
      <c r="AV171" s="69"/>
    </row>
    <row r="172" spans="1:49" s="145" customFormat="1" x14ac:dyDescent="0.3">
      <c r="A172" s="70"/>
      <c r="B172" s="70"/>
      <c r="C172" s="70"/>
      <c r="D172" s="70"/>
      <c r="E172" s="70"/>
      <c r="F172" s="70"/>
      <c r="G172" s="70"/>
      <c r="H172" s="298"/>
      <c r="I172" s="70"/>
      <c r="J172" s="70"/>
      <c r="K172" s="142"/>
      <c r="L172" s="142"/>
      <c r="M172" s="142"/>
      <c r="N172" s="144"/>
      <c r="O172" s="144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69"/>
      <c r="AW172" s="70"/>
    </row>
    <row r="173" spans="1:49" s="145" customFormat="1" x14ac:dyDescent="0.3">
      <c r="A173" s="70"/>
      <c r="B173" s="70"/>
      <c r="C173" s="70"/>
      <c r="D173" s="70"/>
      <c r="E173" s="70"/>
      <c r="F173" s="70"/>
      <c r="G173" s="70"/>
      <c r="H173" s="298"/>
      <c r="I173" s="70"/>
      <c r="J173" s="70"/>
      <c r="K173" s="142"/>
      <c r="L173" s="142"/>
      <c r="M173" s="142"/>
      <c r="N173" s="144"/>
      <c r="O173" s="144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69"/>
      <c r="AW173" s="70"/>
    </row>
    <row r="174" spans="1:49" s="145" customFormat="1" x14ac:dyDescent="0.3">
      <c r="A174" s="70"/>
      <c r="B174" s="70"/>
      <c r="C174" s="70"/>
      <c r="D174" s="70"/>
      <c r="E174" s="70"/>
      <c r="F174" s="70"/>
      <c r="G174" s="70"/>
      <c r="H174" s="298"/>
      <c r="I174" s="70"/>
      <c r="J174" s="70"/>
      <c r="K174" s="142"/>
      <c r="L174" s="142"/>
      <c r="M174" s="142"/>
      <c r="N174" s="144"/>
      <c r="O174" s="144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69"/>
      <c r="AW174" s="70"/>
    </row>
    <row r="175" spans="1:49" s="145" customFormat="1" x14ac:dyDescent="0.3">
      <c r="A175" s="70"/>
      <c r="B175" s="70"/>
      <c r="C175" s="70"/>
      <c r="D175" s="70"/>
      <c r="E175" s="70"/>
      <c r="F175" s="70"/>
      <c r="G175" s="70"/>
      <c r="H175" s="298"/>
      <c r="I175" s="70"/>
      <c r="J175" s="70"/>
      <c r="K175" s="142"/>
      <c r="L175" s="142"/>
      <c r="M175" s="142"/>
      <c r="N175" s="144"/>
      <c r="O175" s="144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69"/>
      <c r="AW175" s="70"/>
    </row>
    <row r="176" spans="1:49" s="145" customFormat="1" x14ac:dyDescent="0.3">
      <c r="A176" s="70"/>
      <c r="B176" s="70"/>
      <c r="C176" s="70"/>
      <c r="D176" s="70"/>
      <c r="E176" s="70"/>
      <c r="F176" s="70"/>
      <c r="G176" s="70"/>
      <c r="H176" s="298"/>
      <c r="I176" s="70"/>
      <c r="J176" s="70"/>
      <c r="K176" s="142"/>
      <c r="L176" s="142"/>
      <c r="M176" s="142"/>
      <c r="N176" s="144"/>
      <c r="O176" s="144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69"/>
      <c r="AW176" s="70"/>
    </row>
    <row r="177" spans="1:49" s="145" customFormat="1" x14ac:dyDescent="0.3">
      <c r="A177" s="70"/>
      <c r="B177" s="70"/>
      <c r="C177" s="70"/>
      <c r="D177" s="70"/>
      <c r="E177" s="70"/>
      <c r="F177" s="70"/>
      <c r="G177" s="70"/>
      <c r="H177" s="298"/>
      <c r="I177" s="70"/>
      <c r="J177" s="70"/>
      <c r="K177" s="142"/>
      <c r="L177" s="142"/>
      <c r="M177" s="142"/>
      <c r="N177" s="144"/>
      <c r="O177" s="144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69"/>
      <c r="AW177" s="70"/>
    </row>
    <row r="178" spans="1:49" s="145" customFormat="1" x14ac:dyDescent="0.3">
      <c r="A178" s="70"/>
      <c r="B178" s="70"/>
      <c r="C178" s="70"/>
      <c r="D178" s="70"/>
      <c r="E178" s="70"/>
      <c r="F178" s="70"/>
      <c r="G178" s="70"/>
      <c r="H178" s="298"/>
      <c r="I178" s="70"/>
      <c r="J178" s="70"/>
      <c r="K178" s="142"/>
      <c r="L178" s="142"/>
      <c r="M178" s="142"/>
      <c r="N178" s="144"/>
      <c r="O178" s="144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69"/>
      <c r="AW178" s="70"/>
    </row>
    <row r="179" spans="1:49" s="145" customFormat="1" x14ac:dyDescent="0.3">
      <c r="A179" s="70"/>
      <c r="B179" s="70"/>
      <c r="C179" s="70"/>
      <c r="D179" s="70"/>
      <c r="E179" s="70"/>
      <c r="F179" s="70"/>
      <c r="G179" s="70"/>
      <c r="H179" s="298"/>
      <c r="I179" s="70"/>
      <c r="J179" s="70"/>
      <c r="K179" s="142"/>
      <c r="L179" s="142"/>
      <c r="M179" s="142"/>
      <c r="N179" s="147"/>
      <c r="O179" s="144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69"/>
      <c r="AW179" s="70"/>
    </row>
    <row r="180" spans="1:49" s="145" customFormat="1" x14ac:dyDescent="0.3">
      <c r="A180" s="70"/>
      <c r="B180" s="70"/>
      <c r="C180" s="70"/>
      <c r="D180" s="70"/>
      <c r="E180" s="70"/>
      <c r="F180" s="70"/>
      <c r="G180" s="70"/>
      <c r="H180" s="298"/>
      <c r="I180" s="70"/>
      <c r="J180" s="70"/>
      <c r="K180" s="142"/>
      <c r="L180" s="142"/>
      <c r="M180" s="142"/>
      <c r="N180" s="147"/>
      <c r="O180" s="144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69"/>
      <c r="AW180" s="70"/>
    </row>
    <row r="181" spans="1:49" s="145" customFormat="1" x14ac:dyDescent="0.3">
      <c r="A181" s="70"/>
      <c r="B181" s="70"/>
      <c r="C181" s="70"/>
      <c r="D181" s="70"/>
      <c r="E181" s="70"/>
      <c r="F181" s="70"/>
      <c r="G181" s="70"/>
      <c r="H181" s="298"/>
      <c r="I181" s="70"/>
      <c r="J181" s="70"/>
      <c r="K181" s="142"/>
      <c r="L181" s="142"/>
      <c r="M181" s="142"/>
      <c r="N181" s="147"/>
      <c r="O181" s="144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69"/>
      <c r="AW181" s="70"/>
    </row>
    <row r="182" spans="1:49" s="145" customFormat="1" x14ac:dyDescent="0.3">
      <c r="A182" s="70"/>
      <c r="B182" s="70"/>
      <c r="C182" s="70"/>
      <c r="D182" s="70"/>
      <c r="E182" s="70"/>
      <c r="F182" s="70"/>
      <c r="G182" s="70"/>
      <c r="H182" s="298"/>
      <c r="I182" s="70"/>
      <c r="J182" s="70"/>
      <c r="K182" s="142"/>
      <c r="L182" s="142"/>
      <c r="M182" s="142"/>
      <c r="N182" s="147"/>
      <c r="O182" s="144"/>
      <c r="P182" s="149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69"/>
      <c r="AW182" s="70"/>
    </row>
    <row r="183" spans="1:49" s="145" customFormat="1" x14ac:dyDescent="0.3">
      <c r="A183" s="70"/>
      <c r="B183" s="70"/>
      <c r="C183" s="70"/>
      <c r="D183" s="70"/>
      <c r="E183" s="70"/>
      <c r="F183" s="70"/>
      <c r="G183" s="70"/>
      <c r="H183" s="298"/>
      <c r="I183" s="70"/>
      <c r="J183" s="70"/>
      <c r="K183" s="142"/>
      <c r="L183" s="142"/>
      <c r="M183" s="142"/>
      <c r="N183" s="147"/>
      <c r="O183" s="144"/>
      <c r="P183" s="149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69"/>
      <c r="AW183" s="70"/>
    </row>
    <row r="184" spans="1:49" s="145" customFormat="1" x14ac:dyDescent="0.3">
      <c r="A184" s="70"/>
      <c r="B184" s="70"/>
      <c r="C184" s="70"/>
      <c r="D184" s="70"/>
      <c r="E184" s="70"/>
      <c r="F184" s="70"/>
      <c r="G184" s="70"/>
      <c r="H184" s="298"/>
      <c r="I184" s="70"/>
      <c r="J184" s="70"/>
      <c r="K184" s="146"/>
      <c r="L184" s="146"/>
      <c r="M184" s="146"/>
      <c r="N184" s="147"/>
      <c r="O184" s="147"/>
      <c r="P184" s="149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69"/>
      <c r="AW184" s="70"/>
    </row>
    <row r="185" spans="1:49" s="145" customFormat="1" x14ac:dyDescent="0.3">
      <c r="A185" s="70"/>
      <c r="B185" s="70"/>
      <c r="C185" s="70"/>
      <c r="D185" s="70"/>
      <c r="E185" s="70"/>
      <c r="F185" s="70"/>
      <c r="G185" s="70"/>
      <c r="H185" s="298"/>
      <c r="I185" s="70"/>
      <c r="J185" s="70"/>
      <c r="K185" s="146"/>
      <c r="L185" s="146"/>
      <c r="M185" s="146"/>
      <c r="N185" s="147"/>
      <c r="O185" s="147"/>
      <c r="P185" s="149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69"/>
      <c r="AW185" s="70"/>
    </row>
    <row r="186" spans="1:49" s="145" customFormat="1" x14ac:dyDescent="0.3">
      <c r="A186" s="70"/>
      <c r="B186" s="70"/>
      <c r="C186" s="70"/>
      <c r="D186" s="70"/>
      <c r="E186" s="70"/>
      <c r="F186" s="70"/>
      <c r="G186" s="70"/>
      <c r="H186" s="298"/>
      <c r="I186" s="70"/>
      <c r="J186" s="70"/>
      <c r="K186" s="146"/>
      <c r="L186" s="146"/>
      <c r="M186" s="146"/>
      <c r="N186" s="147"/>
      <c r="O186" s="147"/>
      <c r="P186" s="149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69"/>
      <c r="AW186" s="70"/>
    </row>
    <row r="187" spans="1:49" s="145" customFormat="1" x14ac:dyDescent="0.3">
      <c r="A187" s="70"/>
      <c r="B187" s="70"/>
      <c r="C187" s="70"/>
      <c r="D187" s="70"/>
      <c r="E187" s="70"/>
      <c r="F187" s="70"/>
      <c r="G187" s="70"/>
      <c r="H187" s="298"/>
      <c r="I187" s="70"/>
      <c r="J187" s="70"/>
      <c r="K187" s="146"/>
      <c r="L187" s="146"/>
      <c r="M187" s="146"/>
      <c r="N187" s="147"/>
      <c r="O187" s="147"/>
      <c r="P187" s="149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69"/>
      <c r="AW187" s="70"/>
    </row>
    <row r="188" spans="1:49" s="145" customFormat="1" x14ac:dyDescent="0.3">
      <c r="A188" s="70"/>
      <c r="B188" s="70"/>
      <c r="C188" s="70"/>
      <c r="D188" s="70"/>
      <c r="E188" s="70"/>
      <c r="F188" s="70"/>
      <c r="G188" s="70"/>
      <c r="H188" s="298"/>
      <c r="I188" s="70"/>
      <c r="J188" s="70"/>
      <c r="K188" s="146"/>
      <c r="L188" s="146"/>
      <c r="M188" s="146"/>
      <c r="N188" s="147"/>
      <c r="O188" s="147"/>
      <c r="P188" s="149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69"/>
      <c r="AW188" s="70"/>
    </row>
    <row r="189" spans="1:49" x14ac:dyDescent="0.3">
      <c r="A189" s="70"/>
      <c r="B189" s="70"/>
      <c r="C189" s="70"/>
      <c r="D189" s="70"/>
      <c r="E189" s="70"/>
      <c r="F189" s="70"/>
      <c r="G189" s="70"/>
      <c r="H189" s="298"/>
      <c r="I189" s="70"/>
      <c r="J189" s="70"/>
      <c r="K189" s="146"/>
      <c r="L189" s="146"/>
      <c r="M189" s="146"/>
      <c r="N189" s="147"/>
      <c r="O189" s="147"/>
      <c r="P189" s="149"/>
      <c r="AV189" s="148"/>
      <c r="AW189" s="148"/>
    </row>
    <row r="190" spans="1:49" x14ac:dyDescent="0.3">
      <c r="A190" s="70"/>
      <c r="B190" s="70"/>
      <c r="C190" s="70"/>
      <c r="D190" s="70"/>
      <c r="E190" s="70"/>
      <c r="F190" s="70"/>
      <c r="G190" s="70"/>
      <c r="H190" s="298"/>
      <c r="I190" s="70"/>
      <c r="J190" s="70"/>
      <c r="K190" s="146"/>
      <c r="L190" s="146"/>
      <c r="M190" s="146"/>
      <c r="N190" s="147"/>
      <c r="O190" s="147"/>
      <c r="P190" s="149"/>
      <c r="AV190" s="148"/>
      <c r="AW190" s="148"/>
    </row>
    <row r="191" spans="1:49" x14ac:dyDescent="0.3">
      <c r="A191" s="70"/>
      <c r="B191" s="70"/>
      <c r="C191" s="70"/>
      <c r="D191" s="70"/>
      <c r="E191" s="70"/>
      <c r="F191" s="70"/>
      <c r="G191" s="70"/>
      <c r="H191" s="298"/>
      <c r="I191" s="70"/>
      <c r="J191" s="70"/>
      <c r="K191" s="146"/>
      <c r="L191" s="146"/>
      <c r="M191" s="146"/>
      <c r="N191" s="147"/>
      <c r="O191" s="147"/>
      <c r="P191" s="149"/>
      <c r="AV191" s="148"/>
      <c r="AW191" s="148"/>
    </row>
    <row r="192" spans="1:49" x14ac:dyDescent="0.3">
      <c r="A192" s="149"/>
      <c r="B192" s="149"/>
      <c r="C192" s="149"/>
      <c r="D192" s="149"/>
      <c r="E192" s="149"/>
      <c r="F192" s="70"/>
      <c r="G192" s="70"/>
      <c r="H192" s="298"/>
      <c r="I192" s="70"/>
      <c r="J192" s="70"/>
      <c r="K192" s="146"/>
      <c r="L192" s="146"/>
      <c r="M192" s="146"/>
      <c r="N192" s="147"/>
      <c r="O192" s="147"/>
      <c r="P192" s="149"/>
      <c r="AV192" s="148"/>
      <c r="AW192" s="148"/>
    </row>
    <row r="193" spans="1:49" x14ac:dyDescent="0.3">
      <c r="A193" s="149"/>
      <c r="B193" s="149"/>
      <c r="C193" s="149"/>
      <c r="D193" s="149"/>
      <c r="E193" s="149"/>
      <c r="F193" s="149"/>
      <c r="G193" s="149"/>
      <c r="H193" s="299"/>
      <c r="I193" s="70"/>
      <c r="J193" s="70"/>
      <c r="K193" s="146"/>
      <c r="L193" s="146"/>
      <c r="M193" s="146"/>
      <c r="N193" s="147"/>
      <c r="O193" s="147"/>
      <c r="P193" s="149"/>
      <c r="AV193" s="148"/>
      <c r="AW193" s="148"/>
    </row>
    <row r="194" spans="1:49" x14ac:dyDescent="0.3">
      <c r="A194" s="149"/>
      <c r="B194" s="149"/>
      <c r="C194" s="149"/>
      <c r="D194" s="149"/>
      <c r="E194" s="149"/>
      <c r="F194" s="149"/>
      <c r="G194" s="149"/>
      <c r="H194" s="299"/>
      <c r="I194" s="149"/>
      <c r="J194" s="149"/>
      <c r="K194" s="146"/>
      <c r="L194" s="146"/>
      <c r="M194" s="146"/>
      <c r="N194" s="147"/>
      <c r="O194" s="147"/>
      <c r="AV194" s="148"/>
      <c r="AW194" s="148"/>
    </row>
    <row r="195" spans="1:49" x14ac:dyDescent="0.3">
      <c r="A195" s="149"/>
      <c r="B195" s="149"/>
      <c r="C195" s="149"/>
      <c r="D195" s="149"/>
      <c r="E195" s="149"/>
      <c r="F195" s="149"/>
      <c r="G195" s="149"/>
      <c r="H195" s="299"/>
      <c r="I195" s="149"/>
      <c r="J195" s="149"/>
      <c r="K195" s="146"/>
      <c r="L195" s="146"/>
      <c r="M195" s="146"/>
      <c r="N195" s="147"/>
      <c r="O195" s="147"/>
      <c r="AV195" s="148"/>
      <c r="AW195" s="148"/>
    </row>
    <row r="196" spans="1:49" x14ac:dyDescent="0.3">
      <c r="A196" s="149"/>
      <c r="B196" s="149"/>
      <c r="C196" s="149"/>
      <c r="D196" s="149"/>
      <c r="E196" s="149"/>
      <c r="F196" s="149"/>
      <c r="G196" s="149"/>
      <c r="H196" s="299"/>
      <c r="I196" s="149"/>
      <c r="J196" s="149"/>
      <c r="K196" s="146"/>
      <c r="L196" s="146"/>
      <c r="M196" s="146"/>
      <c r="O196" s="147"/>
      <c r="AV196" s="148"/>
      <c r="AW196" s="148"/>
    </row>
    <row r="197" spans="1:49" x14ac:dyDescent="0.3">
      <c r="A197" s="149"/>
      <c r="B197" s="149"/>
      <c r="C197" s="149"/>
      <c r="D197" s="149"/>
      <c r="E197" s="149"/>
      <c r="F197" s="149"/>
      <c r="G197" s="149"/>
      <c r="H197" s="299"/>
      <c r="I197" s="149"/>
      <c r="J197" s="149"/>
      <c r="K197" s="146"/>
      <c r="L197" s="146"/>
      <c r="M197" s="146"/>
      <c r="O197" s="147"/>
      <c r="AV197" s="148"/>
      <c r="AW197" s="148"/>
    </row>
    <row r="198" spans="1:49" x14ac:dyDescent="0.3">
      <c r="A198" s="149"/>
      <c r="B198" s="149"/>
      <c r="C198" s="149"/>
      <c r="D198" s="149"/>
      <c r="E198" s="149"/>
      <c r="F198" s="149"/>
      <c r="G198" s="149"/>
      <c r="H198" s="299"/>
      <c r="I198" s="149"/>
      <c r="J198" s="149"/>
      <c r="K198" s="146"/>
      <c r="L198" s="146"/>
      <c r="M198" s="146"/>
      <c r="O198" s="147"/>
      <c r="AV198" s="148"/>
      <c r="AW198" s="148"/>
    </row>
    <row r="199" spans="1:49" x14ac:dyDescent="0.3">
      <c r="A199" s="149"/>
      <c r="B199" s="149"/>
      <c r="C199" s="149"/>
      <c r="D199" s="149"/>
      <c r="E199" s="149"/>
      <c r="F199" s="149"/>
      <c r="G199" s="149"/>
      <c r="H199" s="299"/>
      <c r="I199" s="149"/>
      <c r="J199" s="149"/>
      <c r="K199" s="146"/>
      <c r="L199" s="146"/>
      <c r="M199" s="146"/>
      <c r="O199" s="147"/>
      <c r="AV199" s="148"/>
      <c r="AW199" s="148"/>
    </row>
    <row r="200" spans="1:49" x14ac:dyDescent="0.3">
      <c r="A200" s="149"/>
      <c r="B200" s="149"/>
      <c r="C200" s="149"/>
      <c r="D200" s="149"/>
      <c r="E200" s="149"/>
      <c r="F200" s="149"/>
      <c r="G200" s="149"/>
      <c r="H200" s="299"/>
      <c r="I200" s="149"/>
      <c r="J200" s="149"/>
      <c r="K200" s="146"/>
      <c r="L200" s="146"/>
      <c r="M200" s="146"/>
      <c r="N200" s="148"/>
      <c r="O200" s="147"/>
      <c r="AV200" s="148"/>
      <c r="AW200" s="148"/>
    </row>
    <row r="201" spans="1:49" x14ac:dyDescent="0.3">
      <c r="A201" s="149"/>
      <c r="B201" s="149"/>
      <c r="C201" s="149"/>
      <c r="D201" s="149"/>
      <c r="E201" s="149"/>
      <c r="F201" s="149"/>
      <c r="G201" s="149"/>
      <c r="H201" s="299"/>
      <c r="I201" s="149"/>
      <c r="J201" s="149"/>
    </row>
    <row r="202" spans="1:49" x14ac:dyDescent="0.3">
      <c r="A202" s="149"/>
      <c r="B202" s="149"/>
      <c r="C202" s="149"/>
      <c r="D202" s="149"/>
      <c r="E202" s="149"/>
      <c r="F202" s="149"/>
      <c r="G202" s="149"/>
      <c r="H202" s="299"/>
      <c r="I202" s="149"/>
      <c r="J202" s="14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  <c r="AP202" s="69"/>
      <c r="AQ202" s="69"/>
      <c r="AR202" s="69"/>
      <c r="AS202" s="69"/>
      <c r="AT202" s="69"/>
      <c r="AU202" s="69"/>
      <c r="AV202" s="148"/>
      <c r="AW202" s="148"/>
    </row>
    <row r="203" spans="1:49" x14ac:dyDescent="0.3">
      <c r="A203" s="149"/>
      <c r="B203" s="149"/>
      <c r="C203" s="149"/>
      <c r="D203" s="149"/>
      <c r="E203" s="149"/>
      <c r="F203" s="149"/>
      <c r="G203" s="149"/>
      <c r="H203" s="299"/>
      <c r="I203" s="149"/>
      <c r="J203" s="149"/>
    </row>
    <row r="204" spans="1:49" x14ac:dyDescent="0.3">
      <c r="A204" s="149"/>
      <c r="B204" s="149"/>
      <c r="C204" s="149"/>
      <c r="D204" s="149"/>
      <c r="E204" s="149"/>
      <c r="F204" s="149"/>
      <c r="G204" s="149"/>
      <c r="H204" s="299"/>
      <c r="I204" s="149"/>
      <c r="J204" s="149"/>
    </row>
    <row r="205" spans="1:49" x14ac:dyDescent="0.3">
      <c r="A205" s="149"/>
      <c r="B205" s="149"/>
      <c r="C205" s="149"/>
      <c r="D205" s="149"/>
      <c r="E205" s="149"/>
      <c r="F205" s="149"/>
      <c r="G205" s="149"/>
      <c r="H205" s="299"/>
      <c r="I205" s="149"/>
      <c r="J205" s="149"/>
    </row>
    <row r="206" spans="1:49" x14ac:dyDescent="0.3">
      <c r="A206" s="149"/>
      <c r="B206" s="149"/>
      <c r="C206" s="149"/>
      <c r="D206" s="149"/>
      <c r="E206" s="149"/>
      <c r="F206" s="149"/>
      <c r="G206" s="149"/>
      <c r="H206" s="299"/>
      <c r="I206" s="149"/>
      <c r="J206" s="149"/>
    </row>
    <row r="207" spans="1:49" x14ac:dyDescent="0.3">
      <c r="A207" s="149"/>
      <c r="B207" s="149"/>
      <c r="C207" s="149"/>
      <c r="D207" s="149"/>
      <c r="E207" s="149"/>
      <c r="F207" s="149"/>
      <c r="G207" s="149"/>
      <c r="H207" s="299"/>
      <c r="I207" s="149"/>
      <c r="J207" s="149"/>
    </row>
    <row r="208" spans="1:49" x14ac:dyDescent="0.3">
      <c r="A208" s="149"/>
      <c r="B208" s="149"/>
      <c r="C208" s="149"/>
      <c r="D208" s="149"/>
      <c r="E208" s="149"/>
      <c r="F208" s="149"/>
      <c r="G208" s="149"/>
      <c r="H208" s="299"/>
      <c r="I208" s="149"/>
      <c r="J208" s="149"/>
    </row>
    <row r="209" spans="6:13" x14ac:dyDescent="0.3">
      <c r="F209" s="149"/>
      <c r="G209" s="149"/>
      <c r="H209" s="299"/>
      <c r="I209" s="149"/>
      <c r="J209" s="149"/>
    </row>
    <row r="210" spans="6:13" x14ac:dyDescent="0.3">
      <c r="I210" s="149"/>
      <c r="J210" s="149"/>
    </row>
    <row r="214" spans="6:13" x14ac:dyDescent="0.3">
      <c r="K214" s="148"/>
      <c r="L214" s="148"/>
      <c r="M214" s="148"/>
    </row>
    <row r="1048538" spans="16:16" x14ac:dyDescent="0.3">
      <c r="P1048538" s="57"/>
    </row>
    <row r="1048546" spans="1:60" s="70" customFormat="1" x14ac:dyDescent="0.3">
      <c r="A1048546" s="148"/>
      <c r="B1048546" s="148"/>
      <c r="C1048546" s="148"/>
      <c r="D1048546" s="148"/>
      <c r="E1048546" s="148"/>
      <c r="F1048546" s="148"/>
      <c r="G1048546" s="148"/>
      <c r="H1048546" s="297"/>
      <c r="I1048546" s="148"/>
      <c r="J1048546" s="148"/>
      <c r="K1048546" s="150"/>
      <c r="L1048546" s="150"/>
      <c r="M1048546" s="150"/>
      <c r="N1048546" s="150"/>
      <c r="O1048546" s="150"/>
      <c r="P1048546" s="148"/>
      <c r="AV1048546" s="69"/>
      <c r="AW1048546" s="69"/>
      <c r="AX1048546" s="148"/>
      <c r="AY1048546" s="148"/>
      <c r="AZ1048546" s="148"/>
      <c r="BA1048546" s="148"/>
      <c r="BB1048546" s="148"/>
      <c r="BC1048546" s="148"/>
      <c r="BD1048546" s="148"/>
      <c r="BE1048546" s="148"/>
      <c r="BF1048546" s="148"/>
      <c r="BG1048546" s="148"/>
      <c r="BH1048546" s="148"/>
    </row>
  </sheetData>
  <mergeCells count="45">
    <mergeCell ref="N42:P42"/>
    <mergeCell ref="A1:P1"/>
    <mergeCell ref="A2:P2"/>
    <mergeCell ref="A6:B6"/>
    <mergeCell ref="A7:P7"/>
    <mergeCell ref="A36:B36"/>
    <mergeCell ref="A37:P37"/>
    <mergeCell ref="E38:J38"/>
    <mergeCell ref="E39:J39"/>
    <mergeCell ref="E40:J40"/>
    <mergeCell ref="E41:J41"/>
    <mergeCell ref="A42:J42"/>
    <mergeCell ref="A55:E55"/>
    <mergeCell ref="A43:N43"/>
    <mergeCell ref="A44:P44"/>
    <mergeCell ref="E45:J45"/>
    <mergeCell ref="E46:J46"/>
    <mergeCell ref="E47:J47"/>
    <mergeCell ref="E48:J48"/>
    <mergeCell ref="E49:J49"/>
    <mergeCell ref="E50:J50"/>
    <mergeCell ref="E51:J51"/>
    <mergeCell ref="E52:J52"/>
    <mergeCell ref="A53:J53"/>
    <mergeCell ref="N67:O67"/>
    <mergeCell ref="N55:P55"/>
    <mergeCell ref="N56:O56"/>
    <mergeCell ref="N57:O57"/>
    <mergeCell ref="N58:P59"/>
    <mergeCell ref="N60:P60"/>
    <mergeCell ref="N61:O61"/>
    <mergeCell ref="N62:O62"/>
    <mergeCell ref="N63:O63"/>
    <mergeCell ref="N64:O64"/>
    <mergeCell ref="N65:O65"/>
    <mergeCell ref="N66:O66"/>
    <mergeCell ref="N74:O74"/>
    <mergeCell ref="N75:P75"/>
    <mergeCell ref="N76:O76"/>
    <mergeCell ref="N68:O68"/>
    <mergeCell ref="N69:O69"/>
    <mergeCell ref="N70:O70"/>
    <mergeCell ref="N71:O71"/>
    <mergeCell ref="N72:O72"/>
    <mergeCell ref="N73:O73"/>
  </mergeCells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A295E-9C8B-40CF-BC3D-5981815D7B46}">
  <dimension ref="A1:BH1048546"/>
  <sheetViews>
    <sheetView workbookViewId="0">
      <selection sqref="A1:XFD1048576"/>
    </sheetView>
  </sheetViews>
  <sheetFormatPr defaultColWidth="9.109375" defaultRowHeight="13.8" x14ac:dyDescent="0.3"/>
  <cols>
    <col min="1" max="1" width="50.6640625" style="148" bestFit="1" customWidth="1"/>
    <col min="2" max="2" width="8.33203125" style="148" bestFit="1" customWidth="1"/>
    <col min="3" max="3" width="17.33203125" style="148" customWidth="1"/>
    <col min="4" max="4" width="17.109375" style="148" bestFit="1" customWidth="1"/>
    <col min="5" max="5" width="18.33203125" style="148" customWidth="1"/>
    <col min="6" max="6" width="17.109375" style="148" bestFit="1" customWidth="1"/>
    <col min="7" max="7" width="16" style="148" bestFit="1" customWidth="1"/>
    <col min="8" max="8" width="15.88671875" style="297" bestFit="1" customWidth="1"/>
    <col min="9" max="9" width="12.6640625" style="148" customWidth="1"/>
    <col min="10" max="10" width="15.77734375" style="148" customWidth="1"/>
    <col min="11" max="11" width="16.77734375" style="150" bestFit="1" customWidth="1"/>
    <col min="12" max="12" width="15.88671875" style="150" bestFit="1" customWidth="1"/>
    <col min="13" max="13" width="17.109375" style="150" bestFit="1" customWidth="1"/>
    <col min="14" max="14" width="111.33203125" style="150" customWidth="1"/>
    <col min="15" max="15" width="8.6640625" style="150" customWidth="1"/>
    <col min="16" max="16" width="16.77734375" style="148" bestFit="1" customWidth="1"/>
    <col min="17" max="18" width="13.109375" style="70" bestFit="1" customWidth="1"/>
    <col min="19" max="47" width="9.109375" style="70"/>
    <col min="48" max="49" width="9.109375" style="69"/>
    <col min="50" max="16384" width="9.109375" style="148"/>
  </cols>
  <sheetData>
    <row r="1" spans="1:42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</row>
    <row r="2" spans="1:42" s="10" customFormat="1" ht="28.5" customHeight="1" x14ac:dyDescent="0.3">
      <c r="A2" s="571" t="s">
        <v>1205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3"/>
    </row>
    <row r="3" spans="1:42" s="10" customFormat="1" ht="33.6" customHeight="1" x14ac:dyDescent="0.3">
      <c r="A3" s="83" t="s">
        <v>3</v>
      </c>
      <c r="B3" s="83" t="s">
        <v>0</v>
      </c>
      <c r="C3" s="83" t="s">
        <v>821</v>
      </c>
      <c r="D3" s="84" t="s">
        <v>1</v>
      </c>
      <c r="E3" s="84" t="s">
        <v>68</v>
      </c>
      <c r="F3" s="84" t="s">
        <v>69</v>
      </c>
      <c r="G3" s="85" t="s">
        <v>2</v>
      </c>
      <c r="H3" s="85" t="s">
        <v>592</v>
      </c>
      <c r="I3" s="84" t="s">
        <v>6</v>
      </c>
      <c r="J3" s="84" t="s">
        <v>7</v>
      </c>
      <c r="K3" s="84" t="s">
        <v>4</v>
      </c>
      <c r="L3" s="84" t="s">
        <v>5</v>
      </c>
      <c r="M3" s="84" t="s">
        <v>70</v>
      </c>
      <c r="N3" s="83" t="s">
        <v>59</v>
      </c>
      <c r="O3" s="86" t="s">
        <v>8</v>
      </c>
      <c r="P3" s="86" t="s">
        <v>10</v>
      </c>
    </row>
    <row r="4" spans="1:42" s="203" customFormat="1" ht="24.6" customHeight="1" x14ac:dyDescent="0.3">
      <c r="A4" s="331" t="s">
        <v>1192</v>
      </c>
      <c r="B4" s="331">
        <v>11</v>
      </c>
      <c r="C4" s="331" t="s">
        <v>825</v>
      </c>
      <c r="D4" s="332">
        <f>660</f>
        <v>660</v>
      </c>
      <c r="E4" s="332">
        <v>0</v>
      </c>
      <c r="F4" s="196">
        <f t="shared" ref="F4" si="0">D4-E4</f>
        <v>660</v>
      </c>
      <c r="G4" s="332">
        <f>25</f>
        <v>25</v>
      </c>
      <c r="H4" s="332">
        <f>(1665.9/27)</f>
        <v>61.7</v>
      </c>
      <c r="I4" s="332">
        <f>'[2]GERAL 2025'!I23</f>
        <v>1.3720449172576832</v>
      </c>
      <c r="J4" s="332">
        <v>0</v>
      </c>
      <c r="K4" s="328">
        <f>SUM(F4:J4)</f>
        <v>748.0720449172577</v>
      </c>
      <c r="L4" s="332">
        <f>60%*(D4+G4)</f>
        <v>411</v>
      </c>
      <c r="M4" s="332">
        <f>K4-L4</f>
        <v>337.0720449172577</v>
      </c>
      <c r="N4" s="196" t="s">
        <v>1206</v>
      </c>
      <c r="O4" s="197">
        <v>10</v>
      </c>
      <c r="P4" s="197">
        <v>11</v>
      </c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1"/>
      <c r="AM4" s="202"/>
      <c r="AN4" s="202"/>
      <c r="AO4" s="202"/>
      <c r="AP4" s="202"/>
    </row>
    <row r="5" spans="1:42" s="206" customFormat="1" ht="24.6" customHeight="1" x14ac:dyDescent="0.3">
      <c r="A5" s="197" t="s">
        <v>1195</v>
      </c>
      <c r="B5" s="197">
        <v>16</v>
      </c>
      <c r="C5" s="331" t="s">
        <v>825</v>
      </c>
      <c r="D5" s="196">
        <f>690</f>
        <v>690</v>
      </c>
      <c r="E5" s="332">
        <v>0</v>
      </c>
      <c r="F5" s="196">
        <f>D5-E5</f>
        <v>690</v>
      </c>
      <c r="G5" s="332">
        <v>0</v>
      </c>
      <c r="H5" s="332">
        <f>(1665.9/27)</f>
        <v>61.7</v>
      </c>
      <c r="I5" s="332">
        <f>'[2]GERAL 2025'!I20</f>
        <v>1.3720449172576832</v>
      </c>
      <c r="J5" s="332">
        <v>0</v>
      </c>
      <c r="K5" s="328">
        <f>SUM(F5:J5)</f>
        <v>753.0720449172577</v>
      </c>
      <c r="L5" s="332">
        <f>60%*(D5+G5)</f>
        <v>414</v>
      </c>
      <c r="M5" s="332">
        <f>K5-L5</f>
        <v>339.0720449172577</v>
      </c>
      <c r="N5" s="196" t="s">
        <v>1207</v>
      </c>
      <c r="O5" s="197">
        <v>10</v>
      </c>
      <c r="P5" s="197">
        <v>11</v>
      </c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</row>
    <row r="6" spans="1:42" s="10" customFormat="1" ht="25.05" customHeight="1" x14ac:dyDescent="0.3">
      <c r="A6" s="518" t="s">
        <v>4</v>
      </c>
      <c r="B6" s="518"/>
      <c r="C6" s="321"/>
      <c r="D6" s="323">
        <f>SUM(D4:D5)</f>
        <v>1350</v>
      </c>
      <c r="E6" s="323">
        <f t="shared" ref="E6:M6" si="1">SUM(E4:E5)</f>
        <v>0</v>
      </c>
      <c r="F6" s="323">
        <f t="shared" si="1"/>
        <v>1350</v>
      </c>
      <c r="G6" s="323">
        <f t="shared" si="1"/>
        <v>25</v>
      </c>
      <c r="H6" s="323">
        <f t="shared" si="1"/>
        <v>123.4</v>
      </c>
      <c r="I6" s="323">
        <f t="shared" si="1"/>
        <v>2.7440898345153664</v>
      </c>
      <c r="J6" s="323">
        <f t="shared" si="1"/>
        <v>0</v>
      </c>
      <c r="K6" s="323">
        <f t="shared" si="1"/>
        <v>1501.1440898345154</v>
      </c>
      <c r="L6" s="323">
        <f t="shared" si="1"/>
        <v>825</v>
      </c>
      <c r="M6" s="323">
        <f t="shared" si="1"/>
        <v>676.1440898345154</v>
      </c>
      <c r="N6" s="324"/>
      <c r="O6" s="3"/>
      <c r="P6" s="3"/>
    </row>
    <row r="7" spans="1:42" s="10" customFormat="1" ht="25.05" customHeight="1" x14ac:dyDescent="0.3">
      <c r="A7" s="571" t="s">
        <v>1208</v>
      </c>
      <c r="B7" s="572"/>
      <c r="C7" s="572"/>
      <c r="D7" s="572"/>
      <c r="E7" s="572"/>
      <c r="F7" s="572"/>
      <c r="G7" s="572"/>
      <c r="H7" s="572"/>
      <c r="I7" s="572"/>
      <c r="J7" s="572"/>
      <c r="K7" s="572"/>
      <c r="L7" s="572"/>
      <c r="M7" s="572"/>
      <c r="N7" s="572"/>
      <c r="O7" s="572"/>
      <c r="P7" s="573"/>
    </row>
    <row r="8" spans="1:42" s="11" customFormat="1" ht="34.799999999999997" customHeight="1" x14ac:dyDescent="0.3">
      <c r="A8" s="83" t="s">
        <v>3</v>
      </c>
      <c r="B8" s="83" t="s">
        <v>0</v>
      </c>
      <c r="C8" s="83" t="s">
        <v>821</v>
      </c>
      <c r="D8" s="84" t="s">
        <v>1</v>
      </c>
      <c r="E8" s="84" t="s">
        <v>68</v>
      </c>
      <c r="F8" s="84" t="s">
        <v>69</v>
      </c>
      <c r="G8" s="85" t="s">
        <v>2</v>
      </c>
      <c r="H8" s="85" t="s">
        <v>592</v>
      </c>
      <c r="I8" s="84" t="s">
        <v>6</v>
      </c>
      <c r="J8" s="84" t="s">
        <v>7</v>
      </c>
      <c r="K8" s="84" t="s">
        <v>4</v>
      </c>
      <c r="L8" s="84" t="s">
        <v>5</v>
      </c>
      <c r="M8" s="84" t="s">
        <v>70</v>
      </c>
      <c r="N8" s="83" t="s">
        <v>59</v>
      </c>
      <c r="O8" s="86" t="s">
        <v>8</v>
      </c>
      <c r="P8" s="86" t="s">
        <v>10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</row>
    <row r="9" spans="1:42" s="335" customFormat="1" ht="24.6" customHeight="1" x14ac:dyDescent="0.3">
      <c r="A9" s="195" t="s">
        <v>1079</v>
      </c>
      <c r="B9" s="326">
        <v>1</v>
      </c>
      <c r="C9" s="326" t="s">
        <v>830</v>
      </c>
      <c r="D9" s="196">
        <f>'[2]GERAL 2025'!G3</f>
        <v>610</v>
      </c>
      <c r="E9" s="332">
        <v>0</v>
      </c>
      <c r="F9" s="332">
        <f t="shared" ref="F9:F25" si="2">D9-E9</f>
        <v>610</v>
      </c>
      <c r="G9" s="196">
        <v>50</v>
      </c>
      <c r="H9" s="332">
        <f>(1665.9/27)</f>
        <v>61.7</v>
      </c>
      <c r="I9" s="332">
        <f>'[2]GERAL 2025'!I3</f>
        <v>1.3720449172576832</v>
      </c>
      <c r="J9" s="332">
        <v>0</v>
      </c>
      <c r="K9" s="328">
        <f t="shared" ref="K9:K35" si="3">SUM(F9:J9)</f>
        <v>723.0720449172577</v>
      </c>
      <c r="L9" s="332">
        <f>7%*K9</f>
        <v>50.615043144208045</v>
      </c>
      <c r="M9" s="332">
        <f>K9-L9</f>
        <v>672.45700177304968</v>
      </c>
      <c r="N9" s="196" t="s">
        <v>1209</v>
      </c>
      <c r="O9" s="197">
        <v>10</v>
      </c>
      <c r="P9" s="197">
        <v>11</v>
      </c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</row>
    <row r="10" spans="1:42" s="203" customFormat="1" ht="24.6" customHeight="1" x14ac:dyDescent="0.3">
      <c r="A10" s="336" t="s">
        <v>1210</v>
      </c>
      <c r="B10" s="331">
        <v>2</v>
      </c>
      <c r="C10" s="336" t="s">
        <v>822</v>
      </c>
      <c r="D10" s="196">
        <f>660/31*30</f>
        <v>638.70967741935476</v>
      </c>
      <c r="E10" s="196">
        <v>0</v>
      </c>
      <c r="F10" s="196">
        <f t="shared" si="2"/>
        <v>638.70967741935476</v>
      </c>
      <c r="G10" s="196">
        <f>50/31*30</f>
        <v>48.387096774193544</v>
      </c>
      <c r="H10" s="332">
        <f>(1665.9/27)/31*30</f>
        <v>59.70967741935484</v>
      </c>
      <c r="I10" s="332">
        <f>'[2]GERAL 2025'!I40/31*30</f>
        <v>1.3277854037977579</v>
      </c>
      <c r="J10" s="196">
        <v>133.16999999999999</v>
      </c>
      <c r="K10" s="328">
        <f t="shared" si="3"/>
        <v>881.30423701670088</v>
      </c>
      <c r="L10" s="332">
        <f>7%*K10</f>
        <v>61.69129659116907</v>
      </c>
      <c r="M10" s="332">
        <f t="shared" ref="M10:M34" si="4">K10-L10</f>
        <v>819.61294042553186</v>
      </c>
      <c r="N10" s="326" t="s">
        <v>1211</v>
      </c>
      <c r="O10" s="197">
        <v>10</v>
      </c>
      <c r="P10" s="197">
        <v>11</v>
      </c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1"/>
      <c r="AM10" s="202"/>
      <c r="AN10" s="202"/>
      <c r="AO10" s="202"/>
      <c r="AP10" s="202"/>
    </row>
    <row r="11" spans="1:42" s="204" customFormat="1" ht="24.6" customHeight="1" x14ac:dyDescent="0.3">
      <c r="A11" s="326" t="s">
        <v>1005</v>
      </c>
      <c r="B11" s="331">
        <v>3</v>
      </c>
      <c r="C11" s="336" t="s">
        <v>822</v>
      </c>
      <c r="D11" s="196">
        <v>0</v>
      </c>
      <c r="E11" s="196">
        <v>0</v>
      </c>
      <c r="F11" s="196">
        <f t="shared" si="2"/>
        <v>0</v>
      </c>
      <c r="G11" s="196">
        <v>0</v>
      </c>
      <c r="H11" s="332">
        <v>0</v>
      </c>
      <c r="I11" s="332">
        <v>0</v>
      </c>
      <c r="J11" s="196">
        <v>0</v>
      </c>
      <c r="K11" s="328">
        <f t="shared" si="3"/>
        <v>0</v>
      </c>
      <c r="L11" s="332">
        <f>7%*K11</f>
        <v>0</v>
      </c>
      <c r="M11" s="332">
        <f>K11-L11</f>
        <v>0</v>
      </c>
      <c r="N11" s="196" t="s">
        <v>1051</v>
      </c>
      <c r="O11" s="197">
        <v>10</v>
      </c>
      <c r="P11" s="197">
        <v>11</v>
      </c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</row>
    <row r="12" spans="1:42" s="335" customFormat="1" ht="24.6" customHeight="1" x14ac:dyDescent="0.3">
      <c r="A12" s="326" t="s">
        <v>1133</v>
      </c>
      <c r="B12" s="326">
        <v>4</v>
      </c>
      <c r="C12" s="326" t="s">
        <v>829</v>
      </c>
      <c r="D12" s="196">
        <f>660</f>
        <v>660</v>
      </c>
      <c r="E12" s="196">
        <v>0</v>
      </c>
      <c r="F12" s="196">
        <f t="shared" si="2"/>
        <v>660</v>
      </c>
      <c r="G12" s="332">
        <f>50</f>
        <v>50</v>
      </c>
      <c r="H12" s="332">
        <f t="shared" ref="H12:H35" si="5">(1665.9/27)</f>
        <v>61.7</v>
      </c>
      <c r="I12" s="332">
        <f>'[2]GERAL 2025'!I34</f>
        <v>1.3720449172576832</v>
      </c>
      <c r="J12" s="332">
        <v>0</v>
      </c>
      <c r="K12" s="328">
        <f t="shared" si="3"/>
        <v>773.0720449172577</v>
      </c>
      <c r="L12" s="332">
        <f>7%*K12</f>
        <v>54.115043144208045</v>
      </c>
      <c r="M12" s="332">
        <f t="shared" si="4"/>
        <v>718.95700177304968</v>
      </c>
      <c r="N12" s="326" t="s">
        <v>1212</v>
      </c>
      <c r="O12" s="197">
        <v>10</v>
      </c>
      <c r="P12" s="331">
        <v>11</v>
      </c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</row>
    <row r="13" spans="1:42" s="335" customFormat="1" ht="24.6" customHeight="1" x14ac:dyDescent="0.3">
      <c r="A13" s="326" t="s">
        <v>744</v>
      </c>
      <c r="B13" s="326">
        <v>5</v>
      </c>
      <c r="C13" s="326" t="s">
        <v>823</v>
      </c>
      <c r="D13" s="196">
        <f>'[2]GERAL 2023'!G7+(6.53784 %*580)</f>
        <v>617.91947200000004</v>
      </c>
      <c r="E13" s="332">
        <v>0</v>
      </c>
      <c r="F13" s="332">
        <f t="shared" si="2"/>
        <v>617.91947200000004</v>
      </c>
      <c r="G13" s="332">
        <f>50</f>
        <v>50</v>
      </c>
      <c r="H13" s="332">
        <f t="shared" si="5"/>
        <v>61.7</v>
      </c>
      <c r="I13" s="332">
        <f>'[2]GERAL 2025'!I7</f>
        <v>1.3720449172576832</v>
      </c>
      <c r="J13" s="332">
        <v>0</v>
      </c>
      <c r="K13" s="328">
        <f t="shared" si="3"/>
        <v>730.99151691725774</v>
      </c>
      <c r="L13" s="332">
        <f>7%*K13</f>
        <v>51.16940618420805</v>
      </c>
      <c r="M13" s="332">
        <f t="shared" si="4"/>
        <v>679.82211073304973</v>
      </c>
      <c r="N13" s="326" t="s">
        <v>1212</v>
      </c>
      <c r="O13" s="197">
        <v>10</v>
      </c>
      <c r="P13" s="197">
        <v>11</v>
      </c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</row>
    <row r="14" spans="1:42" s="206" customFormat="1" ht="24.6" customHeight="1" x14ac:dyDescent="0.3">
      <c r="A14" s="326" t="s">
        <v>745</v>
      </c>
      <c r="B14" s="326">
        <v>6</v>
      </c>
      <c r="C14" s="326" t="s">
        <v>823</v>
      </c>
      <c r="D14" s="196">
        <f>'[2]GERAL 2023'!G8+(6.53784%*680)</f>
        <v>724.457312</v>
      </c>
      <c r="E14" s="196">
        <v>0</v>
      </c>
      <c r="F14" s="332">
        <f t="shared" si="2"/>
        <v>724.457312</v>
      </c>
      <c r="G14" s="332">
        <v>50</v>
      </c>
      <c r="H14" s="332">
        <f t="shared" si="5"/>
        <v>61.7</v>
      </c>
      <c r="I14" s="332">
        <f>'[2]GERAL 2025'!I8</f>
        <v>1.9208628841607567</v>
      </c>
      <c r="J14" s="332">
        <v>0</v>
      </c>
      <c r="K14" s="328">
        <f t="shared" si="3"/>
        <v>838.07817488416083</v>
      </c>
      <c r="L14" s="332">
        <f t="shared" ref="L14:L35" si="6">7%*K14</f>
        <v>58.665472241891266</v>
      </c>
      <c r="M14" s="332">
        <f>K14-L14</f>
        <v>779.41270264226955</v>
      </c>
      <c r="N14" s="326" t="s">
        <v>1212</v>
      </c>
      <c r="O14" s="197">
        <v>10</v>
      </c>
      <c r="P14" s="197">
        <v>11</v>
      </c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</row>
    <row r="15" spans="1:42" s="335" customFormat="1" ht="24.6" customHeight="1" x14ac:dyDescent="0.3">
      <c r="A15" s="326" t="s">
        <v>1136</v>
      </c>
      <c r="B15" s="326">
        <v>7</v>
      </c>
      <c r="C15" s="326" t="s">
        <v>829</v>
      </c>
      <c r="D15" s="196">
        <v>0</v>
      </c>
      <c r="E15" s="332">
        <v>0</v>
      </c>
      <c r="F15" s="196">
        <f t="shared" si="2"/>
        <v>0</v>
      </c>
      <c r="G15" s="332">
        <v>0</v>
      </c>
      <c r="H15" s="332">
        <v>0</v>
      </c>
      <c r="I15" s="332">
        <v>0</v>
      </c>
      <c r="J15" s="332">
        <v>0</v>
      </c>
      <c r="K15" s="328">
        <f t="shared" si="3"/>
        <v>0</v>
      </c>
      <c r="L15" s="332">
        <f>7%*K15</f>
        <v>0</v>
      </c>
      <c r="M15" s="332">
        <f t="shared" si="4"/>
        <v>0</v>
      </c>
      <c r="N15" s="196" t="s">
        <v>1051</v>
      </c>
      <c r="O15" s="197">
        <v>10</v>
      </c>
      <c r="P15" s="197">
        <v>11</v>
      </c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</row>
    <row r="16" spans="1:42" s="335" customFormat="1" ht="24.6" customHeight="1" x14ac:dyDescent="0.3">
      <c r="A16" s="326" t="s">
        <v>1085</v>
      </c>
      <c r="B16" s="326">
        <v>8</v>
      </c>
      <c r="C16" s="326" t="s">
        <v>830</v>
      </c>
      <c r="D16" s="196">
        <f>'[2]GERAL 2025'!G10</f>
        <v>640</v>
      </c>
      <c r="E16" s="332">
        <v>0</v>
      </c>
      <c r="F16" s="196">
        <f t="shared" si="2"/>
        <v>640</v>
      </c>
      <c r="G16" s="332">
        <v>0</v>
      </c>
      <c r="H16" s="332">
        <f t="shared" si="5"/>
        <v>61.7</v>
      </c>
      <c r="I16" s="332">
        <f>'[2]GERAL 2025'!I10</f>
        <v>1.3720449172576832</v>
      </c>
      <c r="J16" s="332">
        <v>0</v>
      </c>
      <c r="K16" s="328">
        <f t="shared" si="3"/>
        <v>703.0720449172577</v>
      </c>
      <c r="L16" s="332">
        <f>7%*K16</f>
        <v>49.215043144208046</v>
      </c>
      <c r="M16" s="332">
        <f>K16-L16</f>
        <v>653.85700177304966</v>
      </c>
      <c r="N16" s="196" t="s">
        <v>1207</v>
      </c>
      <c r="O16" s="197">
        <v>10</v>
      </c>
      <c r="P16" s="197">
        <v>11</v>
      </c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</row>
    <row r="17" spans="1:47" s="335" customFormat="1" ht="24.6" customHeight="1" x14ac:dyDescent="0.3">
      <c r="A17" s="326" t="s">
        <v>852</v>
      </c>
      <c r="B17" s="326">
        <v>9</v>
      </c>
      <c r="C17" s="326" t="s">
        <v>828</v>
      </c>
      <c r="D17" s="196">
        <f>640+(5.59268%*640)</f>
        <v>675.79315199999996</v>
      </c>
      <c r="E17" s="332">
        <v>0</v>
      </c>
      <c r="F17" s="196">
        <f t="shared" si="2"/>
        <v>675.79315199999996</v>
      </c>
      <c r="G17" s="332">
        <v>0</v>
      </c>
      <c r="H17" s="332">
        <f t="shared" si="5"/>
        <v>61.7</v>
      </c>
      <c r="I17" s="332">
        <f>'[2]GERAL 2025'!I11</f>
        <v>1.3720449172576832</v>
      </c>
      <c r="J17" s="332">
        <v>0</v>
      </c>
      <c r="K17" s="328">
        <f t="shared" si="3"/>
        <v>738.86519691725766</v>
      </c>
      <c r="L17" s="332">
        <f>7%*K17</f>
        <v>51.720563784208039</v>
      </c>
      <c r="M17" s="332">
        <f>K17-L17</f>
        <v>687.14463313304964</v>
      </c>
      <c r="N17" s="326" t="s">
        <v>1207</v>
      </c>
      <c r="O17" s="207">
        <v>10</v>
      </c>
      <c r="P17" s="197">
        <v>11</v>
      </c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</row>
    <row r="18" spans="1:47" s="148" customFormat="1" ht="24.6" customHeight="1" x14ac:dyDescent="0.3">
      <c r="A18" s="331" t="s">
        <v>739</v>
      </c>
      <c r="B18" s="331">
        <v>10</v>
      </c>
      <c r="C18" s="331" t="s">
        <v>825</v>
      </c>
      <c r="D18" s="196">
        <f>588.62</f>
        <v>588.62</v>
      </c>
      <c r="E18" s="332">
        <v>0</v>
      </c>
      <c r="F18" s="196">
        <f t="shared" si="2"/>
        <v>588.62</v>
      </c>
      <c r="G18" s="332">
        <v>26.76</v>
      </c>
      <c r="H18" s="332">
        <f t="shared" si="5"/>
        <v>61.7</v>
      </c>
      <c r="I18" s="332">
        <f>'[2]GERAL 2025'!I12</f>
        <v>1.3720449172576832</v>
      </c>
      <c r="J18" s="332">
        <v>0</v>
      </c>
      <c r="K18" s="328">
        <f t="shared" si="3"/>
        <v>678.45204491725769</v>
      </c>
      <c r="L18" s="332">
        <f t="shared" si="6"/>
        <v>47.491643144208041</v>
      </c>
      <c r="M18" s="332">
        <f t="shared" si="4"/>
        <v>630.96040177304963</v>
      </c>
      <c r="N18" s="196" t="s">
        <v>1206</v>
      </c>
      <c r="O18" s="197">
        <v>10</v>
      </c>
      <c r="P18" s="331">
        <v>11</v>
      </c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  <c r="AI18" s="208"/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  <c r="AT18" s="208"/>
      <c r="AU18" s="208"/>
    </row>
    <row r="19" spans="1:47" s="148" customFormat="1" ht="24.6" customHeight="1" x14ac:dyDescent="0.3">
      <c r="A19" s="331" t="s">
        <v>1192</v>
      </c>
      <c r="B19" s="331">
        <v>11</v>
      </c>
      <c r="C19" s="331" t="s">
        <v>825</v>
      </c>
      <c r="D19" s="332">
        <v>0</v>
      </c>
      <c r="E19" s="332">
        <v>0</v>
      </c>
      <c r="F19" s="196">
        <f t="shared" si="2"/>
        <v>0</v>
      </c>
      <c r="G19" s="332">
        <v>0</v>
      </c>
      <c r="H19" s="332">
        <v>0</v>
      </c>
      <c r="I19" s="332">
        <v>0</v>
      </c>
      <c r="J19" s="332">
        <v>0</v>
      </c>
      <c r="K19" s="328">
        <f t="shared" si="3"/>
        <v>0</v>
      </c>
      <c r="L19" s="332">
        <f>7%*K19</f>
        <v>0</v>
      </c>
      <c r="M19" s="332">
        <f>K19-L19</f>
        <v>0</v>
      </c>
      <c r="N19" s="196" t="s">
        <v>108</v>
      </c>
      <c r="O19" s="197">
        <v>10</v>
      </c>
      <c r="P19" s="331">
        <v>11</v>
      </c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8"/>
      <c r="AR19" s="208"/>
      <c r="AS19" s="208"/>
      <c r="AT19" s="208"/>
      <c r="AU19" s="208"/>
    </row>
    <row r="20" spans="1:47" s="335" customFormat="1" ht="24" customHeight="1" x14ac:dyDescent="0.3">
      <c r="A20" s="326" t="s">
        <v>1087</v>
      </c>
      <c r="B20" s="326">
        <v>12</v>
      </c>
      <c r="C20" s="326" t="s">
        <v>830</v>
      </c>
      <c r="D20" s="196">
        <f>'[2]GERAL 2025'!G14</f>
        <v>610</v>
      </c>
      <c r="E20" s="332">
        <v>0</v>
      </c>
      <c r="F20" s="196">
        <f t="shared" si="2"/>
        <v>610</v>
      </c>
      <c r="G20" s="196">
        <v>50</v>
      </c>
      <c r="H20" s="332">
        <f t="shared" si="5"/>
        <v>61.7</v>
      </c>
      <c r="I20" s="332">
        <f>'[2]GERAL 2025'!I14</f>
        <v>1.3720449172576832</v>
      </c>
      <c r="J20" s="196">
        <v>0</v>
      </c>
      <c r="K20" s="328">
        <f t="shared" si="3"/>
        <v>723.0720449172577</v>
      </c>
      <c r="L20" s="332">
        <f t="shared" si="6"/>
        <v>50.615043144208045</v>
      </c>
      <c r="M20" s="332">
        <f t="shared" si="4"/>
        <v>672.45700177304968</v>
      </c>
      <c r="N20" s="196" t="s">
        <v>1212</v>
      </c>
      <c r="O20" s="197">
        <v>10</v>
      </c>
      <c r="P20" s="197">
        <v>11</v>
      </c>
      <c r="Q20" s="198"/>
      <c r="R20" s="198"/>
      <c r="S20" s="198"/>
      <c r="T20" s="198"/>
      <c r="U20" s="198"/>
      <c r="V20" s="198"/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</row>
    <row r="21" spans="1:47" s="206" customFormat="1" ht="24.6" customHeight="1" x14ac:dyDescent="0.3">
      <c r="A21" s="326" t="s">
        <v>756</v>
      </c>
      <c r="B21" s="326">
        <v>13</v>
      </c>
      <c r="C21" s="326" t="s">
        <v>827</v>
      </c>
      <c r="D21" s="196">
        <v>596.77</v>
      </c>
      <c r="E21" s="196">
        <v>0</v>
      </c>
      <c r="F21" s="196">
        <f t="shared" si="2"/>
        <v>596.77</v>
      </c>
      <c r="G21" s="332">
        <v>0</v>
      </c>
      <c r="H21" s="332">
        <f t="shared" si="5"/>
        <v>61.7</v>
      </c>
      <c r="I21" s="332">
        <f>'[2]GERAL 2025'!I15</f>
        <v>1.3720449172576832</v>
      </c>
      <c r="J21" s="332">
        <v>0</v>
      </c>
      <c r="K21" s="328">
        <f t="shared" si="3"/>
        <v>659.84204491725768</v>
      </c>
      <c r="L21" s="332">
        <f t="shared" si="6"/>
        <v>46.188943144208039</v>
      </c>
      <c r="M21" s="332">
        <f t="shared" si="4"/>
        <v>613.65310177304968</v>
      </c>
      <c r="N21" s="326" t="s">
        <v>1207</v>
      </c>
      <c r="O21" s="197">
        <v>10</v>
      </c>
      <c r="P21" s="197">
        <v>11</v>
      </c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</row>
    <row r="22" spans="1:47" s="148" customFormat="1" ht="24.6" customHeight="1" x14ac:dyDescent="0.3">
      <c r="A22" s="197" t="s">
        <v>977</v>
      </c>
      <c r="B22" s="331">
        <v>14</v>
      </c>
      <c r="C22" s="326" t="s">
        <v>827</v>
      </c>
      <c r="D22" s="196">
        <v>657.82</v>
      </c>
      <c r="E22" s="332">
        <v>0</v>
      </c>
      <c r="F22" s="196">
        <f t="shared" si="2"/>
        <v>657.82</v>
      </c>
      <c r="G22" s="332">
        <v>54.25</v>
      </c>
      <c r="H22" s="332">
        <f t="shared" si="5"/>
        <v>61.7</v>
      </c>
      <c r="I22" s="332">
        <f>'[2]GERAL 2025'!I16</f>
        <v>1.3720449172576832</v>
      </c>
      <c r="J22" s="332">
        <v>0</v>
      </c>
      <c r="K22" s="328">
        <f t="shared" si="3"/>
        <v>775.14204491725775</v>
      </c>
      <c r="L22" s="332">
        <f t="shared" si="6"/>
        <v>54.259943144208044</v>
      </c>
      <c r="M22" s="332">
        <f t="shared" si="4"/>
        <v>720.88210177304973</v>
      </c>
      <c r="N22" s="326" t="s">
        <v>1212</v>
      </c>
      <c r="O22" s="197">
        <v>10</v>
      </c>
      <c r="P22" s="331">
        <v>11</v>
      </c>
      <c r="Q22" s="208"/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  <c r="AD22" s="208"/>
      <c r="AE22" s="208"/>
      <c r="AF22" s="208"/>
      <c r="AG22" s="208"/>
      <c r="AH22" s="208"/>
      <c r="AI22" s="208"/>
      <c r="AJ22" s="208"/>
      <c r="AK22" s="208"/>
      <c r="AL22" s="208"/>
      <c r="AM22" s="208"/>
      <c r="AN22" s="208"/>
      <c r="AO22" s="208"/>
      <c r="AP22" s="208"/>
      <c r="AQ22" s="208"/>
      <c r="AR22" s="208"/>
      <c r="AS22" s="208"/>
      <c r="AT22" s="208"/>
      <c r="AU22" s="208"/>
    </row>
    <row r="23" spans="1:47" s="204" customFormat="1" ht="24.6" customHeight="1" x14ac:dyDescent="0.3">
      <c r="A23" s="326" t="s">
        <v>748</v>
      </c>
      <c r="B23" s="326">
        <v>15</v>
      </c>
      <c r="C23" s="326" t="s">
        <v>827</v>
      </c>
      <c r="D23" s="196">
        <v>737.83</v>
      </c>
      <c r="E23" s="332">
        <v>0</v>
      </c>
      <c r="F23" s="196">
        <f t="shared" si="2"/>
        <v>737.83</v>
      </c>
      <c r="G23" s="332">
        <v>27.13</v>
      </c>
      <c r="H23" s="332">
        <f t="shared" si="5"/>
        <v>61.7</v>
      </c>
      <c r="I23" s="332">
        <f>'[2]GERAL 2025'!I17</f>
        <v>1.9208628841607567</v>
      </c>
      <c r="J23" s="332">
        <v>0</v>
      </c>
      <c r="K23" s="328">
        <f t="shared" si="3"/>
        <v>828.58086288416087</v>
      </c>
      <c r="L23" s="332">
        <f t="shared" si="6"/>
        <v>58.000660401891267</v>
      </c>
      <c r="M23" s="332">
        <f t="shared" si="4"/>
        <v>770.58020248226956</v>
      </c>
      <c r="N23" s="326" t="s">
        <v>1206</v>
      </c>
      <c r="O23" s="197">
        <v>10</v>
      </c>
      <c r="P23" s="331">
        <v>11</v>
      </c>
      <c r="Q23" s="200"/>
      <c r="R23" s="200"/>
      <c r="S23" s="200"/>
      <c r="T23" s="200"/>
      <c r="U23" s="200"/>
      <c r="V23" s="200"/>
      <c r="W23" s="200"/>
      <c r="X23" s="200"/>
      <c r="Y23" s="200"/>
    </row>
    <row r="24" spans="1:47" s="206" customFormat="1" ht="24.6" customHeight="1" x14ac:dyDescent="0.3">
      <c r="A24" s="197" t="s">
        <v>1195</v>
      </c>
      <c r="B24" s="197">
        <v>16</v>
      </c>
      <c r="C24" s="331" t="s">
        <v>825</v>
      </c>
      <c r="D24" s="196">
        <v>0</v>
      </c>
      <c r="E24" s="332">
        <v>0</v>
      </c>
      <c r="F24" s="196">
        <f>D24-E24</f>
        <v>0</v>
      </c>
      <c r="G24" s="332">
        <v>0</v>
      </c>
      <c r="H24" s="332">
        <v>0</v>
      </c>
      <c r="I24" s="332">
        <v>0</v>
      </c>
      <c r="J24" s="332">
        <v>0</v>
      </c>
      <c r="K24" s="328">
        <f t="shared" si="3"/>
        <v>0</v>
      </c>
      <c r="L24" s="332">
        <f t="shared" si="6"/>
        <v>0</v>
      </c>
      <c r="M24" s="332">
        <f>K24-L24</f>
        <v>0</v>
      </c>
      <c r="N24" s="196" t="s">
        <v>108</v>
      </c>
      <c r="O24" s="197">
        <v>10</v>
      </c>
      <c r="P24" s="197">
        <v>11</v>
      </c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  <c r="AP24" s="205"/>
    </row>
    <row r="25" spans="1:47" s="206" customFormat="1" ht="24.6" customHeight="1" x14ac:dyDescent="0.3">
      <c r="A25" s="195" t="s">
        <v>1029</v>
      </c>
      <c r="B25" s="195">
        <v>17</v>
      </c>
      <c r="C25" s="195" t="s">
        <v>824</v>
      </c>
      <c r="D25" s="196">
        <f>'[2]GERAL 2024'!G45</f>
        <v>610</v>
      </c>
      <c r="E25" s="332">
        <v>0</v>
      </c>
      <c r="F25" s="196">
        <f t="shared" si="2"/>
        <v>610</v>
      </c>
      <c r="G25" s="332">
        <v>50</v>
      </c>
      <c r="H25" s="332">
        <f t="shared" si="5"/>
        <v>61.7</v>
      </c>
      <c r="I25" s="332">
        <f>'[2]GERAL 2025'!I19</f>
        <v>1.3720449172576832</v>
      </c>
      <c r="J25" s="332">
        <v>0</v>
      </c>
      <c r="K25" s="328">
        <f t="shared" si="3"/>
        <v>723.0720449172577</v>
      </c>
      <c r="L25" s="332">
        <f>7%*K25</f>
        <v>50.615043144208045</v>
      </c>
      <c r="M25" s="332">
        <f>K25-L25</f>
        <v>672.45700177304968</v>
      </c>
      <c r="N25" s="326" t="s">
        <v>1212</v>
      </c>
      <c r="O25" s="197">
        <v>10</v>
      </c>
      <c r="P25" s="197">
        <v>11</v>
      </c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</row>
    <row r="26" spans="1:47" s="206" customFormat="1" ht="24.6" customHeight="1" x14ac:dyDescent="0.3">
      <c r="A26" s="195" t="s">
        <v>1030</v>
      </c>
      <c r="B26" s="326">
        <v>18</v>
      </c>
      <c r="C26" s="195" t="s">
        <v>824</v>
      </c>
      <c r="D26" s="196">
        <f>'[2]GERAL 2024'!G46</f>
        <v>640</v>
      </c>
      <c r="E26" s="332">
        <v>0</v>
      </c>
      <c r="F26" s="196">
        <f>D26-E26</f>
        <v>640</v>
      </c>
      <c r="G26" s="332">
        <v>0</v>
      </c>
      <c r="H26" s="332">
        <f t="shared" si="5"/>
        <v>61.7</v>
      </c>
      <c r="I26" s="332">
        <f>'[2]GERAL 2025'!I20</f>
        <v>1.3720449172576832</v>
      </c>
      <c r="J26" s="332">
        <v>0</v>
      </c>
      <c r="K26" s="328">
        <f t="shared" si="3"/>
        <v>703.0720449172577</v>
      </c>
      <c r="L26" s="332">
        <f t="shared" si="6"/>
        <v>49.215043144208046</v>
      </c>
      <c r="M26" s="332">
        <f t="shared" si="4"/>
        <v>653.85700177304966</v>
      </c>
      <c r="N26" s="326" t="s">
        <v>1207</v>
      </c>
      <c r="O26" s="197">
        <v>10</v>
      </c>
      <c r="P26" s="197">
        <v>11</v>
      </c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</row>
    <row r="27" spans="1:47" s="206" customFormat="1" ht="24.6" customHeight="1" x14ac:dyDescent="0.3">
      <c r="A27" s="326" t="s">
        <v>1012</v>
      </c>
      <c r="B27" s="326">
        <v>19</v>
      </c>
      <c r="C27" s="336" t="s">
        <v>822</v>
      </c>
      <c r="D27" s="196">
        <f>605.44</f>
        <v>605.44000000000005</v>
      </c>
      <c r="E27" s="332">
        <v>0</v>
      </c>
      <c r="F27" s="196">
        <f>(D27-E27)</f>
        <v>605.44000000000005</v>
      </c>
      <c r="G27" s="332">
        <v>52.19</v>
      </c>
      <c r="H27" s="332">
        <f t="shared" si="5"/>
        <v>61.7</v>
      </c>
      <c r="I27" s="332">
        <f>'[2]GERAL 2025'!I21</f>
        <v>1.3720449172576832</v>
      </c>
      <c r="J27" s="332">
        <v>132.78</v>
      </c>
      <c r="K27" s="328">
        <f t="shared" si="3"/>
        <v>853.48204491725778</v>
      </c>
      <c r="L27" s="332">
        <f t="shared" si="6"/>
        <v>59.743743144208054</v>
      </c>
      <c r="M27" s="332">
        <f t="shared" si="4"/>
        <v>793.73830177304967</v>
      </c>
      <c r="N27" s="326" t="s">
        <v>1213</v>
      </c>
      <c r="O27" s="207">
        <v>10</v>
      </c>
      <c r="P27" s="197">
        <v>11</v>
      </c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</row>
    <row r="28" spans="1:47" s="206" customFormat="1" ht="24" customHeight="1" x14ac:dyDescent="0.3">
      <c r="A28" s="227" t="s">
        <v>1214</v>
      </c>
      <c r="B28" s="326">
        <v>20</v>
      </c>
      <c r="C28" s="336" t="s">
        <v>822</v>
      </c>
      <c r="D28" s="196">
        <f>660/31*23</f>
        <v>489.67741935483866</v>
      </c>
      <c r="E28" s="332">
        <v>0</v>
      </c>
      <c r="F28" s="196">
        <f t="shared" ref="F28:F35" si="7">D28-E28</f>
        <v>489.67741935483866</v>
      </c>
      <c r="G28" s="332">
        <f>50/31*23</f>
        <v>37.096774193548384</v>
      </c>
      <c r="H28" s="332">
        <f>(1665.9/27)/31*23</f>
        <v>45.777419354838713</v>
      </c>
      <c r="I28" s="332">
        <f>'[2]GERAL 2025'!I41/31*23</f>
        <v>1.0179688095782811</v>
      </c>
      <c r="J28" s="332">
        <v>133.82</v>
      </c>
      <c r="K28" s="328">
        <f t="shared" si="3"/>
        <v>707.3895817128041</v>
      </c>
      <c r="L28" s="332">
        <f t="shared" si="6"/>
        <v>49.517270719896295</v>
      </c>
      <c r="M28" s="332">
        <f t="shared" si="4"/>
        <v>657.87231099290784</v>
      </c>
      <c r="N28" s="326" t="s">
        <v>1215</v>
      </c>
      <c r="O28" s="207">
        <v>10</v>
      </c>
      <c r="P28" s="197">
        <v>11</v>
      </c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</row>
    <row r="29" spans="1:47" s="206" customFormat="1" ht="25.2" customHeight="1" x14ac:dyDescent="0.3">
      <c r="A29" s="195" t="s">
        <v>788</v>
      </c>
      <c r="B29" s="326">
        <v>21</v>
      </c>
      <c r="C29" s="336" t="s">
        <v>822</v>
      </c>
      <c r="D29" s="196">
        <f>620.28</f>
        <v>620.28</v>
      </c>
      <c r="E29" s="332">
        <v>0</v>
      </c>
      <c r="F29" s="196">
        <f t="shared" si="7"/>
        <v>620.28</v>
      </c>
      <c r="G29" s="332">
        <v>26.1</v>
      </c>
      <c r="H29" s="332">
        <f t="shared" si="5"/>
        <v>61.7</v>
      </c>
      <c r="I29" s="332">
        <f>'[2]GERAL 2025'!I23</f>
        <v>1.3720449172576832</v>
      </c>
      <c r="J29" s="332">
        <v>132.78</v>
      </c>
      <c r="K29" s="328">
        <f t="shared" si="3"/>
        <v>842.23204491725767</v>
      </c>
      <c r="L29" s="332">
        <f t="shared" si="6"/>
        <v>58.956243144208045</v>
      </c>
      <c r="M29" s="332">
        <f t="shared" si="4"/>
        <v>783.27580177304958</v>
      </c>
      <c r="N29" s="326" t="s">
        <v>1216</v>
      </c>
      <c r="O29" s="207">
        <v>10</v>
      </c>
      <c r="P29" s="197">
        <v>11</v>
      </c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</row>
    <row r="30" spans="1:47" s="206" customFormat="1" ht="25.05" customHeight="1" x14ac:dyDescent="0.3">
      <c r="A30" s="338" t="s">
        <v>950</v>
      </c>
      <c r="B30" s="216">
        <v>22</v>
      </c>
      <c r="C30" s="216" t="s">
        <v>951</v>
      </c>
      <c r="D30" s="217">
        <v>662.35</v>
      </c>
      <c r="E30" s="210">
        <v>0</v>
      </c>
      <c r="F30" s="217">
        <f t="shared" si="7"/>
        <v>662.35</v>
      </c>
      <c r="G30" s="210">
        <v>0</v>
      </c>
      <c r="H30" s="210">
        <f t="shared" si="5"/>
        <v>61.7</v>
      </c>
      <c r="I30" s="210">
        <f>'[2]GERAL 2025'!I24</f>
        <v>1.3720449172576832</v>
      </c>
      <c r="J30" s="210">
        <v>0</v>
      </c>
      <c r="K30" s="339">
        <f t="shared" si="3"/>
        <v>725.42204491725772</v>
      </c>
      <c r="L30" s="210">
        <f>7%*K30</f>
        <v>50.779543144208048</v>
      </c>
      <c r="M30" s="210">
        <f>K30-L30</f>
        <v>674.64250177304962</v>
      </c>
      <c r="N30" s="216" t="s">
        <v>1207</v>
      </c>
      <c r="O30" s="340">
        <v>10</v>
      </c>
      <c r="P30" s="235">
        <v>11</v>
      </c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</row>
    <row r="31" spans="1:47" s="326" customFormat="1" ht="24.6" customHeight="1" x14ac:dyDescent="0.3">
      <c r="A31" s="195" t="s">
        <v>1169</v>
      </c>
      <c r="B31" s="326">
        <v>23</v>
      </c>
      <c r="C31" s="326" t="s">
        <v>827</v>
      </c>
      <c r="D31" s="196">
        <f>660</f>
        <v>660</v>
      </c>
      <c r="E31" s="332">
        <v>0</v>
      </c>
      <c r="F31" s="196">
        <f t="shared" si="7"/>
        <v>660</v>
      </c>
      <c r="G31" s="332">
        <f>(50+25)</f>
        <v>75</v>
      </c>
      <c r="H31" s="332">
        <f>(1665.9/27)</f>
        <v>61.7</v>
      </c>
      <c r="I31" s="332">
        <f>'[2]GERAL 2025'!I37</f>
        <v>1.3720449172576832</v>
      </c>
      <c r="J31" s="332">
        <v>0</v>
      </c>
      <c r="K31" s="328">
        <f t="shared" si="3"/>
        <v>798.0720449172577</v>
      </c>
      <c r="L31" s="332">
        <f>7%*K31</f>
        <v>55.865043144208045</v>
      </c>
      <c r="M31" s="332">
        <f>K31-L31</f>
        <v>742.20700177304968</v>
      </c>
      <c r="N31" s="326" t="s">
        <v>1217</v>
      </c>
      <c r="O31" s="197">
        <v>10</v>
      </c>
      <c r="P31" s="197">
        <v>11</v>
      </c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</row>
    <row r="32" spans="1:47" s="203" customFormat="1" ht="24.6" customHeight="1" x14ac:dyDescent="0.3">
      <c r="A32" s="326" t="s">
        <v>1171</v>
      </c>
      <c r="B32" s="326">
        <v>24</v>
      </c>
      <c r="C32" s="326" t="s">
        <v>827</v>
      </c>
      <c r="D32" s="196">
        <f>740</f>
        <v>740</v>
      </c>
      <c r="E32" s="332">
        <v>0</v>
      </c>
      <c r="F32" s="196">
        <f>D32-E32</f>
        <v>740</v>
      </c>
      <c r="G32" s="332">
        <f>50</f>
        <v>50</v>
      </c>
      <c r="H32" s="332">
        <f t="shared" ref="H32" si="8">(1665.9/27)</f>
        <v>61.7</v>
      </c>
      <c r="I32" s="332">
        <f>'[2]GERAL 2025'!I36</f>
        <v>1.9208628841607567</v>
      </c>
      <c r="J32" s="332">
        <v>0</v>
      </c>
      <c r="K32" s="328">
        <f t="shared" si="3"/>
        <v>853.62086288416083</v>
      </c>
      <c r="L32" s="332">
        <f>7%*K32</f>
        <v>59.75346040189126</v>
      </c>
      <c r="M32" s="332">
        <f t="shared" si="4"/>
        <v>793.86740248226954</v>
      </c>
      <c r="N32" s="326" t="s">
        <v>1212</v>
      </c>
      <c r="O32" s="197">
        <v>10</v>
      </c>
      <c r="P32" s="197">
        <v>11</v>
      </c>
      <c r="Q32" s="202"/>
      <c r="R32" s="202"/>
      <c r="S32" s="202"/>
      <c r="T32" s="202"/>
      <c r="U32" s="202"/>
      <c r="V32" s="202"/>
      <c r="W32" s="202"/>
      <c r="X32" s="202"/>
      <c r="Y32" s="202"/>
    </row>
    <row r="33" spans="1:42" s="204" customFormat="1" ht="24.6" customHeight="1" x14ac:dyDescent="0.3">
      <c r="A33" s="206" t="s">
        <v>1007</v>
      </c>
      <c r="B33" s="341">
        <v>25</v>
      </c>
      <c r="C33" s="365" t="s">
        <v>822</v>
      </c>
      <c r="D33" s="342">
        <v>668.07</v>
      </c>
      <c r="E33" s="343">
        <v>0</v>
      </c>
      <c r="F33" s="342">
        <f t="shared" si="7"/>
        <v>668.07</v>
      </c>
      <c r="G33" s="343">
        <v>26.1</v>
      </c>
      <c r="H33" s="343">
        <f t="shared" si="5"/>
        <v>61.7</v>
      </c>
      <c r="I33" s="343">
        <f>'[2]GERAL 2025'!I27</f>
        <v>1.3720449172576832</v>
      </c>
      <c r="J33" s="343">
        <v>133.54</v>
      </c>
      <c r="K33" s="344">
        <f t="shared" si="3"/>
        <v>890.78204491725774</v>
      </c>
      <c r="L33" s="343">
        <f t="shared" si="6"/>
        <v>62.354743144208051</v>
      </c>
      <c r="M33" s="343">
        <f t="shared" si="4"/>
        <v>828.42730177304963</v>
      </c>
      <c r="N33" s="341" t="s">
        <v>1216</v>
      </c>
      <c r="O33" s="345">
        <v>10</v>
      </c>
      <c r="P33" s="346">
        <v>11</v>
      </c>
      <c r="Q33" s="200"/>
      <c r="R33" s="200"/>
      <c r="S33" s="200"/>
      <c r="T33" s="200"/>
      <c r="U33" s="200"/>
      <c r="V33" s="200"/>
      <c r="W33" s="200"/>
      <c r="X33" s="200"/>
      <c r="Y33" s="200"/>
    </row>
    <row r="34" spans="1:42" s="206" customFormat="1" ht="24.6" customHeight="1" x14ac:dyDescent="0.3">
      <c r="A34" s="195" t="s">
        <v>751</v>
      </c>
      <c r="B34" s="326">
        <v>26</v>
      </c>
      <c r="C34" s="326" t="s">
        <v>827</v>
      </c>
      <c r="D34" s="196">
        <v>607.62</v>
      </c>
      <c r="E34" s="332">
        <v>0</v>
      </c>
      <c r="F34" s="196">
        <f t="shared" si="7"/>
        <v>607.62</v>
      </c>
      <c r="G34" s="332">
        <v>27.13</v>
      </c>
      <c r="H34" s="332">
        <f t="shared" si="5"/>
        <v>61.7</v>
      </c>
      <c r="I34" s="332">
        <f>'[2]GERAL 2025'!I28</f>
        <v>1.3720449172576832</v>
      </c>
      <c r="J34" s="332">
        <v>0</v>
      </c>
      <c r="K34" s="328">
        <f t="shared" si="3"/>
        <v>697.8220449172577</v>
      </c>
      <c r="L34" s="332">
        <f t="shared" si="6"/>
        <v>48.847543144208046</v>
      </c>
      <c r="M34" s="332">
        <f t="shared" si="4"/>
        <v>648.97450177304961</v>
      </c>
      <c r="N34" s="326" t="s">
        <v>1206</v>
      </c>
      <c r="O34" s="197">
        <v>10</v>
      </c>
      <c r="P34" s="197">
        <v>11</v>
      </c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</row>
    <row r="35" spans="1:42" s="206" customFormat="1" ht="24.6" customHeight="1" x14ac:dyDescent="0.3">
      <c r="A35" s="195" t="s">
        <v>752</v>
      </c>
      <c r="B35" s="326">
        <v>27</v>
      </c>
      <c r="C35" s="216" t="s">
        <v>827</v>
      </c>
      <c r="D35" s="217">
        <v>629.32000000000005</v>
      </c>
      <c r="E35" s="210">
        <v>0</v>
      </c>
      <c r="F35" s="196">
        <f t="shared" si="7"/>
        <v>629.32000000000005</v>
      </c>
      <c r="G35" s="210">
        <v>0</v>
      </c>
      <c r="H35" s="332">
        <f t="shared" si="5"/>
        <v>61.7</v>
      </c>
      <c r="I35" s="210">
        <f>'[2]GERAL 2025'!I29</f>
        <v>1.3720449172576832</v>
      </c>
      <c r="J35" s="210">
        <v>0</v>
      </c>
      <c r="K35" s="328">
        <f t="shared" si="3"/>
        <v>692.39204491725775</v>
      </c>
      <c r="L35" s="332">
        <f t="shared" si="6"/>
        <v>48.467443144208048</v>
      </c>
      <c r="M35" s="332">
        <f>K35-L35</f>
        <v>643.92460177304974</v>
      </c>
      <c r="N35" s="326" t="s">
        <v>1207</v>
      </c>
      <c r="O35" s="197">
        <v>10</v>
      </c>
      <c r="P35" s="197">
        <v>11</v>
      </c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</row>
    <row r="36" spans="1:42" s="206" customFormat="1" ht="25.05" customHeight="1" x14ac:dyDescent="0.3">
      <c r="A36" s="584" t="s">
        <v>4</v>
      </c>
      <c r="B36" s="584"/>
      <c r="C36" s="336"/>
      <c r="D36" s="328">
        <f>SUM(D9:D35)</f>
        <v>14690.677032774194</v>
      </c>
      <c r="E36" s="328">
        <f t="shared" ref="E36:M36" si="9">SUM(E9:E35)</f>
        <v>0</v>
      </c>
      <c r="F36" s="328">
        <f t="shared" si="9"/>
        <v>14690.677032774194</v>
      </c>
      <c r="G36" s="328">
        <f t="shared" si="9"/>
        <v>750.14387096774192</v>
      </c>
      <c r="H36" s="328">
        <f>SUM(H9:H35)</f>
        <v>1401.1870967741941</v>
      </c>
      <c r="I36" s="328">
        <f>SUM(I9:I35)</f>
        <v>32.805151376496603</v>
      </c>
      <c r="J36" s="328">
        <f>SUM(J9:J35)</f>
        <v>666.08999999999992</v>
      </c>
      <c r="K36" s="328">
        <f>SUM(K9:K35)</f>
        <v>17540.903151892628</v>
      </c>
      <c r="L36" s="328">
        <f t="shared" si="9"/>
        <v>1227.8632206324837</v>
      </c>
      <c r="M36" s="328">
        <f t="shared" si="9"/>
        <v>16313.03993126014</v>
      </c>
      <c r="N36" s="326"/>
      <c r="O36" s="197"/>
      <c r="P36" s="197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</row>
    <row r="37" spans="1:42" s="11" customFormat="1" ht="28.5" customHeight="1" x14ac:dyDescent="0.3">
      <c r="A37" s="521" t="s">
        <v>1218</v>
      </c>
      <c r="B37" s="521"/>
      <c r="C37" s="521"/>
      <c r="D37" s="521"/>
      <c r="E37" s="521"/>
      <c r="F37" s="521"/>
      <c r="G37" s="521"/>
      <c r="H37" s="521"/>
      <c r="I37" s="521"/>
      <c r="J37" s="521"/>
      <c r="K37" s="521"/>
      <c r="L37" s="521"/>
      <c r="M37" s="521"/>
      <c r="N37" s="521"/>
      <c r="O37" s="521"/>
      <c r="P37" s="521"/>
      <c r="Q37" s="10"/>
      <c r="R37" s="10"/>
      <c r="S37" s="10"/>
      <c r="T37" s="10"/>
      <c r="U37" s="10"/>
      <c r="V37" s="10"/>
      <c r="W37" s="10"/>
      <c r="X37" s="10"/>
      <c r="Y37" s="10"/>
    </row>
    <row r="38" spans="1:42" s="11" customFormat="1" ht="27.6" customHeight="1" x14ac:dyDescent="0.3">
      <c r="A38" s="322" t="s">
        <v>3</v>
      </c>
      <c r="B38" s="322" t="s">
        <v>0</v>
      </c>
      <c r="C38" s="322" t="s">
        <v>821</v>
      </c>
      <c r="D38" s="325" t="s">
        <v>174</v>
      </c>
      <c r="E38" s="555" t="s">
        <v>175</v>
      </c>
      <c r="F38" s="556"/>
      <c r="G38" s="556"/>
      <c r="H38" s="556"/>
      <c r="I38" s="556"/>
      <c r="J38" s="557"/>
      <c r="K38" s="325" t="s">
        <v>4</v>
      </c>
      <c r="L38" s="325" t="s">
        <v>5</v>
      </c>
      <c r="M38" s="325" t="s">
        <v>70</v>
      </c>
      <c r="N38" s="322" t="s">
        <v>59</v>
      </c>
      <c r="O38" s="130" t="s">
        <v>8</v>
      </c>
      <c r="P38" s="130" t="s">
        <v>10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42" s="206" customFormat="1" ht="27.6" customHeight="1" x14ac:dyDescent="0.3">
      <c r="A39" s="331" t="s">
        <v>1005</v>
      </c>
      <c r="B39" s="331">
        <v>3</v>
      </c>
      <c r="C39" s="331" t="s">
        <v>822</v>
      </c>
      <c r="D39" s="332">
        <f>673.07</f>
        <v>673.07</v>
      </c>
      <c r="E39" s="551" t="s">
        <v>1219</v>
      </c>
      <c r="F39" s="580"/>
      <c r="G39" s="580"/>
      <c r="H39" s="580"/>
      <c r="I39" s="580"/>
      <c r="J39" s="552"/>
      <c r="K39" s="328">
        <v>744.87</v>
      </c>
      <c r="L39" s="332">
        <f>7%*K39</f>
        <v>52.140900000000002</v>
      </c>
      <c r="M39" s="332">
        <f>K39-L39</f>
        <v>692.72910000000002</v>
      </c>
      <c r="N39" s="326" t="s">
        <v>1219</v>
      </c>
      <c r="O39" s="207">
        <v>10</v>
      </c>
      <c r="P39" s="197">
        <v>11</v>
      </c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05"/>
    </row>
    <row r="40" spans="1:42" s="204" customFormat="1" ht="24.6" customHeight="1" x14ac:dyDescent="0.3">
      <c r="A40" s="331" t="s">
        <v>1136</v>
      </c>
      <c r="B40" s="331">
        <v>7</v>
      </c>
      <c r="C40" s="331" t="s">
        <v>829</v>
      </c>
      <c r="D40" s="196">
        <f>690+61.7+1.37</f>
        <v>753.07</v>
      </c>
      <c r="E40" s="551" t="s">
        <v>1219</v>
      </c>
      <c r="F40" s="580"/>
      <c r="G40" s="580"/>
      <c r="H40" s="580"/>
      <c r="I40" s="580"/>
      <c r="J40" s="552"/>
      <c r="K40" s="328">
        <v>833.4</v>
      </c>
      <c r="L40" s="332">
        <f>7%*K40</f>
        <v>58.338000000000001</v>
      </c>
      <c r="M40" s="332">
        <f>K40-L40</f>
        <v>775.06200000000001</v>
      </c>
      <c r="N40" s="326" t="s">
        <v>1219</v>
      </c>
      <c r="O40" s="207">
        <v>10</v>
      </c>
      <c r="P40" s="197">
        <v>11</v>
      </c>
      <c r="Q40" s="200"/>
      <c r="R40" s="200"/>
      <c r="S40" s="200"/>
      <c r="T40" s="200"/>
      <c r="U40" s="200"/>
      <c r="V40" s="200"/>
      <c r="W40" s="200"/>
      <c r="X40" s="200"/>
      <c r="Y40" s="200"/>
    </row>
    <row r="41" spans="1:42" s="11" customFormat="1" ht="25.05" customHeight="1" x14ac:dyDescent="0.3">
      <c r="A41" s="518" t="s">
        <v>4</v>
      </c>
      <c r="B41" s="518"/>
      <c r="C41" s="518"/>
      <c r="D41" s="518"/>
      <c r="E41" s="518"/>
      <c r="F41" s="518"/>
      <c r="G41" s="518"/>
      <c r="H41" s="518"/>
      <c r="I41" s="518"/>
      <c r="J41" s="518"/>
      <c r="K41" s="323">
        <f>SUM(K39:K40)</f>
        <v>1578.27</v>
      </c>
      <c r="L41" s="323">
        <f>SUM(L39:L40)</f>
        <v>110.47890000000001</v>
      </c>
      <c r="M41" s="323">
        <f>SUM(M39:M40)</f>
        <v>1467.7910999999999</v>
      </c>
      <c r="N41" s="527"/>
      <c r="O41" s="527"/>
      <c r="P41" s="527"/>
      <c r="Q41" s="10"/>
      <c r="R41" s="10"/>
      <c r="S41" s="10"/>
      <c r="T41" s="10"/>
      <c r="U41" s="10"/>
      <c r="V41" s="10"/>
      <c r="W41" s="10"/>
      <c r="X41" s="10"/>
      <c r="Y41" s="10"/>
    </row>
    <row r="42" spans="1:42" s="11" customFormat="1" x14ac:dyDescent="0.3">
      <c r="A42" s="518"/>
      <c r="B42" s="518"/>
      <c r="C42" s="518"/>
      <c r="D42" s="518"/>
      <c r="E42" s="518"/>
      <c r="F42" s="518"/>
      <c r="G42" s="518"/>
      <c r="H42" s="518"/>
      <c r="I42" s="518"/>
      <c r="J42" s="518"/>
      <c r="K42" s="518"/>
      <c r="L42" s="518"/>
      <c r="M42" s="518"/>
      <c r="N42" s="518"/>
      <c r="O42" s="323"/>
      <c r="P42" s="323"/>
      <c r="Q42" s="10"/>
      <c r="R42" s="10"/>
      <c r="S42" s="10"/>
      <c r="T42" s="10"/>
      <c r="U42" s="10"/>
      <c r="V42" s="10"/>
      <c r="W42" s="10"/>
      <c r="X42" s="10"/>
      <c r="Y42" s="10"/>
    </row>
    <row r="43" spans="1:42" s="11" customFormat="1" ht="28.5" customHeight="1" x14ac:dyDescent="0.3">
      <c r="A43" s="521" t="s">
        <v>177</v>
      </c>
      <c r="B43" s="521"/>
      <c r="C43" s="521"/>
      <c r="D43" s="521"/>
      <c r="E43" s="521"/>
      <c r="F43" s="521"/>
      <c r="G43" s="521"/>
      <c r="H43" s="521"/>
      <c r="I43" s="521"/>
      <c r="J43" s="521"/>
      <c r="K43" s="521"/>
      <c r="L43" s="521"/>
      <c r="M43" s="521"/>
      <c r="N43" s="521"/>
      <c r="O43" s="521"/>
      <c r="P43" s="521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42" s="11" customFormat="1" ht="25.5" customHeight="1" x14ac:dyDescent="0.3">
      <c r="A44" s="320" t="s">
        <v>173</v>
      </c>
      <c r="B44" s="320" t="s">
        <v>0</v>
      </c>
      <c r="C44" s="322" t="s">
        <v>821</v>
      </c>
      <c r="D44" s="320" t="s">
        <v>174</v>
      </c>
      <c r="E44" s="521" t="s">
        <v>175</v>
      </c>
      <c r="F44" s="521"/>
      <c r="G44" s="521"/>
      <c r="H44" s="521"/>
      <c r="I44" s="521"/>
      <c r="J44" s="521"/>
      <c r="K44" s="334" t="s">
        <v>4</v>
      </c>
      <c r="L44" s="325"/>
      <c r="M44" s="325"/>
      <c r="N44" s="322" t="s">
        <v>59</v>
      </c>
      <c r="O44" s="130" t="s">
        <v>8</v>
      </c>
      <c r="P44" s="130" t="s">
        <v>10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42" s="11" customFormat="1" x14ac:dyDescent="0.3">
      <c r="A45" s="326" t="s">
        <v>965</v>
      </c>
      <c r="B45" s="331">
        <v>11</v>
      </c>
      <c r="C45" s="326" t="s">
        <v>827</v>
      </c>
      <c r="D45" s="332">
        <v>1191.3800000000001</v>
      </c>
      <c r="E45" s="551" t="s">
        <v>715</v>
      </c>
      <c r="F45" s="580"/>
      <c r="G45" s="580"/>
      <c r="H45" s="580"/>
      <c r="I45" s="580"/>
      <c r="J45" s="552"/>
      <c r="K45" s="332">
        <f>1191.38/4</f>
        <v>297.84500000000003</v>
      </c>
      <c r="L45" s="274"/>
      <c r="M45" s="274"/>
      <c r="N45" s="326" t="s">
        <v>1220</v>
      </c>
      <c r="O45" s="140">
        <v>10</v>
      </c>
      <c r="P45" s="333">
        <v>11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42" x14ac:dyDescent="0.3">
      <c r="A46" s="331" t="s">
        <v>1136</v>
      </c>
      <c r="B46" s="331">
        <v>7</v>
      </c>
      <c r="C46" s="331" t="s">
        <v>829</v>
      </c>
      <c r="D46" s="274">
        <f>690+61.7+1.37</f>
        <v>753.07</v>
      </c>
      <c r="E46" s="595" t="s">
        <v>1221</v>
      </c>
      <c r="F46" s="595"/>
      <c r="G46" s="595"/>
      <c r="H46" s="595"/>
      <c r="I46" s="595"/>
      <c r="J46" s="595"/>
      <c r="K46" s="274">
        <f>690+61.7+1.37</f>
        <v>753.07</v>
      </c>
      <c r="L46" s="274"/>
      <c r="M46" s="274"/>
      <c r="N46" s="274" t="s">
        <v>1222</v>
      </c>
      <c r="O46" s="140">
        <v>10</v>
      </c>
      <c r="P46" s="333">
        <v>11</v>
      </c>
    </row>
    <row r="47" spans="1:42" x14ac:dyDescent="0.3">
      <c r="A47" s="326" t="s">
        <v>1005</v>
      </c>
      <c r="B47" s="331">
        <v>3</v>
      </c>
      <c r="C47" s="326" t="s">
        <v>822</v>
      </c>
      <c r="D47" s="274">
        <f>636.76+61.7+1.37+133.17</f>
        <v>833</v>
      </c>
      <c r="E47" s="595" t="s">
        <v>1223</v>
      </c>
      <c r="F47" s="595"/>
      <c r="G47" s="595"/>
      <c r="H47" s="595"/>
      <c r="I47" s="595"/>
      <c r="J47" s="595"/>
      <c r="K47" s="274">
        <f>636.76+61.7+1.37+133.17</f>
        <v>833</v>
      </c>
      <c r="L47" s="274"/>
      <c r="M47" s="274"/>
      <c r="N47" s="274" t="s">
        <v>1224</v>
      </c>
      <c r="O47" s="140">
        <v>10</v>
      </c>
      <c r="P47" s="333">
        <v>11</v>
      </c>
    </row>
    <row r="48" spans="1:42" s="69" customFormat="1" ht="15" customHeight="1" x14ac:dyDescent="0.3">
      <c r="A48" s="333" t="s">
        <v>132</v>
      </c>
      <c r="B48" s="333">
        <v>1</v>
      </c>
      <c r="C48" s="333"/>
      <c r="D48" s="5">
        <f>4977.59-1520</f>
        <v>3457.59</v>
      </c>
      <c r="E48" s="595" t="s">
        <v>284</v>
      </c>
      <c r="F48" s="595"/>
      <c r="G48" s="595"/>
      <c r="H48" s="595"/>
      <c r="I48" s="595"/>
      <c r="J48" s="595"/>
      <c r="K48" s="5">
        <f>4977.59-1520</f>
        <v>3457.59</v>
      </c>
      <c r="L48" s="5"/>
      <c r="M48" s="5"/>
      <c r="N48" s="5" t="s">
        <v>510</v>
      </c>
      <c r="O48" s="140">
        <v>10</v>
      </c>
      <c r="P48" s="333">
        <v>11</v>
      </c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</row>
    <row r="49" spans="1:60" s="11" customFormat="1" x14ac:dyDescent="0.3">
      <c r="A49" s="324" t="s">
        <v>87</v>
      </c>
      <c r="B49" s="324">
        <v>25</v>
      </c>
      <c r="C49" s="324"/>
      <c r="D49" s="5">
        <v>3013.33</v>
      </c>
      <c r="E49" s="595" t="s">
        <v>543</v>
      </c>
      <c r="F49" s="595"/>
      <c r="G49" s="595"/>
      <c r="H49" s="595"/>
      <c r="I49" s="595"/>
      <c r="J49" s="595"/>
      <c r="K49" s="275">
        <v>3040.58</v>
      </c>
      <c r="L49" s="337"/>
      <c r="M49" s="337"/>
      <c r="N49" s="5" t="s">
        <v>545</v>
      </c>
      <c r="O49" s="98">
        <v>10</v>
      </c>
      <c r="P49" s="3">
        <v>11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  <row r="50" spans="1:60" s="11" customFormat="1" x14ac:dyDescent="0.3">
      <c r="A50" s="3" t="s">
        <v>894</v>
      </c>
      <c r="B50" s="324">
        <v>16</v>
      </c>
      <c r="C50" s="324" t="s">
        <v>823</v>
      </c>
      <c r="D50" s="5">
        <f>144.52+11.29+12.89+0.3+0.18+1664</f>
        <v>1833.18</v>
      </c>
      <c r="E50" s="595" t="s">
        <v>1158</v>
      </c>
      <c r="F50" s="595"/>
      <c r="G50" s="595"/>
      <c r="H50" s="595"/>
      <c r="I50" s="595"/>
      <c r="J50" s="595"/>
      <c r="K50" s="275">
        <f>144.52+11.29+12.89+0.3+0.18+1664</f>
        <v>1833.18</v>
      </c>
      <c r="L50" s="337"/>
      <c r="M50" s="337"/>
      <c r="N50" s="329" t="s">
        <v>969</v>
      </c>
      <c r="O50" s="98">
        <v>10</v>
      </c>
      <c r="P50" s="3">
        <v>11</v>
      </c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 spans="1:60" s="206" customFormat="1" ht="15" customHeight="1" x14ac:dyDescent="0.3">
      <c r="A51" s="237" t="s">
        <v>902</v>
      </c>
      <c r="B51" s="195">
        <v>17</v>
      </c>
      <c r="C51" s="195" t="s">
        <v>823</v>
      </c>
      <c r="D51" s="196">
        <v>2080.41</v>
      </c>
      <c r="E51" s="551" t="s">
        <v>1011</v>
      </c>
      <c r="F51" s="580"/>
      <c r="G51" s="580"/>
      <c r="H51" s="580"/>
      <c r="I51" s="580"/>
      <c r="J51" s="552"/>
      <c r="K51" s="196">
        <v>300</v>
      </c>
      <c r="L51" s="332"/>
      <c r="M51" s="332"/>
      <c r="N51" s="326" t="s">
        <v>1039</v>
      </c>
      <c r="O51" s="235">
        <v>10</v>
      </c>
      <c r="P51" s="197">
        <v>11</v>
      </c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  <c r="AC51" s="205"/>
      <c r="AD51" s="205"/>
      <c r="AE51" s="205"/>
      <c r="AF51" s="205"/>
      <c r="AG51" s="205"/>
      <c r="AH51" s="205"/>
      <c r="AI51" s="205"/>
      <c r="AJ51" s="205"/>
      <c r="AK51" s="205"/>
      <c r="AL51" s="205"/>
      <c r="AM51" s="205"/>
      <c r="AN51" s="205"/>
      <c r="AO51" s="205"/>
      <c r="AP51" s="205"/>
    </row>
    <row r="52" spans="1:60" s="206" customFormat="1" ht="15" customHeight="1" x14ac:dyDescent="0.3">
      <c r="A52" s="237" t="s">
        <v>902</v>
      </c>
      <c r="B52" s="195">
        <v>17</v>
      </c>
      <c r="C52" s="195" t="s">
        <v>823</v>
      </c>
      <c r="D52" s="196">
        <v>2080.41</v>
      </c>
      <c r="E52" s="551" t="s">
        <v>1011</v>
      </c>
      <c r="F52" s="580"/>
      <c r="G52" s="580"/>
      <c r="H52" s="580"/>
      <c r="I52" s="580"/>
      <c r="J52" s="552"/>
      <c r="K52" s="196">
        <v>300</v>
      </c>
      <c r="L52" s="332"/>
      <c r="M52" s="332"/>
      <c r="N52" s="326" t="s">
        <v>1049</v>
      </c>
      <c r="O52" s="235">
        <v>10</v>
      </c>
      <c r="P52" s="197">
        <v>11</v>
      </c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  <c r="AJ52" s="205"/>
      <c r="AK52" s="205"/>
      <c r="AL52" s="205"/>
      <c r="AM52" s="205"/>
      <c r="AN52" s="205"/>
      <c r="AO52" s="205"/>
      <c r="AP52" s="205"/>
    </row>
    <row r="53" spans="1:60" s="40" customFormat="1" ht="15" customHeight="1" thickBot="1" x14ac:dyDescent="0.35">
      <c r="A53" s="534" t="s">
        <v>4</v>
      </c>
      <c r="B53" s="549"/>
      <c r="C53" s="549"/>
      <c r="D53" s="549"/>
      <c r="E53" s="549"/>
      <c r="F53" s="549"/>
      <c r="G53" s="549"/>
      <c r="H53" s="549"/>
      <c r="I53" s="549"/>
      <c r="J53" s="535"/>
      <c r="K53" s="327">
        <f>SUM(K45:K52)</f>
        <v>10815.264999999999</v>
      </c>
      <c r="L53" s="324"/>
      <c r="M53" s="324"/>
      <c r="N53" s="324"/>
      <c r="O53" s="324"/>
      <c r="P53" s="324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1"/>
      <c r="AU53" s="11"/>
      <c r="AV53" s="11"/>
      <c r="AW53" s="11"/>
    </row>
    <row r="54" spans="1:60" s="19" customFormat="1" x14ac:dyDescent="0.3">
      <c r="A54" s="179"/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1"/>
      <c r="P54" s="182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</row>
    <row r="55" spans="1:60" s="40" customFormat="1" x14ac:dyDescent="0.3">
      <c r="A55" s="585"/>
      <c r="B55" s="585"/>
      <c r="C55" s="585"/>
      <c r="D55" s="585"/>
      <c r="E55" s="585"/>
      <c r="F55" s="46"/>
      <c r="G55" s="46"/>
      <c r="H55" s="295"/>
      <c r="I55" s="46"/>
      <c r="J55" s="46"/>
      <c r="K55" s="46"/>
      <c r="L55" s="46"/>
      <c r="M55" s="46"/>
      <c r="N55" s="544" t="s">
        <v>315</v>
      </c>
      <c r="O55" s="544"/>
      <c r="P55" s="545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1"/>
      <c r="AU55" s="11"/>
      <c r="AV55" s="11"/>
      <c r="AW55" s="11"/>
    </row>
    <row r="56" spans="1:60" s="40" customFormat="1" x14ac:dyDescent="0.3">
      <c r="A56" s="206"/>
      <c r="B56" s="223"/>
      <c r="C56" s="223"/>
      <c r="D56" s="224"/>
      <c r="E56" s="223"/>
      <c r="F56" s="46"/>
      <c r="G56" s="46"/>
      <c r="H56" s="295"/>
      <c r="I56" s="11"/>
      <c r="J56" s="11"/>
      <c r="K56" s="87"/>
      <c r="L56" s="87"/>
      <c r="M56" s="87"/>
      <c r="N56" s="527" t="s">
        <v>94</v>
      </c>
      <c r="O56" s="527"/>
      <c r="P56" s="327">
        <f>L36+L41</f>
        <v>1338.3421206324838</v>
      </c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1"/>
      <c r="AU56" s="11"/>
      <c r="AV56" s="11"/>
      <c r="AW56" s="11"/>
    </row>
    <row r="57" spans="1:60" s="40" customFormat="1" x14ac:dyDescent="0.3">
      <c r="A57" s="206"/>
      <c r="B57" s="223"/>
      <c r="C57" s="223"/>
      <c r="D57" s="224"/>
      <c r="E57" s="223"/>
      <c r="F57" s="46"/>
      <c r="G57" s="46"/>
      <c r="H57" s="295"/>
      <c r="I57" s="11"/>
      <c r="J57" s="11"/>
      <c r="K57" s="14"/>
      <c r="L57" s="14"/>
      <c r="M57" s="14"/>
      <c r="N57" s="518" t="s">
        <v>260</v>
      </c>
      <c r="O57" s="518"/>
      <c r="P57" s="327">
        <f>L6</f>
        <v>825</v>
      </c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1"/>
      <c r="AU57" s="11"/>
      <c r="AV57" s="11"/>
      <c r="AW57" s="11"/>
    </row>
    <row r="58" spans="1:60" s="40" customFormat="1" x14ac:dyDescent="0.3">
      <c r="A58" s="206"/>
      <c r="B58" s="223"/>
      <c r="C58" s="223"/>
      <c r="D58" s="224"/>
      <c r="E58" s="223"/>
      <c r="F58" s="46"/>
      <c r="G58" s="46"/>
      <c r="H58" s="295"/>
      <c r="I58" s="11"/>
      <c r="J58" s="11"/>
      <c r="K58" s="14"/>
      <c r="L58" s="14"/>
      <c r="M58" s="14"/>
      <c r="N58" s="520"/>
      <c r="O58" s="520"/>
      <c r="P58" s="52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1"/>
      <c r="AU58" s="11"/>
      <c r="AV58" s="11"/>
      <c r="AW58" s="11"/>
    </row>
    <row r="59" spans="1:60" s="40" customFormat="1" x14ac:dyDescent="0.3">
      <c r="A59" s="206"/>
      <c r="B59" s="223"/>
      <c r="C59" s="223"/>
      <c r="D59" s="224"/>
      <c r="E59" s="223"/>
      <c r="F59" s="46"/>
      <c r="G59" s="46"/>
      <c r="H59" s="295"/>
      <c r="I59" s="11"/>
      <c r="J59" s="11"/>
      <c r="K59" s="62"/>
      <c r="L59" s="62"/>
      <c r="M59" s="62"/>
      <c r="N59" s="520"/>
      <c r="O59" s="520"/>
      <c r="P59" s="52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1"/>
      <c r="AU59" s="11"/>
      <c r="AV59" s="11"/>
      <c r="AW59" s="11"/>
    </row>
    <row r="60" spans="1:60" s="40" customFormat="1" ht="14.4" x14ac:dyDescent="0.3">
      <c r="A60" s="206"/>
      <c r="B60" s="223"/>
      <c r="C60" s="223"/>
      <c r="D60" s="224"/>
      <c r="E60" s="223"/>
      <c r="F60" s="46"/>
      <c r="G60" s="46"/>
      <c r="H60" s="295"/>
      <c r="I60" s="11"/>
      <c r="J60" s="11"/>
      <c r="K60" s="14"/>
      <c r="L60" s="14"/>
      <c r="M60" s="14"/>
      <c r="N60" s="529" t="s">
        <v>12</v>
      </c>
      <c r="O60" s="529"/>
      <c r="P60" s="529"/>
      <c r="Q60" s="175"/>
      <c r="R60" s="178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1"/>
      <c r="AU60" s="11"/>
      <c r="AV60" s="11"/>
      <c r="AW60" s="11"/>
    </row>
    <row r="61" spans="1:60" s="11" customFormat="1" ht="15" customHeight="1" x14ac:dyDescent="0.3">
      <c r="A61" s="206"/>
      <c r="B61" s="223"/>
      <c r="C61" s="223"/>
      <c r="D61" s="224"/>
      <c r="E61" s="223"/>
      <c r="F61" s="46"/>
      <c r="G61" s="46"/>
      <c r="H61" s="295"/>
      <c r="K61" s="63"/>
      <c r="L61" s="63"/>
      <c r="M61" s="63"/>
      <c r="N61" s="592" t="s">
        <v>126</v>
      </c>
      <c r="O61" s="592"/>
      <c r="P61" s="240">
        <v>110.33</v>
      </c>
      <c r="Q61" s="190"/>
      <c r="R61" s="178"/>
    </row>
    <row r="62" spans="1:60" s="11" customFormat="1" ht="15.6" x14ac:dyDescent="0.3">
      <c r="A62" s="206"/>
      <c r="B62" s="223"/>
      <c r="C62" s="223"/>
      <c r="D62" s="224"/>
      <c r="E62" s="223"/>
      <c r="F62" s="46"/>
      <c r="G62" s="46"/>
      <c r="H62" s="295"/>
      <c r="K62" s="14"/>
      <c r="L62" s="14"/>
      <c r="M62" s="14"/>
      <c r="N62" s="593" t="s">
        <v>127</v>
      </c>
      <c r="O62" s="593"/>
      <c r="P62" s="240">
        <v>1665.9</v>
      </c>
      <c r="Q62" s="175"/>
      <c r="R62" s="178"/>
    </row>
    <row r="63" spans="1:60" s="11" customFormat="1" ht="15" customHeight="1" x14ac:dyDescent="0.3">
      <c r="A63" s="206"/>
      <c r="B63" s="223"/>
      <c r="C63" s="223"/>
      <c r="D63" s="224"/>
      <c r="E63" s="223"/>
      <c r="F63" s="46"/>
      <c r="G63" s="46"/>
      <c r="H63" s="295"/>
      <c r="K63" s="63"/>
      <c r="L63" s="63"/>
      <c r="M63" s="63"/>
      <c r="N63" s="594" t="s">
        <v>1225</v>
      </c>
      <c r="O63" s="594"/>
      <c r="P63" s="239">
        <v>133.16999999999999</v>
      </c>
      <c r="Q63" s="190"/>
      <c r="R63" s="178"/>
    </row>
    <row r="64" spans="1:60" s="11" customFormat="1" ht="15.6" x14ac:dyDescent="0.3">
      <c r="A64" s="206"/>
      <c r="B64" s="223"/>
      <c r="C64" s="223"/>
      <c r="D64" s="224"/>
      <c r="E64" s="223"/>
      <c r="F64" s="46"/>
      <c r="G64" s="46"/>
      <c r="H64" s="295"/>
      <c r="K64" s="14"/>
      <c r="L64" s="14"/>
      <c r="M64" s="14"/>
      <c r="N64" s="594" t="s">
        <v>1226</v>
      </c>
      <c r="O64" s="594"/>
      <c r="P64" s="251">
        <v>133.16999999999999</v>
      </c>
      <c r="Q64" s="222"/>
      <c r="R64" s="178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</row>
    <row r="65" spans="1:48" s="11" customFormat="1" ht="15.6" x14ac:dyDescent="0.3">
      <c r="A65" s="206"/>
      <c r="B65" s="223"/>
      <c r="C65" s="223"/>
      <c r="D65" s="224"/>
      <c r="E65" s="223"/>
      <c r="F65" s="46"/>
      <c r="G65" s="46"/>
      <c r="H65" s="295"/>
      <c r="K65" s="63"/>
      <c r="L65" s="63"/>
      <c r="M65" s="63"/>
      <c r="N65" s="588" t="s">
        <v>1227</v>
      </c>
      <c r="O65" s="589"/>
      <c r="P65" s="42">
        <v>132.78</v>
      </c>
      <c r="Q65" s="175"/>
      <c r="R65" s="178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</row>
    <row r="66" spans="1:48" s="11" customFormat="1" ht="15.6" x14ac:dyDescent="0.3">
      <c r="A66" s="206"/>
      <c r="B66" s="223"/>
      <c r="C66" s="223"/>
      <c r="D66" s="224"/>
      <c r="E66" s="223"/>
      <c r="F66" s="46"/>
      <c r="G66" s="46"/>
      <c r="H66" s="295"/>
      <c r="K66" s="14"/>
      <c r="L66" s="14"/>
      <c r="M66" s="14"/>
      <c r="N66" s="588" t="s">
        <v>1228</v>
      </c>
      <c r="O66" s="589"/>
      <c r="P66" s="42">
        <v>133.82</v>
      </c>
      <c r="Q66" s="175"/>
      <c r="R66" s="185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</row>
    <row r="67" spans="1:48" s="11" customFormat="1" ht="15.6" x14ac:dyDescent="0.3">
      <c r="A67" s="206"/>
      <c r="B67" s="223"/>
      <c r="C67" s="223"/>
      <c r="D67" s="224"/>
      <c r="E67" s="223"/>
      <c r="F67" s="46"/>
      <c r="G67" s="46"/>
      <c r="H67" s="295"/>
      <c r="K67" s="14"/>
      <c r="L67" s="14"/>
      <c r="M67" s="14"/>
      <c r="N67" s="588" t="s">
        <v>1229</v>
      </c>
      <c r="O67" s="589"/>
      <c r="P67" s="42">
        <v>132.78</v>
      </c>
      <c r="Q67" s="175"/>
      <c r="R67" s="185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</row>
    <row r="68" spans="1:48" s="11" customFormat="1" ht="15.6" x14ac:dyDescent="0.3">
      <c r="A68" s="206"/>
      <c r="B68" s="223"/>
      <c r="C68" s="223"/>
      <c r="D68" s="224"/>
      <c r="E68" s="223"/>
      <c r="F68" s="46"/>
      <c r="G68" s="46"/>
      <c r="H68" s="295"/>
      <c r="K68" s="63"/>
      <c r="L68" s="63"/>
      <c r="M68" s="63"/>
      <c r="N68" s="588" t="s">
        <v>1230</v>
      </c>
      <c r="O68" s="589"/>
      <c r="P68" s="42">
        <v>133.54</v>
      </c>
      <c r="Q68" s="175"/>
      <c r="R68" s="178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</row>
    <row r="69" spans="1:48" s="11" customFormat="1" ht="15.6" x14ac:dyDescent="0.3">
      <c r="A69" s="206"/>
      <c r="B69" s="223"/>
      <c r="C69" s="223"/>
      <c r="D69" s="224"/>
      <c r="E69" s="223"/>
      <c r="F69" s="46"/>
      <c r="G69" s="46"/>
      <c r="H69" s="295"/>
      <c r="K69" s="14"/>
      <c r="L69" s="14"/>
      <c r="M69" s="14"/>
      <c r="N69" s="594"/>
      <c r="O69" s="594"/>
      <c r="P69" s="42"/>
      <c r="Q69" s="175"/>
      <c r="R69" s="178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</row>
    <row r="70" spans="1:48" s="11" customFormat="1" ht="15" customHeight="1" x14ac:dyDescent="0.3">
      <c r="A70" s="206"/>
      <c r="B70" s="223"/>
      <c r="C70" s="223"/>
      <c r="D70" s="224"/>
      <c r="E70" s="223"/>
      <c r="F70" s="46"/>
      <c r="G70" s="46"/>
      <c r="H70" s="295"/>
      <c r="K70" s="63"/>
      <c r="L70" s="63"/>
      <c r="M70" s="63"/>
      <c r="N70" s="594"/>
      <c r="O70" s="594"/>
      <c r="P70" s="42"/>
      <c r="R70" s="14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</row>
    <row r="71" spans="1:48" s="11" customFormat="1" ht="15.6" x14ac:dyDescent="0.3">
      <c r="A71" s="206"/>
      <c r="B71" s="223"/>
      <c r="C71" s="223"/>
      <c r="D71" s="224"/>
      <c r="E71" s="223"/>
      <c r="F71" s="46"/>
      <c r="G71" s="46"/>
      <c r="H71" s="295"/>
      <c r="K71" s="14"/>
      <c r="L71" s="14"/>
      <c r="M71" s="14"/>
      <c r="N71" s="594"/>
      <c r="O71" s="594"/>
      <c r="P71" s="42"/>
      <c r="Q71" s="190"/>
      <c r="R71" s="178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</row>
    <row r="72" spans="1:48" s="11" customFormat="1" ht="18.600000000000001" customHeight="1" x14ac:dyDescent="0.3">
      <c r="A72" s="206"/>
      <c r="B72" s="223"/>
      <c r="C72" s="223"/>
      <c r="D72" s="224"/>
      <c r="E72" s="223"/>
      <c r="F72" s="46"/>
      <c r="G72" s="46"/>
      <c r="H72" s="295"/>
      <c r="K72" s="63"/>
      <c r="L72" s="63"/>
      <c r="M72" s="63"/>
      <c r="N72" s="586" t="s">
        <v>26</v>
      </c>
      <c r="O72" s="586"/>
      <c r="P72" s="241">
        <f>SUM(P56:P71)</f>
        <v>4738.8321206324827</v>
      </c>
      <c r="Q72" s="175"/>
      <c r="R72" s="178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</row>
    <row r="73" spans="1:48" s="11" customFormat="1" ht="15.6" x14ac:dyDescent="0.3">
      <c r="A73" s="206"/>
      <c r="B73" s="223"/>
      <c r="C73" s="223"/>
      <c r="D73" s="224"/>
      <c r="E73" s="223"/>
      <c r="F73" s="46"/>
      <c r="G73" s="46"/>
      <c r="H73" s="295"/>
      <c r="N73" s="587"/>
      <c r="O73" s="587"/>
      <c r="P73" s="242"/>
      <c r="Q73" s="175"/>
      <c r="R73" s="178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</row>
    <row r="74" spans="1:48" s="11" customFormat="1" ht="14.4" x14ac:dyDescent="0.3">
      <c r="A74" s="206"/>
      <c r="B74" s="223"/>
      <c r="C74" s="223"/>
      <c r="D74" s="224"/>
      <c r="E74" s="223"/>
      <c r="F74" s="46"/>
      <c r="G74" s="46"/>
      <c r="H74" s="295"/>
      <c r="K74" s="63"/>
      <c r="L74" s="63"/>
      <c r="M74" s="63"/>
      <c r="N74" s="564" t="s">
        <v>11</v>
      </c>
      <c r="O74" s="565"/>
      <c r="P74" s="153">
        <f>K6+K36+K41</f>
        <v>20620.317241727145</v>
      </c>
      <c r="Q74" s="175"/>
      <c r="R74" s="178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</row>
    <row r="75" spans="1:48" s="11" customFormat="1" ht="14.4" x14ac:dyDescent="0.3">
      <c r="A75" s="206"/>
      <c r="B75" s="223"/>
      <c r="C75" s="223"/>
      <c r="D75" s="224"/>
      <c r="E75" s="223"/>
      <c r="F75" s="46"/>
      <c r="G75" s="46"/>
      <c r="H75" s="295"/>
      <c r="K75" s="14"/>
      <c r="L75" s="14"/>
      <c r="M75" s="14"/>
      <c r="N75" s="518"/>
      <c r="O75" s="518"/>
      <c r="P75" s="519"/>
      <c r="Q75" s="175"/>
      <c r="R75" s="185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</row>
    <row r="76" spans="1:48" s="11" customFormat="1" ht="14.4" x14ac:dyDescent="0.3">
      <c r="A76" s="206"/>
      <c r="B76" s="223"/>
      <c r="C76" s="223"/>
      <c r="D76" s="224"/>
      <c r="E76" s="223"/>
      <c r="F76" s="46"/>
      <c r="G76" s="46"/>
      <c r="H76" s="295"/>
      <c r="N76" s="513" t="s">
        <v>13</v>
      </c>
      <c r="O76" s="513"/>
      <c r="P76" s="151">
        <f>P74-P72</f>
        <v>15881.485121094662</v>
      </c>
      <c r="Q76" s="175"/>
      <c r="R76" s="176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</row>
    <row r="77" spans="1:48" s="11" customFormat="1" ht="14.4" x14ac:dyDescent="0.3">
      <c r="A77" s="206"/>
      <c r="B77" s="223"/>
      <c r="C77" s="223"/>
      <c r="D77" s="224"/>
      <c r="E77" s="223"/>
      <c r="F77" s="46"/>
      <c r="G77" s="46"/>
      <c r="H77" s="295"/>
      <c r="N77" s="124"/>
      <c r="O77" s="124"/>
      <c r="P77" s="57"/>
      <c r="Q77" s="175"/>
      <c r="R77" s="176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</row>
    <row r="78" spans="1:48" s="11" customFormat="1" ht="14.4" x14ac:dyDescent="0.3">
      <c r="A78" s="206"/>
      <c r="B78" s="223"/>
      <c r="C78" s="223"/>
      <c r="D78" s="224"/>
      <c r="E78" s="223"/>
      <c r="F78" s="46"/>
      <c r="G78" s="46"/>
      <c r="H78" s="295"/>
      <c r="N78" s="124"/>
      <c r="O78" s="124"/>
      <c r="P78" s="57"/>
      <c r="Q78" s="175"/>
      <c r="R78" s="178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</row>
    <row r="79" spans="1:48" s="11" customFormat="1" ht="14.4" x14ac:dyDescent="0.3">
      <c r="A79" s="206"/>
      <c r="B79" s="223"/>
      <c r="C79" s="223"/>
      <c r="D79" s="224"/>
      <c r="E79" s="223"/>
      <c r="F79" s="46"/>
      <c r="G79" s="46"/>
      <c r="H79" s="295"/>
      <c r="K79" s="14"/>
      <c r="L79" s="14"/>
      <c r="M79" s="14"/>
      <c r="N79" s="124"/>
      <c r="O79" s="124"/>
      <c r="P79" s="57"/>
      <c r="Q79" s="175"/>
      <c r="R79" s="178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</row>
    <row r="80" spans="1:48" s="11" customFormat="1" ht="14.4" x14ac:dyDescent="0.3">
      <c r="A80" s="206"/>
      <c r="B80" s="223"/>
      <c r="C80" s="223"/>
      <c r="D80" s="224"/>
      <c r="E80" s="223"/>
      <c r="F80" s="46"/>
      <c r="G80" s="46"/>
      <c r="H80" s="295"/>
      <c r="K80" s="330"/>
      <c r="L80" s="330"/>
      <c r="M80" s="330"/>
      <c r="Q80" s="175"/>
      <c r="R80" s="178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</row>
    <row r="81" spans="1:47" s="11" customFormat="1" ht="14.4" x14ac:dyDescent="0.3">
      <c r="A81" s="206"/>
      <c r="B81" s="223"/>
      <c r="C81" s="223"/>
      <c r="D81" s="224"/>
      <c r="E81" s="223"/>
      <c r="F81" s="46"/>
      <c r="G81" s="46"/>
      <c r="H81" s="295"/>
      <c r="K81" s="14"/>
      <c r="L81" s="14"/>
      <c r="M81" s="14"/>
      <c r="N81" s="330"/>
      <c r="O81" s="14"/>
      <c r="P81" s="57"/>
      <c r="Q81" s="175"/>
      <c r="R81" s="178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</row>
    <row r="82" spans="1:47" s="11" customFormat="1" ht="14.4" x14ac:dyDescent="0.3">
      <c r="A82" s="206"/>
      <c r="B82" s="223"/>
      <c r="C82" s="223"/>
      <c r="D82" s="224"/>
      <c r="E82" s="223"/>
      <c r="F82" s="46"/>
      <c r="G82" s="46"/>
      <c r="H82" s="295"/>
      <c r="K82" s="14"/>
      <c r="L82" s="14"/>
      <c r="M82" s="14"/>
      <c r="O82" s="330"/>
      <c r="P82" s="57"/>
      <c r="Q82" s="175"/>
      <c r="R82" s="178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</row>
    <row r="83" spans="1:47" s="11" customFormat="1" ht="14.4" x14ac:dyDescent="0.3">
      <c r="A83" s="206"/>
      <c r="B83" s="223"/>
      <c r="C83" s="223"/>
      <c r="D83" s="224"/>
      <c r="E83" s="223"/>
      <c r="F83" s="46"/>
      <c r="G83" s="46"/>
      <c r="H83" s="295"/>
      <c r="K83" s="14"/>
      <c r="L83" s="14"/>
      <c r="M83" s="14"/>
      <c r="P83" s="57"/>
      <c r="Q83" s="175"/>
      <c r="R83" s="178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</row>
    <row r="84" spans="1:47" s="11" customFormat="1" x14ac:dyDescent="0.3">
      <c r="A84" s="206"/>
      <c r="B84" s="223"/>
      <c r="C84" s="223"/>
      <c r="D84" s="224"/>
      <c r="E84" s="223"/>
      <c r="F84" s="46"/>
      <c r="G84" s="46"/>
      <c r="H84" s="295"/>
      <c r="K84" s="14"/>
      <c r="L84" s="14"/>
      <c r="M84" s="14"/>
      <c r="N84" s="14"/>
      <c r="O84" s="14"/>
      <c r="P84" s="57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</row>
    <row r="85" spans="1:47" s="69" customFormat="1" x14ac:dyDescent="0.3">
      <c r="A85" s="206"/>
      <c r="B85" s="223"/>
      <c r="C85" s="223"/>
      <c r="D85" s="224"/>
      <c r="E85" s="223"/>
      <c r="F85" s="46"/>
      <c r="G85" s="46"/>
      <c r="H85" s="295"/>
      <c r="I85" s="11"/>
      <c r="J85" s="11"/>
      <c r="K85" s="14"/>
      <c r="L85" s="14"/>
      <c r="M85" s="14"/>
      <c r="N85" s="14"/>
      <c r="O85" s="330"/>
      <c r="P85" s="57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</row>
    <row r="86" spans="1:47" s="69" customFormat="1" x14ac:dyDescent="0.3">
      <c r="A86" s="206"/>
      <c r="B86" s="223"/>
      <c r="C86" s="223"/>
      <c r="D86" s="224"/>
      <c r="E86" s="223"/>
      <c r="F86" s="46"/>
      <c r="G86" s="46"/>
      <c r="H86" s="295"/>
      <c r="I86" s="11"/>
      <c r="J86" s="11"/>
      <c r="K86" s="14"/>
      <c r="L86" s="14"/>
      <c r="M86" s="14"/>
      <c r="N86" s="14"/>
      <c r="O86" s="11"/>
      <c r="P86" s="57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</row>
    <row r="87" spans="1:47" s="69" customFormat="1" x14ac:dyDescent="0.3">
      <c r="A87" s="206"/>
      <c r="B87" s="223"/>
      <c r="C87" s="223"/>
      <c r="D87" s="224"/>
      <c r="E87" s="223"/>
      <c r="F87" s="46"/>
      <c r="G87" s="46"/>
      <c r="H87" s="295"/>
      <c r="I87" s="11"/>
      <c r="J87" s="11"/>
      <c r="K87" s="14"/>
      <c r="L87" s="14"/>
      <c r="M87" s="14"/>
      <c r="N87" s="14"/>
      <c r="O87" s="11"/>
      <c r="P87" s="57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</row>
    <row r="88" spans="1:47" s="69" customFormat="1" x14ac:dyDescent="0.3">
      <c r="A88" s="206"/>
      <c r="B88" s="223"/>
      <c r="C88" s="223"/>
      <c r="D88" s="224"/>
      <c r="E88" s="223"/>
      <c r="F88" s="46"/>
      <c r="G88" s="46"/>
      <c r="H88" s="295"/>
      <c r="I88" s="11"/>
      <c r="J88" s="11"/>
      <c r="K88" s="14"/>
      <c r="L88" s="14"/>
      <c r="M88" s="14"/>
      <c r="N88" s="11"/>
      <c r="O88" s="11"/>
      <c r="P88" s="57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</row>
    <row r="89" spans="1:47" s="69" customFormat="1" x14ac:dyDescent="0.3">
      <c r="A89" s="206"/>
      <c r="B89" s="223"/>
      <c r="C89" s="223"/>
      <c r="D89" s="224"/>
      <c r="E89" s="223"/>
      <c r="F89" s="46"/>
      <c r="G89" s="46"/>
      <c r="H89" s="295"/>
      <c r="I89" s="11"/>
      <c r="J89" s="11"/>
      <c r="K89" s="14"/>
      <c r="L89" s="14"/>
      <c r="M89" s="14"/>
      <c r="N89" s="11"/>
      <c r="O89" s="14"/>
      <c r="P89" s="57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</row>
    <row r="90" spans="1:47" s="69" customFormat="1" x14ac:dyDescent="0.3">
      <c r="A90" s="206"/>
      <c r="B90" s="223"/>
      <c r="C90" s="223"/>
      <c r="D90" s="224"/>
      <c r="E90" s="223"/>
      <c r="F90" s="46"/>
      <c r="G90" s="46"/>
      <c r="H90" s="295"/>
      <c r="I90" s="11"/>
      <c r="J90" s="11"/>
      <c r="K90" s="14"/>
      <c r="L90" s="14"/>
      <c r="M90" s="14"/>
      <c r="N90" s="11"/>
      <c r="O90" s="14"/>
      <c r="P90" s="57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</row>
    <row r="91" spans="1:47" s="69" customFormat="1" x14ac:dyDescent="0.3">
      <c r="A91" s="206"/>
      <c r="B91" s="223"/>
      <c r="C91" s="223"/>
      <c r="D91" s="224"/>
      <c r="E91" s="223"/>
      <c r="F91" s="46"/>
      <c r="G91" s="46"/>
      <c r="H91" s="295"/>
      <c r="I91" s="11"/>
      <c r="J91" s="11"/>
      <c r="K91" s="14"/>
      <c r="L91" s="14"/>
      <c r="M91" s="14"/>
      <c r="N91" s="11"/>
      <c r="O91" s="14"/>
      <c r="P91" s="57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</row>
    <row r="92" spans="1:47" s="69" customFormat="1" x14ac:dyDescent="0.3">
      <c r="A92" s="206"/>
      <c r="B92" s="223"/>
      <c r="C92" s="223"/>
      <c r="D92" s="224"/>
      <c r="E92" s="223"/>
      <c r="F92" s="46"/>
      <c r="G92" s="46"/>
      <c r="H92" s="295"/>
      <c r="I92" s="11"/>
      <c r="J92" s="11"/>
      <c r="K92" s="14"/>
      <c r="L92" s="14"/>
      <c r="M92" s="14"/>
      <c r="N92" s="11"/>
      <c r="O92" s="14"/>
      <c r="P92" s="57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</row>
    <row r="93" spans="1:47" s="69" customFormat="1" x14ac:dyDescent="0.3">
      <c r="A93" s="206"/>
      <c r="B93" s="223"/>
      <c r="C93" s="223"/>
      <c r="D93" s="224"/>
      <c r="E93" s="223"/>
      <c r="F93" s="46"/>
      <c r="G93" s="46"/>
      <c r="H93" s="295"/>
      <c r="I93" s="11"/>
      <c r="J93" s="11"/>
      <c r="K93" s="14"/>
      <c r="L93" s="14"/>
      <c r="M93" s="14"/>
      <c r="N93" s="11"/>
      <c r="O93" s="11"/>
      <c r="P93" s="57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</row>
    <row r="94" spans="1:47" s="69" customFormat="1" x14ac:dyDescent="0.3">
      <c r="A94" s="206"/>
      <c r="B94" s="223"/>
      <c r="C94" s="223"/>
      <c r="D94" s="224"/>
      <c r="E94" s="223"/>
      <c r="F94" s="46"/>
      <c r="G94" s="46"/>
      <c r="H94" s="296"/>
      <c r="I94" s="11"/>
      <c r="J94" s="11"/>
      <c r="K94" s="14"/>
      <c r="L94" s="14"/>
      <c r="M94" s="14"/>
      <c r="N94" s="11"/>
      <c r="O94" s="11"/>
      <c r="P94" s="57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</row>
    <row r="95" spans="1:47" s="69" customFormat="1" x14ac:dyDescent="0.3">
      <c r="A95" s="206"/>
      <c r="B95" s="223"/>
      <c r="C95" s="223"/>
      <c r="D95" s="224"/>
      <c r="E95" s="223"/>
      <c r="F95" s="46"/>
      <c r="G95" s="46"/>
      <c r="H95" s="296"/>
      <c r="I95" s="11"/>
      <c r="J95" s="11"/>
      <c r="K95" s="14"/>
      <c r="L95" s="14"/>
      <c r="M95" s="14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</row>
    <row r="96" spans="1:47" s="69" customFormat="1" x14ac:dyDescent="0.3">
      <c r="A96" s="206"/>
      <c r="B96" s="223"/>
      <c r="C96" s="223"/>
      <c r="D96" s="224"/>
      <c r="E96" s="223"/>
      <c r="F96" s="46"/>
      <c r="G96" s="46"/>
      <c r="H96" s="296"/>
      <c r="K96" s="142"/>
      <c r="L96" s="142"/>
      <c r="M96" s="142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</row>
    <row r="97" spans="1:48" s="70" customFormat="1" x14ac:dyDescent="0.3">
      <c r="A97" s="206"/>
      <c r="B97" s="223"/>
      <c r="C97" s="223"/>
      <c r="D97" s="224"/>
      <c r="E97" s="223"/>
      <c r="F97" s="46"/>
      <c r="G97" s="46"/>
      <c r="H97" s="296"/>
      <c r="I97" s="63"/>
      <c r="J97" s="63"/>
      <c r="K97" s="69"/>
      <c r="L97" s="69"/>
      <c r="M97" s="69"/>
      <c r="N97" s="69"/>
      <c r="O97" s="69"/>
      <c r="P97" s="69"/>
    </row>
    <row r="98" spans="1:48" s="70" customFormat="1" ht="15" customHeight="1" x14ac:dyDescent="0.3">
      <c r="A98" s="206"/>
      <c r="B98" s="223"/>
      <c r="C98" s="223"/>
      <c r="D98" s="224"/>
      <c r="E98" s="223"/>
      <c r="F98" s="46"/>
      <c r="G98" s="46"/>
      <c r="H98" s="296"/>
      <c r="I98" s="11"/>
      <c r="J98" s="63"/>
      <c r="K98" s="142"/>
      <c r="L98" s="142"/>
      <c r="M98" s="142"/>
      <c r="N98" s="69"/>
      <c r="O98" s="69"/>
      <c r="P98" s="69"/>
      <c r="AV98" s="69"/>
    </row>
    <row r="99" spans="1:48" s="70" customFormat="1" x14ac:dyDescent="0.3">
      <c r="A99" s="206"/>
      <c r="B99" s="223"/>
      <c r="C99" s="223"/>
      <c r="D99" s="224"/>
      <c r="E99" s="223"/>
      <c r="F99" s="46"/>
      <c r="G99" s="46"/>
      <c r="H99" s="296"/>
      <c r="I99" s="142"/>
      <c r="J99" s="142"/>
      <c r="K99" s="142"/>
      <c r="L99" s="142"/>
      <c r="M99" s="142"/>
      <c r="N99" s="69"/>
      <c r="O99" s="69"/>
      <c r="P99" s="69"/>
      <c r="AV99" s="69"/>
    </row>
    <row r="100" spans="1:48" s="70" customFormat="1" x14ac:dyDescent="0.3">
      <c r="A100" s="206"/>
      <c r="B100" s="223"/>
      <c r="C100" s="223"/>
      <c r="D100" s="224"/>
      <c r="E100" s="223"/>
      <c r="F100" s="46"/>
      <c r="G100" s="46"/>
      <c r="H100" s="296"/>
      <c r="I100" s="11"/>
      <c r="J100" s="63"/>
      <c r="K100" s="142"/>
      <c r="L100" s="142"/>
      <c r="M100" s="142"/>
      <c r="N100" s="69"/>
      <c r="O100" s="69"/>
      <c r="P100" s="69"/>
      <c r="AV100" s="69"/>
    </row>
    <row r="101" spans="1:48" s="70" customFormat="1" x14ac:dyDescent="0.3">
      <c r="A101" s="206"/>
      <c r="B101" s="223"/>
      <c r="C101" s="223"/>
      <c r="D101" s="224"/>
      <c r="E101" s="223"/>
      <c r="F101" s="46"/>
      <c r="G101" s="46"/>
      <c r="H101" s="296"/>
      <c r="I101" s="142"/>
      <c r="J101" s="142"/>
      <c r="K101" s="142"/>
      <c r="L101" s="142"/>
      <c r="M101" s="142"/>
      <c r="N101" s="69"/>
      <c r="O101" s="69"/>
      <c r="P101" s="69"/>
      <c r="AV101" s="69"/>
    </row>
    <row r="102" spans="1:48" s="70" customFormat="1" x14ac:dyDescent="0.3">
      <c r="A102" s="206"/>
      <c r="B102" s="223"/>
      <c r="C102" s="223"/>
      <c r="D102" s="224"/>
      <c r="E102" s="223"/>
      <c r="F102" s="46"/>
      <c r="G102" s="46"/>
      <c r="H102" s="296"/>
      <c r="I102" s="11"/>
      <c r="J102" s="63"/>
      <c r="K102" s="142"/>
      <c r="L102" s="142"/>
      <c r="M102" s="142"/>
      <c r="N102" s="144"/>
      <c r="O102" s="69"/>
      <c r="P102" s="69"/>
      <c r="AV102" s="69"/>
    </row>
    <row r="103" spans="1:48" s="70" customFormat="1" x14ac:dyDescent="0.3">
      <c r="A103" s="206"/>
      <c r="B103" s="223"/>
      <c r="C103" s="223"/>
      <c r="D103" s="224"/>
      <c r="E103" s="223"/>
      <c r="F103" s="46"/>
      <c r="G103" s="46"/>
      <c r="H103" s="296"/>
      <c r="I103" s="142"/>
      <c r="J103" s="142"/>
      <c r="K103" s="142"/>
      <c r="L103" s="142"/>
      <c r="M103" s="142"/>
      <c r="N103" s="144"/>
      <c r="O103" s="69"/>
      <c r="P103" s="69"/>
      <c r="AV103" s="69"/>
    </row>
    <row r="104" spans="1:48" s="70" customFormat="1" x14ac:dyDescent="0.3">
      <c r="A104" s="206"/>
      <c r="B104" s="223"/>
      <c r="C104" s="223"/>
      <c r="D104" s="224"/>
      <c r="E104" s="223"/>
      <c r="F104" s="46"/>
      <c r="G104" s="46"/>
      <c r="H104" s="296"/>
      <c r="I104" s="11"/>
      <c r="J104" s="63"/>
      <c r="K104" s="142"/>
      <c r="L104" s="142"/>
      <c r="M104" s="142"/>
      <c r="N104" s="144"/>
      <c r="O104" s="69"/>
      <c r="AV104" s="69"/>
    </row>
    <row r="105" spans="1:48" s="70" customFormat="1" x14ac:dyDescent="0.3">
      <c r="A105" s="206"/>
      <c r="B105" s="223"/>
      <c r="C105" s="223"/>
      <c r="D105" s="224"/>
      <c r="E105" s="223"/>
      <c r="F105" s="46"/>
      <c r="G105" s="46"/>
      <c r="H105" s="296"/>
      <c r="I105" s="142"/>
      <c r="J105" s="142"/>
      <c r="K105" s="142"/>
      <c r="L105" s="142"/>
      <c r="M105" s="142"/>
      <c r="N105" s="144"/>
      <c r="O105" s="69"/>
      <c r="AV105" s="69"/>
    </row>
    <row r="106" spans="1:48" s="70" customFormat="1" x14ac:dyDescent="0.3">
      <c r="A106" s="206"/>
      <c r="B106" s="223"/>
      <c r="C106" s="223"/>
      <c r="D106" s="224"/>
      <c r="E106" s="223"/>
      <c r="F106" s="46"/>
      <c r="G106" s="46"/>
      <c r="H106" s="296"/>
      <c r="I106" s="11"/>
      <c r="J106" s="63"/>
      <c r="K106" s="142"/>
      <c r="L106" s="142"/>
      <c r="M106" s="142"/>
      <c r="N106" s="144"/>
      <c r="O106" s="69"/>
      <c r="AV106" s="69"/>
    </row>
    <row r="107" spans="1:48" s="70" customFormat="1" x14ac:dyDescent="0.3">
      <c r="A107" s="148"/>
      <c r="B107" s="225"/>
      <c r="C107" s="225"/>
      <c r="D107" s="225"/>
      <c r="E107" s="225"/>
      <c r="F107" s="46"/>
      <c r="G107" s="46"/>
      <c r="H107" s="296"/>
      <c r="I107" s="142"/>
      <c r="J107" s="142"/>
      <c r="K107" s="142"/>
      <c r="L107" s="142"/>
      <c r="M107" s="142"/>
      <c r="N107" s="144"/>
      <c r="O107" s="144"/>
      <c r="AV107" s="69"/>
    </row>
    <row r="108" spans="1:48" s="70" customFormat="1" x14ac:dyDescent="0.3">
      <c r="A108" s="69"/>
      <c r="B108" s="69"/>
      <c r="C108" s="69"/>
      <c r="D108" s="69"/>
      <c r="E108" s="69"/>
      <c r="F108" s="69"/>
      <c r="G108" s="69"/>
      <c r="H108" s="297"/>
      <c r="I108" s="142"/>
      <c r="J108" s="142"/>
      <c r="K108" s="142"/>
      <c r="L108" s="142"/>
      <c r="M108" s="142"/>
      <c r="N108" s="144"/>
      <c r="O108" s="144"/>
      <c r="AV108" s="69"/>
    </row>
    <row r="109" spans="1:48" s="70" customFormat="1" x14ac:dyDescent="0.3">
      <c r="A109" s="69"/>
      <c r="B109" s="69"/>
      <c r="C109" s="69"/>
      <c r="D109" s="69"/>
      <c r="E109" s="69"/>
      <c r="F109" s="69"/>
      <c r="G109" s="69"/>
      <c r="H109" s="297"/>
      <c r="I109" s="69"/>
      <c r="J109" s="69"/>
      <c r="K109" s="142"/>
      <c r="L109" s="142"/>
      <c r="M109" s="142"/>
      <c r="N109" s="144"/>
      <c r="O109" s="144"/>
      <c r="AV109" s="69"/>
    </row>
    <row r="110" spans="1:48" s="70" customFormat="1" x14ac:dyDescent="0.3">
      <c r="A110" s="69"/>
      <c r="B110" s="69"/>
      <c r="C110" s="69"/>
      <c r="D110" s="69"/>
      <c r="E110" s="69"/>
      <c r="F110" s="69"/>
      <c r="G110" s="69"/>
      <c r="H110" s="297"/>
      <c r="I110" s="69"/>
      <c r="J110" s="69"/>
      <c r="K110" s="142"/>
      <c r="L110" s="142"/>
      <c r="M110" s="142"/>
      <c r="N110" s="144"/>
      <c r="O110" s="144"/>
      <c r="AV110" s="69"/>
    </row>
    <row r="111" spans="1:48" s="70" customFormat="1" x14ac:dyDescent="0.3">
      <c r="A111" s="69"/>
      <c r="B111" s="69"/>
      <c r="C111" s="69"/>
      <c r="D111" s="69"/>
      <c r="E111" s="69"/>
      <c r="F111" s="69"/>
      <c r="G111" s="69"/>
      <c r="H111" s="297"/>
      <c r="I111" s="69"/>
      <c r="J111" s="69"/>
      <c r="K111" s="142"/>
      <c r="L111" s="142"/>
      <c r="M111" s="142"/>
      <c r="N111" s="144"/>
      <c r="O111" s="144"/>
      <c r="AV111" s="69"/>
    </row>
    <row r="112" spans="1:48" s="70" customFormat="1" x14ac:dyDescent="0.3">
      <c r="A112" s="69"/>
      <c r="B112" s="69"/>
      <c r="C112" s="69"/>
      <c r="D112" s="69"/>
      <c r="E112" s="69"/>
      <c r="F112" s="69"/>
      <c r="G112" s="69"/>
      <c r="H112" s="297"/>
      <c r="I112" s="69"/>
      <c r="J112" s="69"/>
      <c r="K112" s="142"/>
      <c r="L112" s="142"/>
      <c r="M112" s="142"/>
      <c r="N112" s="144"/>
      <c r="O112" s="144"/>
      <c r="AV112" s="69"/>
    </row>
    <row r="113" spans="1:48" s="70" customFormat="1" x14ac:dyDescent="0.3">
      <c r="A113" s="69"/>
      <c r="B113" s="69"/>
      <c r="C113" s="69"/>
      <c r="D113" s="69"/>
      <c r="E113" s="69"/>
      <c r="F113" s="69"/>
      <c r="G113" s="69"/>
      <c r="H113" s="297"/>
      <c r="I113" s="69"/>
      <c r="J113" s="69"/>
      <c r="K113" s="142"/>
      <c r="L113" s="142"/>
      <c r="M113" s="142"/>
      <c r="N113" s="144"/>
      <c r="O113" s="144"/>
      <c r="AV113" s="69"/>
    </row>
    <row r="114" spans="1:48" s="70" customFormat="1" x14ac:dyDescent="0.3">
      <c r="A114" s="69"/>
      <c r="B114" s="69"/>
      <c r="C114" s="69"/>
      <c r="D114" s="69"/>
      <c r="E114" s="69"/>
      <c r="F114" s="69"/>
      <c r="G114" s="69"/>
      <c r="H114" s="297"/>
      <c r="I114" s="69"/>
      <c r="J114" s="69"/>
      <c r="K114" s="142"/>
      <c r="L114" s="142"/>
      <c r="M114" s="142"/>
      <c r="N114" s="144"/>
      <c r="O114" s="144"/>
      <c r="AV114" s="69"/>
    </row>
    <row r="115" spans="1:48" s="70" customFormat="1" x14ac:dyDescent="0.3">
      <c r="F115" s="69"/>
      <c r="G115" s="69"/>
      <c r="H115" s="297"/>
      <c r="I115" s="69"/>
      <c r="J115" s="69"/>
      <c r="K115" s="142"/>
      <c r="L115" s="142"/>
      <c r="M115" s="142"/>
      <c r="N115" s="144"/>
      <c r="O115" s="144"/>
      <c r="AV115" s="69"/>
    </row>
    <row r="116" spans="1:48" s="70" customFormat="1" x14ac:dyDescent="0.3">
      <c r="H116" s="298"/>
      <c r="I116" s="69"/>
      <c r="J116" s="69"/>
      <c r="K116" s="142"/>
      <c r="L116" s="142"/>
      <c r="M116" s="142"/>
      <c r="N116" s="144"/>
      <c r="O116" s="144"/>
      <c r="AV116" s="69"/>
    </row>
    <row r="117" spans="1:48" s="70" customFormat="1" x14ac:dyDescent="0.3">
      <c r="H117" s="298"/>
      <c r="K117" s="142"/>
      <c r="L117" s="142"/>
      <c r="M117" s="142"/>
      <c r="N117" s="144"/>
      <c r="O117" s="144"/>
      <c r="AV117" s="69"/>
    </row>
    <row r="118" spans="1:48" s="70" customFormat="1" x14ac:dyDescent="0.3">
      <c r="H118" s="298"/>
      <c r="K118" s="142"/>
      <c r="L118" s="142"/>
      <c r="M118" s="142"/>
      <c r="N118" s="144"/>
      <c r="O118" s="144"/>
      <c r="AV118" s="69"/>
    </row>
    <row r="119" spans="1:48" s="70" customFormat="1" x14ac:dyDescent="0.3">
      <c r="H119" s="298"/>
      <c r="K119" s="142"/>
      <c r="L119" s="142"/>
      <c r="M119" s="142"/>
      <c r="N119" s="144"/>
      <c r="O119" s="144"/>
      <c r="AV119" s="69"/>
    </row>
    <row r="120" spans="1:48" s="70" customFormat="1" x14ac:dyDescent="0.3">
      <c r="H120" s="298"/>
      <c r="K120" s="142"/>
      <c r="L120" s="142"/>
      <c r="M120" s="142"/>
      <c r="N120" s="144"/>
      <c r="O120" s="144"/>
      <c r="AV120" s="69"/>
    </row>
    <row r="121" spans="1:48" s="70" customFormat="1" x14ac:dyDescent="0.3">
      <c r="H121" s="298"/>
      <c r="K121" s="142"/>
      <c r="L121" s="142"/>
      <c r="M121" s="142"/>
      <c r="N121" s="144"/>
      <c r="O121" s="144"/>
      <c r="AV121" s="69"/>
    </row>
    <row r="122" spans="1:48" s="70" customFormat="1" x14ac:dyDescent="0.3">
      <c r="H122" s="298"/>
      <c r="K122" s="142"/>
      <c r="L122" s="142"/>
      <c r="M122" s="142"/>
      <c r="N122" s="144"/>
      <c r="O122" s="144"/>
      <c r="AV122" s="69"/>
    </row>
    <row r="123" spans="1:48" s="70" customFormat="1" x14ac:dyDescent="0.3">
      <c r="H123" s="298"/>
      <c r="K123" s="142"/>
      <c r="L123" s="142"/>
      <c r="M123" s="142"/>
      <c r="N123" s="144"/>
      <c r="O123" s="144"/>
      <c r="AV123" s="69"/>
    </row>
    <row r="124" spans="1:48" s="70" customFormat="1" x14ac:dyDescent="0.3">
      <c r="H124" s="298"/>
      <c r="K124" s="142"/>
      <c r="L124" s="142"/>
      <c r="M124" s="142"/>
      <c r="N124" s="144"/>
      <c r="O124" s="144"/>
      <c r="AV124" s="69"/>
    </row>
    <row r="125" spans="1:48" s="70" customFormat="1" x14ac:dyDescent="0.3">
      <c r="H125" s="298"/>
      <c r="K125" s="142"/>
      <c r="L125" s="142"/>
      <c r="M125" s="142"/>
      <c r="N125" s="144"/>
      <c r="O125" s="144"/>
      <c r="AV125" s="69"/>
    </row>
    <row r="126" spans="1:48" s="70" customFormat="1" x14ac:dyDescent="0.3">
      <c r="H126" s="298"/>
      <c r="K126" s="142"/>
      <c r="L126" s="142"/>
      <c r="M126" s="142"/>
      <c r="N126" s="144"/>
      <c r="O126" s="144"/>
      <c r="AV126" s="69"/>
    </row>
    <row r="127" spans="1:48" s="70" customFormat="1" x14ac:dyDescent="0.3">
      <c r="H127" s="298"/>
      <c r="K127" s="142"/>
      <c r="L127" s="142"/>
      <c r="M127" s="142"/>
      <c r="N127" s="144"/>
      <c r="O127" s="144"/>
      <c r="AV127" s="69"/>
    </row>
    <row r="128" spans="1:48" s="70" customFormat="1" x14ac:dyDescent="0.3">
      <c r="H128" s="298"/>
      <c r="K128" s="142"/>
      <c r="L128" s="142"/>
      <c r="M128" s="142"/>
      <c r="N128" s="144"/>
      <c r="O128" s="144"/>
      <c r="AV128" s="69"/>
    </row>
    <row r="129" spans="8:48" s="70" customFormat="1" x14ac:dyDescent="0.3">
      <c r="H129" s="298"/>
      <c r="K129" s="142"/>
      <c r="L129" s="142"/>
      <c r="M129" s="142"/>
      <c r="N129" s="144"/>
      <c r="O129" s="144"/>
      <c r="AV129" s="69"/>
    </row>
    <row r="130" spans="8:48" s="70" customFormat="1" x14ac:dyDescent="0.3">
      <c r="H130" s="298"/>
      <c r="K130" s="142"/>
      <c r="L130" s="142"/>
      <c r="M130" s="142"/>
      <c r="N130" s="144"/>
      <c r="O130" s="144"/>
      <c r="AV130" s="69"/>
    </row>
    <row r="131" spans="8:48" s="70" customFormat="1" x14ac:dyDescent="0.3">
      <c r="H131" s="298"/>
      <c r="K131" s="142"/>
      <c r="L131" s="142"/>
      <c r="M131" s="142"/>
      <c r="N131" s="144"/>
      <c r="O131" s="144"/>
      <c r="AV131" s="69"/>
    </row>
    <row r="132" spans="8:48" s="70" customFormat="1" x14ac:dyDescent="0.3">
      <c r="H132" s="298"/>
      <c r="K132" s="142"/>
      <c r="L132" s="142"/>
      <c r="M132" s="142"/>
      <c r="N132" s="144"/>
      <c r="O132" s="144"/>
      <c r="AV132" s="69"/>
    </row>
    <row r="133" spans="8:48" s="70" customFormat="1" x14ac:dyDescent="0.3">
      <c r="H133" s="298"/>
      <c r="K133" s="142"/>
      <c r="L133" s="142"/>
      <c r="M133" s="142"/>
      <c r="N133" s="144"/>
      <c r="O133" s="144"/>
      <c r="AV133" s="69"/>
    </row>
    <row r="134" spans="8:48" s="70" customFormat="1" x14ac:dyDescent="0.3">
      <c r="H134" s="298"/>
      <c r="K134" s="142"/>
      <c r="L134" s="142"/>
      <c r="M134" s="142"/>
      <c r="N134" s="144"/>
      <c r="O134" s="144"/>
      <c r="AV134" s="69"/>
    </row>
    <row r="135" spans="8:48" s="70" customFormat="1" x14ac:dyDescent="0.3">
      <c r="H135" s="298"/>
      <c r="K135" s="142"/>
      <c r="L135" s="142"/>
      <c r="M135" s="142"/>
      <c r="N135" s="144"/>
      <c r="O135" s="144"/>
      <c r="AV135" s="69"/>
    </row>
    <row r="136" spans="8:48" s="70" customFormat="1" x14ac:dyDescent="0.3">
      <c r="H136" s="298"/>
      <c r="K136" s="142"/>
      <c r="L136" s="142"/>
      <c r="M136" s="142"/>
      <c r="N136" s="144"/>
      <c r="O136" s="144"/>
      <c r="AV136" s="69"/>
    </row>
    <row r="137" spans="8:48" s="70" customFormat="1" x14ac:dyDescent="0.3">
      <c r="H137" s="298"/>
      <c r="K137" s="142"/>
      <c r="L137" s="142"/>
      <c r="M137" s="142"/>
      <c r="N137" s="144"/>
      <c r="O137" s="144"/>
      <c r="AV137" s="69"/>
    </row>
    <row r="138" spans="8:48" s="70" customFormat="1" x14ac:dyDescent="0.3">
      <c r="H138" s="298"/>
      <c r="K138" s="142"/>
      <c r="L138" s="142"/>
      <c r="M138" s="142"/>
      <c r="N138" s="144"/>
      <c r="O138" s="144"/>
      <c r="AV138" s="69"/>
    </row>
    <row r="139" spans="8:48" s="70" customFormat="1" x14ac:dyDescent="0.3">
      <c r="H139" s="298"/>
      <c r="K139" s="142"/>
      <c r="L139" s="142"/>
      <c r="M139" s="142"/>
      <c r="N139" s="144"/>
      <c r="O139" s="144"/>
      <c r="AV139" s="69"/>
    </row>
    <row r="140" spans="8:48" s="70" customFormat="1" x14ac:dyDescent="0.3">
      <c r="H140" s="298"/>
      <c r="K140" s="142"/>
      <c r="L140" s="142"/>
      <c r="M140" s="142"/>
      <c r="N140" s="144"/>
      <c r="O140" s="144"/>
      <c r="AV140" s="69"/>
    </row>
    <row r="141" spans="8:48" s="70" customFormat="1" x14ac:dyDescent="0.3">
      <c r="H141" s="298"/>
      <c r="K141" s="142"/>
      <c r="L141" s="142"/>
      <c r="M141" s="142"/>
      <c r="N141" s="144"/>
      <c r="O141" s="144"/>
      <c r="AV141" s="69"/>
    </row>
    <row r="142" spans="8:48" s="70" customFormat="1" x14ac:dyDescent="0.3">
      <c r="H142" s="298"/>
      <c r="K142" s="142"/>
      <c r="L142" s="142"/>
      <c r="M142" s="142"/>
      <c r="N142" s="144"/>
      <c r="O142" s="144"/>
      <c r="AV142" s="69"/>
    </row>
    <row r="143" spans="8:48" s="70" customFormat="1" x14ac:dyDescent="0.3">
      <c r="H143" s="298"/>
      <c r="K143" s="142"/>
      <c r="L143" s="142"/>
      <c r="M143" s="142"/>
      <c r="N143" s="144"/>
      <c r="O143" s="144"/>
      <c r="AV143" s="69"/>
    </row>
    <row r="144" spans="8:48" s="70" customFormat="1" x14ac:dyDescent="0.3">
      <c r="H144" s="298"/>
      <c r="K144" s="142"/>
      <c r="L144" s="142"/>
      <c r="M144" s="142"/>
      <c r="N144" s="144"/>
      <c r="O144" s="144"/>
      <c r="AV144" s="69"/>
    </row>
    <row r="145" spans="8:48" s="70" customFormat="1" x14ac:dyDescent="0.3">
      <c r="H145" s="298"/>
      <c r="K145" s="142"/>
      <c r="L145" s="142"/>
      <c r="M145" s="142"/>
      <c r="N145" s="144"/>
      <c r="O145" s="144"/>
      <c r="AV145" s="69"/>
    </row>
    <row r="146" spans="8:48" s="70" customFormat="1" x14ac:dyDescent="0.3">
      <c r="H146" s="298"/>
      <c r="K146" s="142"/>
      <c r="L146" s="142"/>
      <c r="M146" s="142"/>
      <c r="N146" s="144"/>
      <c r="O146" s="144"/>
      <c r="AV146" s="69"/>
    </row>
    <row r="147" spans="8:48" s="70" customFormat="1" x14ac:dyDescent="0.3">
      <c r="H147" s="298"/>
      <c r="K147" s="142"/>
      <c r="L147" s="142"/>
      <c r="M147" s="142"/>
      <c r="N147" s="144"/>
      <c r="O147" s="144"/>
      <c r="AV147" s="69"/>
    </row>
    <row r="148" spans="8:48" s="70" customFormat="1" x14ac:dyDescent="0.3">
      <c r="H148" s="298"/>
      <c r="K148" s="142"/>
      <c r="L148" s="142"/>
      <c r="M148" s="142"/>
      <c r="N148" s="144"/>
      <c r="O148" s="144"/>
      <c r="AV148" s="69"/>
    </row>
    <row r="149" spans="8:48" s="70" customFormat="1" x14ac:dyDescent="0.3">
      <c r="H149" s="298"/>
      <c r="K149" s="142"/>
      <c r="L149" s="142"/>
      <c r="M149" s="142"/>
      <c r="N149" s="144"/>
      <c r="O149" s="144"/>
      <c r="AV149" s="69"/>
    </row>
    <row r="150" spans="8:48" s="70" customFormat="1" x14ac:dyDescent="0.3">
      <c r="H150" s="298"/>
      <c r="K150" s="142"/>
      <c r="L150" s="142"/>
      <c r="M150" s="142"/>
      <c r="N150" s="144"/>
      <c r="O150" s="144"/>
      <c r="AV150" s="69"/>
    </row>
    <row r="151" spans="8:48" s="70" customFormat="1" x14ac:dyDescent="0.3">
      <c r="H151" s="298"/>
      <c r="K151" s="142"/>
      <c r="L151" s="142"/>
      <c r="M151" s="142"/>
      <c r="N151" s="144"/>
      <c r="O151" s="144"/>
      <c r="AV151" s="69"/>
    </row>
    <row r="152" spans="8:48" s="70" customFormat="1" x14ac:dyDescent="0.3">
      <c r="H152" s="298"/>
      <c r="K152" s="142"/>
      <c r="L152" s="142"/>
      <c r="M152" s="142"/>
      <c r="N152" s="144"/>
      <c r="O152" s="144"/>
      <c r="AV152" s="69"/>
    </row>
    <row r="153" spans="8:48" s="70" customFormat="1" x14ac:dyDescent="0.3">
      <c r="H153" s="298"/>
      <c r="K153" s="142"/>
      <c r="L153" s="142"/>
      <c r="M153" s="142"/>
      <c r="N153" s="144"/>
      <c r="O153" s="144"/>
      <c r="AV153" s="69"/>
    </row>
    <row r="154" spans="8:48" s="70" customFormat="1" x14ac:dyDescent="0.3">
      <c r="H154" s="298"/>
      <c r="K154" s="142"/>
      <c r="L154" s="142"/>
      <c r="M154" s="142"/>
      <c r="N154" s="144"/>
      <c r="O154" s="144"/>
      <c r="AV154" s="69"/>
    </row>
    <row r="155" spans="8:48" s="70" customFormat="1" x14ac:dyDescent="0.3">
      <c r="H155" s="298"/>
      <c r="K155" s="142"/>
      <c r="L155" s="142"/>
      <c r="M155" s="142"/>
      <c r="N155" s="144"/>
      <c r="O155" s="144"/>
      <c r="AV155" s="69"/>
    </row>
    <row r="156" spans="8:48" s="70" customFormat="1" x14ac:dyDescent="0.3">
      <c r="H156" s="298"/>
      <c r="K156" s="142"/>
      <c r="L156" s="142"/>
      <c r="M156" s="142"/>
      <c r="N156" s="144"/>
      <c r="O156" s="144"/>
      <c r="AV156" s="69"/>
    </row>
    <row r="157" spans="8:48" s="70" customFormat="1" x14ac:dyDescent="0.3">
      <c r="H157" s="298"/>
      <c r="K157" s="142"/>
      <c r="L157" s="142"/>
      <c r="M157" s="142"/>
      <c r="N157" s="144"/>
      <c r="O157" s="144"/>
      <c r="AV157" s="69"/>
    </row>
    <row r="158" spans="8:48" s="70" customFormat="1" x14ac:dyDescent="0.3">
      <c r="H158" s="298"/>
      <c r="K158" s="142"/>
      <c r="L158" s="142"/>
      <c r="M158" s="142"/>
      <c r="N158" s="144"/>
      <c r="O158" s="144"/>
      <c r="AV158" s="69"/>
    </row>
    <row r="159" spans="8:48" s="70" customFormat="1" x14ac:dyDescent="0.3">
      <c r="H159" s="298"/>
      <c r="K159" s="142"/>
      <c r="L159" s="142"/>
      <c r="M159" s="142"/>
      <c r="N159" s="144"/>
      <c r="O159" s="144"/>
      <c r="AV159" s="69"/>
    </row>
    <row r="160" spans="8:48" s="70" customFormat="1" x14ac:dyDescent="0.3">
      <c r="H160" s="298"/>
      <c r="K160" s="142"/>
      <c r="L160" s="142"/>
      <c r="M160" s="142"/>
      <c r="N160" s="144"/>
      <c r="O160" s="144"/>
      <c r="AV160" s="69"/>
    </row>
    <row r="161" spans="1:49" s="70" customFormat="1" x14ac:dyDescent="0.3">
      <c r="H161" s="298"/>
      <c r="K161" s="142"/>
      <c r="L161" s="142"/>
      <c r="M161" s="142"/>
      <c r="N161" s="144"/>
      <c r="O161" s="144"/>
      <c r="AV161" s="69"/>
    </row>
    <row r="162" spans="1:49" s="70" customFormat="1" x14ac:dyDescent="0.3">
      <c r="H162" s="298"/>
      <c r="K162" s="142"/>
      <c r="L162" s="142"/>
      <c r="M162" s="142"/>
      <c r="N162" s="144"/>
      <c r="O162" s="144"/>
      <c r="AV162" s="69"/>
    </row>
    <row r="163" spans="1:49" s="70" customFormat="1" x14ac:dyDescent="0.3">
      <c r="H163" s="298"/>
      <c r="K163" s="142"/>
      <c r="L163" s="142"/>
      <c r="M163" s="142"/>
      <c r="N163" s="144"/>
      <c r="O163" s="144"/>
      <c r="AV163" s="69"/>
    </row>
    <row r="164" spans="1:49" s="70" customFormat="1" x14ac:dyDescent="0.3">
      <c r="H164" s="298"/>
      <c r="K164" s="142"/>
      <c r="L164" s="142"/>
      <c r="M164" s="142"/>
      <c r="N164" s="144"/>
      <c r="O164" s="144"/>
      <c r="AV164" s="69"/>
    </row>
    <row r="165" spans="1:49" s="70" customFormat="1" x14ac:dyDescent="0.3">
      <c r="H165" s="298"/>
      <c r="K165" s="142"/>
      <c r="L165" s="142"/>
      <c r="M165" s="142"/>
      <c r="N165" s="144"/>
      <c r="O165" s="144"/>
      <c r="AV165" s="69"/>
    </row>
    <row r="166" spans="1:49" s="70" customFormat="1" x14ac:dyDescent="0.3">
      <c r="H166" s="298"/>
      <c r="K166" s="142"/>
      <c r="L166" s="142"/>
      <c r="M166" s="142"/>
      <c r="N166" s="144"/>
      <c r="O166" s="144"/>
      <c r="AV166" s="69"/>
    </row>
    <row r="167" spans="1:49" s="70" customFormat="1" x14ac:dyDescent="0.3">
      <c r="H167" s="298"/>
      <c r="K167" s="142"/>
      <c r="L167" s="142"/>
      <c r="M167" s="142"/>
      <c r="N167" s="144"/>
      <c r="O167" s="144"/>
      <c r="AV167" s="69"/>
    </row>
    <row r="168" spans="1:49" s="70" customFormat="1" x14ac:dyDescent="0.3">
      <c r="H168" s="298"/>
      <c r="K168" s="142"/>
      <c r="L168" s="142"/>
      <c r="M168" s="142"/>
      <c r="N168" s="144"/>
      <c r="O168" s="144"/>
      <c r="AV168" s="69"/>
    </row>
    <row r="169" spans="1:49" s="70" customFormat="1" x14ac:dyDescent="0.3">
      <c r="H169" s="298"/>
      <c r="K169" s="142"/>
      <c r="L169" s="142"/>
      <c r="M169" s="142"/>
      <c r="N169" s="144"/>
      <c r="O169" s="144"/>
      <c r="AV169" s="69"/>
    </row>
    <row r="170" spans="1:49" s="70" customFormat="1" x14ac:dyDescent="0.3">
      <c r="H170" s="298"/>
      <c r="K170" s="142"/>
      <c r="L170" s="142"/>
      <c r="M170" s="142"/>
      <c r="N170" s="144"/>
      <c r="O170" s="144"/>
      <c r="AV170" s="69"/>
    </row>
    <row r="171" spans="1:49" s="70" customFormat="1" x14ac:dyDescent="0.3">
      <c r="H171" s="298"/>
      <c r="K171" s="142"/>
      <c r="L171" s="142"/>
      <c r="M171" s="142"/>
      <c r="N171" s="144"/>
      <c r="O171" s="144"/>
      <c r="AV171" s="69"/>
    </row>
    <row r="172" spans="1:49" s="145" customFormat="1" x14ac:dyDescent="0.3">
      <c r="A172" s="70"/>
      <c r="B172" s="70"/>
      <c r="C172" s="70"/>
      <c r="D172" s="70"/>
      <c r="E172" s="70"/>
      <c r="F172" s="70"/>
      <c r="G172" s="70"/>
      <c r="H172" s="298"/>
      <c r="I172" s="70"/>
      <c r="J172" s="70"/>
      <c r="K172" s="142"/>
      <c r="L172" s="142"/>
      <c r="M172" s="142"/>
      <c r="N172" s="144"/>
      <c r="O172" s="144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69"/>
      <c r="AW172" s="70"/>
    </row>
    <row r="173" spans="1:49" s="145" customFormat="1" x14ac:dyDescent="0.3">
      <c r="A173" s="70"/>
      <c r="B173" s="70"/>
      <c r="C173" s="70"/>
      <c r="D173" s="70"/>
      <c r="E173" s="70"/>
      <c r="F173" s="70"/>
      <c r="G173" s="70"/>
      <c r="H173" s="298"/>
      <c r="I173" s="70"/>
      <c r="J173" s="70"/>
      <c r="K173" s="142"/>
      <c r="L173" s="142"/>
      <c r="M173" s="142"/>
      <c r="N173" s="144"/>
      <c r="O173" s="144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69"/>
      <c r="AW173" s="70"/>
    </row>
    <row r="174" spans="1:49" s="145" customFormat="1" x14ac:dyDescent="0.3">
      <c r="A174" s="70"/>
      <c r="B174" s="70"/>
      <c r="C174" s="70"/>
      <c r="D174" s="70"/>
      <c r="E174" s="70"/>
      <c r="F174" s="70"/>
      <c r="G174" s="70"/>
      <c r="H174" s="298"/>
      <c r="I174" s="70"/>
      <c r="J174" s="70"/>
      <c r="K174" s="142"/>
      <c r="L174" s="142"/>
      <c r="M174" s="142"/>
      <c r="N174" s="144"/>
      <c r="O174" s="144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69"/>
      <c r="AW174" s="70"/>
    </row>
    <row r="175" spans="1:49" s="145" customFormat="1" x14ac:dyDescent="0.3">
      <c r="A175" s="70"/>
      <c r="B175" s="70"/>
      <c r="C175" s="70"/>
      <c r="D175" s="70"/>
      <c r="E175" s="70"/>
      <c r="F175" s="70"/>
      <c r="G175" s="70"/>
      <c r="H175" s="298"/>
      <c r="I175" s="70"/>
      <c r="J175" s="70"/>
      <c r="K175" s="142"/>
      <c r="L175" s="142"/>
      <c r="M175" s="142"/>
      <c r="N175" s="144"/>
      <c r="O175" s="144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69"/>
      <c r="AW175" s="70"/>
    </row>
    <row r="176" spans="1:49" s="145" customFormat="1" x14ac:dyDescent="0.3">
      <c r="A176" s="70"/>
      <c r="B176" s="70"/>
      <c r="C176" s="70"/>
      <c r="D176" s="70"/>
      <c r="E176" s="70"/>
      <c r="F176" s="70"/>
      <c r="G176" s="70"/>
      <c r="H176" s="298"/>
      <c r="I176" s="70"/>
      <c r="J176" s="70"/>
      <c r="K176" s="142"/>
      <c r="L176" s="142"/>
      <c r="M176" s="142"/>
      <c r="N176" s="144"/>
      <c r="O176" s="144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69"/>
      <c r="AW176" s="70"/>
    </row>
    <row r="177" spans="1:49" s="145" customFormat="1" x14ac:dyDescent="0.3">
      <c r="A177" s="70"/>
      <c r="B177" s="70"/>
      <c r="C177" s="70"/>
      <c r="D177" s="70"/>
      <c r="E177" s="70"/>
      <c r="F177" s="70"/>
      <c r="G177" s="70"/>
      <c r="H177" s="298"/>
      <c r="I177" s="70"/>
      <c r="J177" s="70"/>
      <c r="K177" s="142"/>
      <c r="L177" s="142"/>
      <c r="M177" s="142"/>
      <c r="N177" s="144"/>
      <c r="O177" s="144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69"/>
      <c r="AW177" s="70"/>
    </row>
    <row r="178" spans="1:49" s="145" customFormat="1" x14ac:dyDescent="0.3">
      <c r="A178" s="70"/>
      <c r="B178" s="70"/>
      <c r="C178" s="70"/>
      <c r="D178" s="70"/>
      <c r="E178" s="70"/>
      <c r="F178" s="70"/>
      <c r="G178" s="70"/>
      <c r="H178" s="298"/>
      <c r="I178" s="70"/>
      <c r="J178" s="70"/>
      <c r="K178" s="142"/>
      <c r="L178" s="142"/>
      <c r="M178" s="142"/>
      <c r="N178" s="144"/>
      <c r="O178" s="144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69"/>
      <c r="AW178" s="70"/>
    </row>
    <row r="179" spans="1:49" s="145" customFormat="1" x14ac:dyDescent="0.3">
      <c r="A179" s="70"/>
      <c r="B179" s="70"/>
      <c r="C179" s="70"/>
      <c r="D179" s="70"/>
      <c r="E179" s="70"/>
      <c r="F179" s="70"/>
      <c r="G179" s="70"/>
      <c r="H179" s="298"/>
      <c r="I179" s="70"/>
      <c r="J179" s="70"/>
      <c r="K179" s="142"/>
      <c r="L179" s="142"/>
      <c r="M179" s="142"/>
      <c r="N179" s="147"/>
      <c r="O179" s="144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69"/>
      <c r="AW179" s="70"/>
    </row>
    <row r="180" spans="1:49" s="145" customFormat="1" x14ac:dyDescent="0.3">
      <c r="A180" s="70"/>
      <c r="B180" s="70"/>
      <c r="C180" s="70"/>
      <c r="D180" s="70"/>
      <c r="E180" s="70"/>
      <c r="F180" s="70"/>
      <c r="G180" s="70"/>
      <c r="H180" s="298"/>
      <c r="I180" s="70"/>
      <c r="J180" s="70"/>
      <c r="K180" s="142"/>
      <c r="L180" s="142"/>
      <c r="M180" s="142"/>
      <c r="N180" s="147"/>
      <c r="O180" s="144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69"/>
      <c r="AW180" s="70"/>
    </row>
    <row r="181" spans="1:49" s="145" customFormat="1" x14ac:dyDescent="0.3">
      <c r="A181" s="70"/>
      <c r="B181" s="70"/>
      <c r="C181" s="70"/>
      <c r="D181" s="70"/>
      <c r="E181" s="70"/>
      <c r="F181" s="70"/>
      <c r="G181" s="70"/>
      <c r="H181" s="298"/>
      <c r="I181" s="70"/>
      <c r="J181" s="70"/>
      <c r="K181" s="142"/>
      <c r="L181" s="142"/>
      <c r="M181" s="142"/>
      <c r="N181" s="147"/>
      <c r="O181" s="144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69"/>
      <c r="AW181" s="70"/>
    </row>
    <row r="182" spans="1:49" s="145" customFormat="1" x14ac:dyDescent="0.3">
      <c r="A182" s="70"/>
      <c r="B182" s="70"/>
      <c r="C182" s="70"/>
      <c r="D182" s="70"/>
      <c r="E182" s="70"/>
      <c r="F182" s="70"/>
      <c r="G182" s="70"/>
      <c r="H182" s="298"/>
      <c r="I182" s="70"/>
      <c r="J182" s="70"/>
      <c r="K182" s="142"/>
      <c r="L182" s="142"/>
      <c r="M182" s="142"/>
      <c r="N182" s="147"/>
      <c r="O182" s="144"/>
      <c r="P182" s="149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69"/>
      <c r="AW182" s="70"/>
    </row>
    <row r="183" spans="1:49" s="145" customFormat="1" x14ac:dyDescent="0.3">
      <c r="A183" s="70"/>
      <c r="B183" s="70"/>
      <c r="C183" s="70"/>
      <c r="D183" s="70"/>
      <c r="E183" s="70"/>
      <c r="F183" s="70"/>
      <c r="G183" s="70"/>
      <c r="H183" s="298"/>
      <c r="I183" s="70"/>
      <c r="J183" s="70"/>
      <c r="K183" s="142"/>
      <c r="L183" s="142"/>
      <c r="M183" s="142"/>
      <c r="N183" s="147"/>
      <c r="O183" s="144"/>
      <c r="P183" s="149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69"/>
      <c r="AW183" s="70"/>
    </row>
    <row r="184" spans="1:49" s="145" customFormat="1" x14ac:dyDescent="0.3">
      <c r="A184" s="70"/>
      <c r="B184" s="70"/>
      <c r="C184" s="70"/>
      <c r="D184" s="70"/>
      <c r="E184" s="70"/>
      <c r="F184" s="70"/>
      <c r="G184" s="70"/>
      <c r="H184" s="298"/>
      <c r="I184" s="70"/>
      <c r="J184" s="70"/>
      <c r="K184" s="146"/>
      <c r="L184" s="146"/>
      <c r="M184" s="146"/>
      <c r="N184" s="147"/>
      <c r="O184" s="147"/>
      <c r="P184" s="149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69"/>
      <c r="AW184" s="70"/>
    </row>
    <row r="185" spans="1:49" s="145" customFormat="1" x14ac:dyDescent="0.3">
      <c r="A185" s="70"/>
      <c r="B185" s="70"/>
      <c r="C185" s="70"/>
      <c r="D185" s="70"/>
      <c r="E185" s="70"/>
      <c r="F185" s="70"/>
      <c r="G185" s="70"/>
      <c r="H185" s="298"/>
      <c r="I185" s="70"/>
      <c r="J185" s="70"/>
      <c r="K185" s="146"/>
      <c r="L185" s="146"/>
      <c r="M185" s="146"/>
      <c r="N185" s="147"/>
      <c r="O185" s="147"/>
      <c r="P185" s="149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69"/>
      <c r="AW185" s="70"/>
    </row>
    <row r="186" spans="1:49" s="145" customFormat="1" x14ac:dyDescent="0.3">
      <c r="A186" s="70"/>
      <c r="B186" s="70"/>
      <c r="C186" s="70"/>
      <c r="D186" s="70"/>
      <c r="E186" s="70"/>
      <c r="F186" s="70"/>
      <c r="G186" s="70"/>
      <c r="H186" s="298"/>
      <c r="I186" s="70"/>
      <c r="J186" s="70"/>
      <c r="K186" s="146"/>
      <c r="L186" s="146"/>
      <c r="M186" s="146"/>
      <c r="N186" s="147"/>
      <c r="O186" s="147"/>
      <c r="P186" s="149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69"/>
      <c r="AW186" s="70"/>
    </row>
    <row r="187" spans="1:49" s="145" customFormat="1" x14ac:dyDescent="0.3">
      <c r="A187" s="70"/>
      <c r="B187" s="70"/>
      <c r="C187" s="70"/>
      <c r="D187" s="70"/>
      <c r="E187" s="70"/>
      <c r="F187" s="70"/>
      <c r="G187" s="70"/>
      <c r="H187" s="298"/>
      <c r="I187" s="70"/>
      <c r="J187" s="70"/>
      <c r="K187" s="146"/>
      <c r="L187" s="146"/>
      <c r="M187" s="146"/>
      <c r="N187" s="147"/>
      <c r="O187" s="147"/>
      <c r="P187" s="149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69"/>
      <c r="AW187" s="70"/>
    </row>
    <row r="188" spans="1:49" s="145" customFormat="1" x14ac:dyDescent="0.3">
      <c r="A188" s="70"/>
      <c r="B188" s="70"/>
      <c r="C188" s="70"/>
      <c r="D188" s="70"/>
      <c r="E188" s="70"/>
      <c r="F188" s="70"/>
      <c r="G188" s="70"/>
      <c r="H188" s="298"/>
      <c r="I188" s="70"/>
      <c r="J188" s="70"/>
      <c r="K188" s="146"/>
      <c r="L188" s="146"/>
      <c r="M188" s="146"/>
      <c r="N188" s="147"/>
      <c r="O188" s="147"/>
      <c r="P188" s="149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69"/>
      <c r="AW188" s="70"/>
    </row>
    <row r="189" spans="1:49" x14ac:dyDescent="0.3">
      <c r="A189" s="70"/>
      <c r="B189" s="70"/>
      <c r="C189" s="70"/>
      <c r="D189" s="70"/>
      <c r="E189" s="70"/>
      <c r="F189" s="70"/>
      <c r="G189" s="70"/>
      <c r="H189" s="298"/>
      <c r="I189" s="70"/>
      <c r="J189" s="70"/>
      <c r="K189" s="146"/>
      <c r="L189" s="146"/>
      <c r="M189" s="146"/>
      <c r="N189" s="147"/>
      <c r="O189" s="147"/>
      <c r="P189" s="149"/>
      <c r="AV189" s="148"/>
      <c r="AW189" s="148"/>
    </row>
    <row r="190" spans="1:49" x14ac:dyDescent="0.3">
      <c r="A190" s="70"/>
      <c r="B190" s="70"/>
      <c r="C190" s="70"/>
      <c r="D190" s="70"/>
      <c r="E190" s="70"/>
      <c r="F190" s="70"/>
      <c r="G190" s="70"/>
      <c r="H190" s="298"/>
      <c r="I190" s="70"/>
      <c r="J190" s="70"/>
      <c r="K190" s="146"/>
      <c r="L190" s="146"/>
      <c r="M190" s="146"/>
      <c r="N190" s="147"/>
      <c r="O190" s="147"/>
      <c r="P190" s="149"/>
      <c r="AV190" s="148"/>
      <c r="AW190" s="148"/>
    </row>
    <row r="191" spans="1:49" x14ac:dyDescent="0.3">
      <c r="A191" s="70"/>
      <c r="B191" s="70"/>
      <c r="C191" s="70"/>
      <c r="D191" s="70"/>
      <c r="E191" s="70"/>
      <c r="F191" s="70"/>
      <c r="G191" s="70"/>
      <c r="H191" s="298"/>
      <c r="I191" s="70"/>
      <c r="J191" s="70"/>
      <c r="K191" s="146"/>
      <c r="L191" s="146"/>
      <c r="M191" s="146"/>
      <c r="N191" s="147"/>
      <c r="O191" s="147"/>
      <c r="P191" s="149"/>
      <c r="AV191" s="148"/>
      <c r="AW191" s="148"/>
    </row>
    <row r="192" spans="1:49" x14ac:dyDescent="0.3">
      <c r="A192" s="149"/>
      <c r="B192" s="149"/>
      <c r="C192" s="149"/>
      <c r="D192" s="149"/>
      <c r="E192" s="149"/>
      <c r="F192" s="70"/>
      <c r="G192" s="70"/>
      <c r="H192" s="298"/>
      <c r="I192" s="70"/>
      <c r="J192" s="70"/>
      <c r="K192" s="146"/>
      <c r="L192" s="146"/>
      <c r="M192" s="146"/>
      <c r="N192" s="147"/>
      <c r="O192" s="147"/>
      <c r="P192" s="149"/>
      <c r="AV192" s="148"/>
      <c r="AW192" s="148"/>
    </row>
    <row r="193" spans="1:49" x14ac:dyDescent="0.3">
      <c r="A193" s="149"/>
      <c r="B193" s="149"/>
      <c r="C193" s="149"/>
      <c r="D193" s="149"/>
      <c r="E193" s="149"/>
      <c r="F193" s="149"/>
      <c r="G193" s="149"/>
      <c r="H193" s="299"/>
      <c r="I193" s="70"/>
      <c r="J193" s="70"/>
      <c r="K193" s="146"/>
      <c r="L193" s="146"/>
      <c r="M193" s="146"/>
      <c r="N193" s="147"/>
      <c r="O193" s="147"/>
      <c r="P193" s="149"/>
      <c r="AV193" s="148"/>
      <c r="AW193" s="148"/>
    </row>
    <row r="194" spans="1:49" x14ac:dyDescent="0.3">
      <c r="A194" s="149"/>
      <c r="B194" s="149"/>
      <c r="C194" s="149"/>
      <c r="D194" s="149"/>
      <c r="E194" s="149"/>
      <c r="F194" s="149"/>
      <c r="G194" s="149"/>
      <c r="H194" s="299"/>
      <c r="I194" s="149"/>
      <c r="J194" s="149"/>
      <c r="K194" s="146"/>
      <c r="L194" s="146"/>
      <c r="M194" s="146"/>
      <c r="N194" s="147"/>
      <c r="O194" s="147"/>
      <c r="AV194" s="148"/>
      <c r="AW194" s="148"/>
    </row>
    <row r="195" spans="1:49" x14ac:dyDescent="0.3">
      <c r="A195" s="149"/>
      <c r="B195" s="149"/>
      <c r="C195" s="149"/>
      <c r="D195" s="149"/>
      <c r="E195" s="149"/>
      <c r="F195" s="149"/>
      <c r="G195" s="149"/>
      <c r="H195" s="299"/>
      <c r="I195" s="149"/>
      <c r="J195" s="149"/>
      <c r="K195" s="146"/>
      <c r="L195" s="146"/>
      <c r="M195" s="146"/>
      <c r="N195" s="147"/>
      <c r="O195" s="147"/>
      <c r="AV195" s="148"/>
      <c r="AW195" s="148"/>
    </row>
    <row r="196" spans="1:49" x14ac:dyDescent="0.3">
      <c r="A196" s="149"/>
      <c r="B196" s="149"/>
      <c r="C196" s="149"/>
      <c r="D196" s="149"/>
      <c r="E196" s="149"/>
      <c r="F196" s="149"/>
      <c r="G196" s="149"/>
      <c r="H196" s="299"/>
      <c r="I196" s="149"/>
      <c r="J196" s="149"/>
      <c r="K196" s="146"/>
      <c r="L196" s="146"/>
      <c r="M196" s="146"/>
      <c r="O196" s="147"/>
      <c r="AV196" s="148"/>
      <c r="AW196" s="148"/>
    </row>
    <row r="197" spans="1:49" x14ac:dyDescent="0.3">
      <c r="A197" s="149"/>
      <c r="B197" s="149"/>
      <c r="C197" s="149"/>
      <c r="D197" s="149"/>
      <c r="E197" s="149"/>
      <c r="F197" s="149"/>
      <c r="G197" s="149"/>
      <c r="H197" s="299"/>
      <c r="I197" s="149"/>
      <c r="J197" s="149"/>
      <c r="K197" s="146"/>
      <c r="L197" s="146"/>
      <c r="M197" s="146"/>
      <c r="O197" s="147"/>
      <c r="AV197" s="148"/>
      <c r="AW197" s="148"/>
    </row>
    <row r="198" spans="1:49" x14ac:dyDescent="0.3">
      <c r="A198" s="149"/>
      <c r="B198" s="149"/>
      <c r="C198" s="149"/>
      <c r="D198" s="149"/>
      <c r="E198" s="149"/>
      <c r="F198" s="149"/>
      <c r="G198" s="149"/>
      <c r="H198" s="299"/>
      <c r="I198" s="149"/>
      <c r="J198" s="149"/>
      <c r="K198" s="146"/>
      <c r="L198" s="146"/>
      <c r="M198" s="146"/>
      <c r="O198" s="147"/>
      <c r="AV198" s="148"/>
      <c r="AW198" s="148"/>
    </row>
    <row r="199" spans="1:49" x14ac:dyDescent="0.3">
      <c r="A199" s="149"/>
      <c r="B199" s="149"/>
      <c r="C199" s="149"/>
      <c r="D199" s="149"/>
      <c r="E199" s="149"/>
      <c r="F199" s="149"/>
      <c r="G199" s="149"/>
      <c r="H199" s="299"/>
      <c r="I199" s="149"/>
      <c r="J199" s="149"/>
      <c r="K199" s="146"/>
      <c r="L199" s="146"/>
      <c r="M199" s="146"/>
      <c r="O199" s="147"/>
      <c r="AV199" s="148"/>
      <c r="AW199" s="148"/>
    </row>
    <row r="200" spans="1:49" x14ac:dyDescent="0.3">
      <c r="A200" s="149"/>
      <c r="B200" s="149"/>
      <c r="C200" s="149"/>
      <c r="D200" s="149"/>
      <c r="E200" s="149"/>
      <c r="F200" s="149"/>
      <c r="G200" s="149"/>
      <c r="H200" s="299"/>
      <c r="I200" s="149"/>
      <c r="J200" s="149"/>
      <c r="K200" s="146"/>
      <c r="L200" s="146"/>
      <c r="M200" s="146"/>
      <c r="N200" s="148"/>
      <c r="O200" s="147"/>
      <c r="AV200" s="148"/>
      <c r="AW200" s="148"/>
    </row>
    <row r="201" spans="1:49" x14ac:dyDescent="0.3">
      <c r="A201" s="149"/>
      <c r="B201" s="149"/>
      <c r="C201" s="149"/>
      <c r="D201" s="149"/>
      <c r="E201" s="149"/>
      <c r="F201" s="149"/>
      <c r="G201" s="149"/>
      <c r="H201" s="299"/>
      <c r="I201" s="149"/>
      <c r="J201" s="149"/>
    </row>
    <row r="202" spans="1:49" x14ac:dyDescent="0.3">
      <c r="A202" s="149"/>
      <c r="B202" s="149"/>
      <c r="C202" s="149"/>
      <c r="D202" s="149"/>
      <c r="E202" s="149"/>
      <c r="F202" s="149"/>
      <c r="G202" s="149"/>
      <c r="H202" s="299"/>
      <c r="I202" s="149"/>
      <c r="J202" s="14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  <c r="AP202" s="69"/>
      <c r="AQ202" s="69"/>
      <c r="AR202" s="69"/>
      <c r="AS202" s="69"/>
      <c r="AT202" s="69"/>
      <c r="AU202" s="69"/>
      <c r="AV202" s="148"/>
      <c r="AW202" s="148"/>
    </row>
    <row r="203" spans="1:49" x14ac:dyDescent="0.3">
      <c r="A203" s="149"/>
      <c r="B203" s="149"/>
      <c r="C203" s="149"/>
      <c r="D203" s="149"/>
      <c r="E203" s="149"/>
      <c r="F203" s="149"/>
      <c r="G203" s="149"/>
      <c r="H203" s="299"/>
      <c r="I203" s="149"/>
      <c r="J203" s="149"/>
    </row>
    <row r="204" spans="1:49" x14ac:dyDescent="0.3">
      <c r="A204" s="149"/>
      <c r="B204" s="149"/>
      <c r="C204" s="149"/>
      <c r="D204" s="149"/>
      <c r="E204" s="149"/>
      <c r="F204" s="149"/>
      <c r="G204" s="149"/>
      <c r="H204" s="299"/>
      <c r="I204" s="149"/>
      <c r="J204" s="149"/>
    </row>
    <row r="205" spans="1:49" x14ac:dyDescent="0.3">
      <c r="A205" s="149"/>
      <c r="B205" s="149"/>
      <c r="C205" s="149"/>
      <c r="D205" s="149"/>
      <c r="E205" s="149"/>
      <c r="F205" s="149"/>
      <c r="G205" s="149"/>
      <c r="H205" s="299"/>
      <c r="I205" s="149"/>
      <c r="J205" s="149"/>
    </row>
    <row r="206" spans="1:49" x14ac:dyDescent="0.3">
      <c r="A206" s="149"/>
      <c r="B206" s="149"/>
      <c r="C206" s="149"/>
      <c r="D206" s="149"/>
      <c r="E206" s="149"/>
      <c r="F206" s="149"/>
      <c r="G206" s="149"/>
      <c r="H206" s="299"/>
      <c r="I206" s="149"/>
      <c r="J206" s="149"/>
    </row>
    <row r="207" spans="1:49" x14ac:dyDescent="0.3">
      <c r="A207" s="149"/>
      <c r="B207" s="149"/>
      <c r="C207" s="149"/>
      <c r="D207" s="149"/>
      <c r="E207" s="149"/>
      <c r="F207" s="149"/>
      <c r="G207" s="149"/>
      <c r="H207" s="299"/>
      <c r="I207" s="149"/>
      <c r="J207" s="149"/>
    </row>
    <row r="208" spans="1:49" x14ac:dyDescent="0.3">
      <c r="A208" s="149"/>
      <c r="B208" s="149"/>
      <c r="C208" s="149"/>
      <c r="D208" s="149"/>
      <c r="E208" s="149"/>
      <c r="F208" s="149"/>
      <c r="G208" s="149"/>
      <c r="H208" s="299"/>
      <c r="I208" s="149"/>
      <c r="J208" s="149"/>
    </row>
    <row r="209" spans="6:13" x14ac:dyDescent="0.3">
      <c r="F209" s="149"/>
      <c r="G209" s="149"/>
      <c r="H209" s="299"/>
      <c r="I209" s="149"/>
      <c r="J209" s="149"/>
    </row>
    <row r="210" spans="6:13" x14ac:dyDescent="0.3">
      <c r="I210" s="149"/>
      <c r="J210" s="149"/>
    </row>
    <row r="214" spans="6:13" x14ac:dyDescent="0.3">
      <c r="K214" s="148"/>
      <c r="L214" s="148"/>
      <c r="M214" s="148"/>
    </row>
    <row r="1048538" spans="16:16" x14ac:dyDescent="0.3">
      <c r="P1048538" s="57"/>
    </row>
    <row r="1048546" spans="1:60" s="70" customFormat="1" x14ac:dyDescent="0.3">
      <c r="A1048546" s="148"/>
      <c r="B1048546" s="148"/>
      <c r="C1048546" s="148"/>
      <c r="D1048546" s="148"/>
      <c r="E1048546" s="148"/>
      <c r="F1048546" s="148"/>
      <c r="G1048546" s="148"/>
      <c r="H1048546" s="297"/>
      <c r="I1048546" s="148"/>
      <c r="J1048546" s="148"/>
      <c r="K1048546" s="150"/>
      <c r="L1048546" s="150"/>
      <c r="M1048546" s="150"/>
      <c r="N1048546" s="150"/>
      <c r="O1048546" s="150"/>
      <c r="P1048546" s="148"/>
      <c r="AV1048546" s="69"/>
      <c r="AW1048546" s="69"/>
      <c r="AX1048546" s="148"/>
      <c r="AY1048546" s="148"/>
      <c r="AZ1048546" s="148"/>
      <c r="BA1048546" s="148"/>
      <c r="BB1048546" s="148"/>
      <c r="BC1048546" s="148"/>
      <c r="BD1048546" s="148"/>
      <c r="BE1048546" s="148"/>
      <c r="BF1048546" s="148"/>
      <c r="BG1048546" s="148"/>
      <c r="BH1048546" s="148"/>
    </row>
  </sheetData>
  <mergeCells count="45">
    <mergeCell ref="N74:O74"/>
    <mergeCell ref="N75:P75"/>
    <mergeCell ref="N76:O76"/>
    <mergeCell ref="N68:O68"/>
    <mergeCell ref="N69:O69"/>
    <mergeCell ref="N70:O70"/>
    <mergeCell ref="N71:O71"/>
    <mergeCell ref="N72:O72"/>
    <mergeCell ref="N73:O73"/>
    <mergeCell ref="N67:O67"/>
    <mergeCell ref="N55:P55"/>
    <mergeCell ref="N56:O56"/>
    <mergeCell ref="N57:O57"/>
    <mergeCell ref="N58:P59"/>
    <mergeCell ref="N60:P60"/>
    <mergeCell ref="N61:O61"/>
    <mergeCell ref="N62:O62"/>
    <mergeCell ref="N63:O63"/>
    <mergeCell ref="N64:O64"/>
    <mergeCell ref="N65:O65"/>
    <mergeCell ref="N66:O66"/>
    <mergeCell ref="A55:E55"/>
    <mergeCell ref="A43:P43"/>
    <mergeCell ref="E44:J44"/>
    <mergeCell ref="E45:J45"/>
    <mergeCell ref="E46:J46"/>
    <mergeCell ref="E47:J47"/>
    <mergeCell ref="E48:J48"/>
    <mergeCell ref="E49:J49"/>
    <mergeCell ref="E50:J50"/>
    <mergeCell ref="E51:J51"/>
    <mergeCell ref="E52:J52"/>
    <mergeCell ref="A53:J53"/>
    <mergeCell ref="A42:N42"/>
    <mergeCell ref="A1:P1"/>
    <mergeCell ref="A2:P2"/>
    <mergeCell ref="A6:B6"/>
    <mergeCell ref="A7:P7"/>
    <mergeCell ref="A36:B36"/>
    <mergeCell ref="A37:P37"/>
    <mergeCell ref="E38:J38"/>
    <mergeCell ref="E39:J39"/>
    <mergeCell ref="E40:J40"/>
    <mergeCell ref="A41:J41"/>
    <mergeCell ref="N41:P41"/>
  </mergeCells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89405-8AF3-48D6-92A1-91CEDA82D45D}">
  <dimension ref="A1:BH1048547"/>
  <sheetViews>
    <sheetView zoomScale="80" zoomScaleNormal="80" workbookViewId="0">
      <selection activeCell="G8" sqref="G8"/>
    </sheetView>
  </sheetViews>
  <sheetFormatPr defaultColWidth="9.109375" defaultRowHeight="13.8" x14ac:dyDescent="0.3"/>
  <cols>
    <col min="1" max="1" width="50.6640625" style="148" bestFit="1" customWidth="1"/>
    <col min="2" max="2" width="8.33203125" style="148" bestFit="1" customWidth="1"/>
    <col min="3" max="3" width="17.33203125" style="148" customWidth="1"/>
    <col min="4" max="4" width="17.109375" style="148" bestFit="1" customWidth="1"/>
    <col min="5" max="5" width="18.33203125" style="148" customWidth="1"/>
    <col min="6" max="6" width="17.109375" style="148" bestFit="1" customWidth="1"/>
    <col min="7" max="7" width="16" style="148" bestFit="1" customWidth="1"/>
    <col min="8" max="8" width="15.88671875" style="297" bestFit="1" customWidth="1"/>
    <col min="9" max="9" width="12.6640625" style="148" customWidth="1"/>
    <col min="10" max="10" width="15.77734375" style="148" customWidth="1"/>
    <col min="11" max="11" width="16.77734375" style="150" bestFit="1" customWidth="1"/>
    <col min="12" max="12" width="15.88671875" style="150" bestFit="1" customWidth="1"/>
    <col min="13" max="13" width="17.109375" style="150" bestFit="1" customWidth="1"/>
    <col min="14" max="14" width="111.33203125" style="150" customWidth="1"/>
    <col min="15" max="15" width="8.6640625" style="150" customWidth="1"/>
    <col min="16" max="16" width="16.77734375" style="148" bestFit="1" customWidth="1"/>
    <col min="17" max="18" width="13.109375" style="70" bestFit="1" customWidth="1"/>
    <col min="19" max="47" width="9.109375" style="70"/>
    <col min="48" max="49" width="9.109375" style="69"/>
    <col min="50" max="16384" width="9.109375" style="148"/>
  </cols>
  <sheetData>
    <row r="1" spans="1:42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</row>
    <row r="2" spans="1:42" s="10" customFormat="1" ht="28.5" customHeight="1" x14ac:dyDescent="0.3">
      <c r="A2" s="571" t="s">
        <v>1205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3"/>
    </row>
    <row r="3" spans="1:42" s="10" customFormat="1" ht="33.6" customHeight="1" x14ac:dyDescent="0.3">
      <c r="A3" s="83" t="s">
        <v>3</v>
      </c>
      <c r="B3" s="83" t="s">
        <v>0</v>
      </c>
      <c r="C3" s="83" t="s">
        <v>821</v>
      </c>
      <c r="D3" s="84" t="s">
        <v>1</v>
      </c>
      <c r="E3" s="84" t="s">
        <v>68</v>
      </c>
      <c r="F3" s="84" t="s">
        <v>69</v>
      </c>
      <c r="G3" s="85" t="s">
        <v>2</v>
      </c>
      <c r="H3" s="85" t="s">
        <v>592</v>
      </c>
      <c r="I3" s="84" t="s">
        <v>6</v>
      </c>
      <c r="J3" s="84" t="s">
        <v>7</v>
      </c>
      <c r="K3" s="84" t="s">
        <v>4</v>
      </c>
      <c r="L3" s="84" t="s">
        <v>5</v>
      </c>
      <c r="M3" s="84" t="s">
        <v>70</v>
      </c>
      <c r="N3" s="83" t="s">
        <v>59</v>
      </c>
      <c r="O3" s="86" t="s">
        <v>8</v>
      </c>
      <c r="P3" s="86" t="s">
        <v>10</v>
      </c>
    </row>
    <row r="4" spans="1:42" s="203" customFormat="1" ht="24.6" customHeight="1" x14ac:dyDescent="0.3">
      <c r="A4" s="348" t="s">
        <v>1210</v>
      </c>
      <c r="B4" s="358">
        <v>2</v>
      </c>
      <c r="C4" s="348" t="s">
        <v>822</v>
      </c>
      <c r="D4" s="196">
        <f>660</f>
        <v>660</v>
      </c>
      <c r="E4" s="196">
        <v>0</v>
      </c>
      <c r="F4" s="196">
        <f t="shared" ref="F4" si="0">D4-E4</f>
        <v>660</v>
      </c>
      <c r="G4" s="196">
        <f>50</f>
        <v>50</v>
      </c>
      <c r="H4" s="359">
        <f>(1665.9/27)</f>
        <v>61.7</v>
      </c>
      <c r="I4" s="359">
        <f>'[2]GERAL 2025'!I34</f>
        <v>1.3720449172576832</v>
      </c>
      <c r="J4" s="196">
        <v>0</v>
      </c>
      <c r="K4" s="349">
        <f>SUM(F4:J4)</f>
        <v>773.0720449172577</v>
      </c>
      <c r="L4" s="359">
        <f>60%*(D4+G4)</f>
        <v>426</v>
      </c>
      <c r="M4" s="359">
        <f>K4-L4</f>
        <v>347.0720449172577</v>
      </c>
      <c r="N4" s="348" t="s">
        <v>1231</v>
      </c>
      <c r="O4" s="197">
        <v>10</v>
      </c>
      <c r="P4" s="197">
        <v>11</v>
      </c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1"/>
      <c r="AM4" s="202"/>
      <c r="AN4" s="202"/>
      <c r="AO4" s="202"/>
      <c r="AP4" s="202"/>
    </row>
    <row r="5" spans="1:42" s="206" customFormat="1" ht="24.6" customHeight="1" x14ac:dyDescent="0.3">
      <c r="A5" s="195" t="s">
        <v>1214</v>
      </c>
      <c r="B5" s="348">
        <v>20</v>
      </c>
      <c r="C5" s="348" t="s">
        <v>822</v>
      </c>
      <c r="D5" s="196">
        <f>660</f>
        <v>660</v>
      </c>
      <c r="E5" s="359">
        <v>0</v>
      </c>
      <c r="F5" s="196">
        <f>D5-E5</f>
        <v>660</v>
      </c>
      <c r="G5" s="359">
        <f>50</f>
        <v>50</v>
      </c>
      <c r="H5" s="359">
        <f>(1665.9/27)</f>
        <v>61.7</v>
      </c>
      <c r="I5" s="359">
        <f>'[2]GERAL 2025'!I41</f>
        <v>1.3720449172576832</v>
      </c>
      <c r="J5" s="359">
        <v>0</v>
      </c>
      <c r="K5" s="349">
        <f>SUM(F5:J5)</f>
        <v>773.0720449172577</v>
      </c>
      <c r="L5" s="359">
        <f>60%*(D5+G5)</f>
        <v>426</v>
      </c>
      <c r="M5" s="359">
        <f>K5-L5</f>
        <v>347.0720449172577</v>
      </c>
      <c r="N5" s="348" t="s">
        <v>1231</v>
      </c>
      <c r="O5" s="197">
        <v>10</v>
      </c>
      <c r="P5" s="197">
        <v>11</v>
      </c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</row>
    <row r="6" spans="1:42" s="10" customFormat="1" ht="25.05" customHeight="1" x14ac:dyDescent="0.3">
      <c r="A6" s="518" t="s">
        <v>4</v>
      </c>
      <c r="B6" s="518"/>
      <c r="C6" s="351"/>
      <c r="D6" s="354">
        <f>SUM(D4:D5)</f>
        <v>1320</v>
      </c>
      <c r="E6" s="354">
        <f t="shared" ref="E6:J6" si="1">SUM(E4:E5)</f>
        <v>0</v>
      </c>
      <c r="F6" s="354">
        <f t="shared" si="1"/>
        <v>1320</v>
      </c>
      <c r="G6" s="354">
        <f t="shared" si="1"/>
        <v>100</v>
      </c>
      <c r="H6" s="354">
        <f t="shared" si="1"/>
        <v>123.4</v>
      </c>
      <c r="I6" s="354">
        <f t="shared" si="1"/>
        <v>2.7440898345153664</v>
      </c>
      <c r="J6" s="354">
        <f t="shared" si="1"/>
        <v>0</v>
      </c>
      <c r="K6" s="354">
        <f>SUM(K4:K5)</f>
        <v>1546.1440898345154</v>
      </c>
      <c r="L6" s="354">
        <f>SUM(L4:L5)</f>
        <v>852</v>
      </c>
      <c r="M6" s="354">
        <f>SUM(M4:M5)</f>
        <v>694.1440898345154</v>
      </c>
      <c r="N6" s="352"/>
      <c r="O6" s="3"/>
      <c r="P6" s="3"/>
    </row>
    <row r="7" spans="1:42" s="10" customFormat="1" ht="25.05" customHeight="1" x14ac:dyDescent="0.3">
      <c r="A7" s="571" t="s">
        <v>1208</v>
      </c>
      <c r="B7" s="572"/>
      <c r="C7" s="572"/>
      <c r="D7" s="572"/>
      <c r="E7" s="572"/>
      <c r="F7" s="572"/>
      <c r="G7" s="572"/>
      <c r="H7" s="572"/>
      <c r="I7" s="572"/>
      <c r="J7" s="572"/>
      <c r="K7" s="572"/>
      <c r="L7" s="572"/>
      <c r="M7" s="572"/>
      <c r="N7" s="572"/>
      <c r="O7" s="572"/>
      <c r="P7" s="573"/>
    </row>
    <row r="8" spans="1:42" s="11" customFormat="1" ht="34.799999999999997" customHeight="1" x14ac:dyDescent="0.3">
      <c r="A8" s="83" t="s">
        <v>3</v>
      </c>
      <c r="B8" s="83" t="s">
        <v>0</v>
      </c>
      <c r="C8" s="83" t="s">
        <v>821</v>
      </c>
      <c r="D8" s="84" t="s">
        <v>1</v>
      </c>
      <c r="E8" s="84" t="s">
        <v>68</v>
      </c>
      <c r="F8" s="84" t="s">
        <v>69</v>
      </c>
      <c r="G8" s="85" t="s">
        <v>2</v>
      </c>
      <c r="H8" s="85" t="s">
        <v>592</v>
      </c>
      <c r="I8" s="84" t="s">
        <v>6</v>
      </c>
      <c r="J8" s="84" t="s">
        <v>7</v>
      </c>
      <c r="K8" s="84" t="s">
        <v>4</v>
      </c>
      <c r="L8" s="84" t="s">
        <v>5</v>
      </c>
      <c r="M8" s="84" t="s">
        <v>70</v>
      </c>
      <c r="N8" s="83" t="s">
        <v>59</v>
      </c>
      <c r="O8" s="86" t="s">
        <v>8</v>
      </c>
      <c r="P8" s="86" t="s">
        <v>10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</row>
    <row r="9" spans="1:42" s="363" customFormat="1" ht="24.6" customHeight="1" x14ac:dyDescent="0.3">
      <c r="A9" s="195" t="s">
        <v>1079</v>
      </c>
      <c r="B9" s="348">
        <v>1</v>
      </c>
      <c r="C9" s="348" t="s">
        <v>830</v>
      </c>
      <c r="D9" s="196">
        <f>'[2]GERAL 2025'!G3</f>
        <v>610</v>
      </c>
      <c r="E9" s="359">
        <v>0</v>
      </c>
      <c r="F9" s="359">
        <f t="shared" ref="F9:F25" si="2">D9-E9</f>
        <v>610</v>
      </c>
      <c r="G9" s="196">
        <v>50</v>
      </c>
      <c r="H9" s="359">
        <f>(1665.9/27)</f>
        <v>61.7</v>
      </c>
      <c r="I9" s="359">
        <f>'[2]GERAL 2025'!I3</f>
        <v>1.3720449172576832</v>
      </c>
      <c r="J9" s="359">
        <v>0</v>
      </c>
      <c r="K9" s="349">
        <f t="shared" ref="K9:K35" si="3">SUM(F9:J9)</f>
        <v>723.0720449172577</v>
      </c>
      <c r="L9" s="359">
        <f>7%*K9</f>
        <v>50.615043144208045</v>
      </c>
      <c r="M9" s="359">
        <f>K9-L9</f>
        <v>672.45700177304968</v>
      </c>
      <c r="N9" s="196" t="s">
        <v>1232</v>
      </c>
      <c r="O9" s="197">
        <v>10</v>
      </c>
      <c r="P9" s="197">
        <v>11</v>
      </c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</row>
    <row r="10" spans="1:42" s="203" customFormat="1" ht="24.6" customHeight="1" x14ac:dyDescent="0.3">
      <c r="A10" s="348" t="s">
        <v>1210</v>
      </c>
      <c r="B10" s="358">
        <v>2</v>
      </c>
      <c r="C10" s="348" t="s">
        <v>822</v>
      </c>
      <c r="D10" s="196">
        <v>0</v>
      </c>
      <c r="E10" s="196">
        <v>0</v>
      </c>
      <c r="F10" s="196">
        <f t="shared" si="2"/>
        <v>0</v>
      </c>
      <c r="G10" s="196">
        <v>0</v>
      </c>
      <c r="H10" s="359">
        <v>0</v>
      </c>
      <c r="I10" s="359">
        <v>0</v>
      </c>
      <c r="J10" s="196">
        <v>0</v>
      </c>
      <c r="K10" s="349">
        <f t="shared" si="3"/>
        <v>0</v>
      </c>
      <c r="L10" s="359">
        <f>7%*K10</f>
        <v>0</v>
      </c>
      <c r="M10" s="359">
        <f t="shared" ref="M10:M34" si="4">K10-L10</f>
        <v>0</v>
      </c>
      <c r="N10" s="348" t="s">
        <v>108</v>
      </c>
      <c r="O10" s="197">
        <v>10</v>
      </c>
      <c r="P10" s="197">
        <v>11</v>
      </c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1"/>
      <c r="AM10" s="202"/>
      <c r="AN10" s="202"/>
      <c r="AO10" s="202"/>
      <c r="AP10" s="202"/>
    </row>
    <row r="11" spans="1:42" s="204" customFormat="1" ht="24.6" customHeight="1" x14ac:dyDescent="0.3">
      <c r="A11" s="348" t="s">
        <v>1005</v>
      </c>
      <c r="B11" s="358">
        <v>3</v>
      </c>
      <c r="C11" s="348" t="s">
        <v>822</v>
      </c>
      <c r="D11" s="196">
        <v>0</v>
      </c>
      <c r="E11" s="196">
        <v>0</v>
      </c>
      <c r="F11" s="196">
        <f t="shared" si="2"/>
        <v>0</v>
      </c>
      <c r="G11" s="196">
        <v>0</v>
      </c>
      <c r="H11" s="359">
        <v>0</v>
      </c>
      <c r="I11" s="359">
        <v>0</v>
      </c>
      <c r="J11" s="196">
        <v>0</v>
      </c>
      <c r="K11" s="349">
        <f t="shared" si="3"/>
        <v>0</v>
      </c>
      <c r="L11" s="359">
        <f>7%*K11</f>
        <v>0</v>
      </c>
      <c r="M11" s="359">
        <f>K11-L11</f>
        <v>0</v>
      </c>
      <c r="N11" s="196" t="s">
        <v>179</v>
      </c>
      <c r="O11" s="197">
        <v>10</v>
      </c>
      <c r="P11" s="197">
        <v>11</v>
      </c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</row>
    <row r="12" spans="1:42" s="363" customFormat="1" ht="24.6" customHeight="1" x14ac:dyDescent="0.3">
      <c r="A12" s="348" t="s">
        <v>1133</v>
      </c>
      <c r="B12" s="348">
        <v>4</v>
      </c>
      <c r="C12" s="348" t="s">
        <v>829</v>
      </c>
      <c r="D12" s="196">
        <f>660</f>
        <v>660</v>
      </c>
      <c r="E12" s="196">
        <v>0</v>
      </c>
      <c r="F12" s="196">
        <f t="shared" si="2"/>
        <v>660</v>
      </c>
      <c r="G12" s="359">
        <f>50</f>
        <v>50</v>
      </c>
      <c r="H12" s="359">
        <f t="shared" ref="H12:H35" si="5">(1665.9/27)</f>
        <v>61.7</v>
      </c>
      <c r="I12" s="359">
        <f>'[2]GERAL 2025'!I34</f>
        <v>1.3720449172576832</v>
      </c>
      <c r="J12" s="359">
        <v>0</v>
      </c>
      <c r="K12" s="349">
        <f t="shared" si="3"/>
        <v>773.0720449172577</v>
      </c>
      <c r="L12" s="359">
        <f>7%*K12</f>
        <v>54.115043144208045</v>
      </c>
      <c r="M12" s="359">
        <f t="shared" si="4"/>
        <v>718.95700177304968</v>
      </c>
      <c r="N12" s="348" t="s">
        <v>1231</v>
      </c>
      <c r="O12" s="197">
        <v>10</v>
      </c>
      <c r="P12" s="358">
        <v>11</v>
      </c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</row>
    <row r="13" spans="1:42" s="363" customFormat="1" ht="24.6" customHeight="1" x14ac:dyDescent="0.3">
      <c r="A13" s="348" t="s">
        <v>744</v>
      </c>
      <c r="B13" s="348">
        <v>5</v>
      </c>
      <c r="C13" s="348" t="s">
        <v>823</v>
      </c>
      <c r="D13" s="196">
        <f>'[2]GERAL 2023'!G7+(6.53784 %*580)</f>
        <v>617.91947200000004</v>
      </c>
      <c r="E13" s="359">
        <v>0</v>
      </c>
      <c r="F13" s="359">
        <f t="shared" si="2"/>
        <v>617.91947200000004</v>
      </c>
      <c r="G13" s="359">
        <f>50</f>
        <v>50</v>
      </c>
      <c r="H13" s="359">
        <f t="shared" si="5"/>
        <v>61.7</v>
      </c>
      <c r="I13" s="359">
        <f>'[2]GERAL 2025'!I7</f>
        <v>1.3720449172576832</v>
      </c>
      <c r="J13" s="359">
        <v>0</v>
      </c>
      <c r="K13" s="349">
        <f t="shared" si="3"/>
        <v>730.99151691725774</v>
      </c>
      <c r="L13" s="359">
        <f>7%*K13</f>
        <v>51.16940618420805</v>
      </c>
      <c r="M13" s="359">
        <f t="shared" si="4"/>
        <v>679.82211073304973</v>
      </c>
      <c r="N13" s="348" t="s">
        <v>1231</v>
      </c>
      <c r="O13" s="197">
        <v>10</v>
      </c>
      <c r="P13" s="197">
        <v>11</v>
      </c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</row>
    <row r="14" spans="1:42" s="206" customFormat="1" ht="24.6" customHeight="1" x14ac:dyDescent="0.3">
      <c r="A14" s="348" t="s">
        <v>745</v>
      </c>
      <c r="B14" s="348">
        <v>6</v>
      </c>
      <c r="C14" s="348" t="s">
        <v>823</v>
      </c>
      <c r="D14" s="196">
        <f>'[2]GERAL 2023'!G8+(6.53784%*680)</f>
        <v>724.457312</v>
      </c>
      <c r="E14" s="196">
        <v>0</v>
      </c>
      <c r="F14" s="359">
        <f t="shared" si="2"/>
        <v>724.457312</v>
      </c>
      <c r="G14" s="359">
        <v>50</v>
      </c>
      <c r="H14" s="359">
        <f t="shared" si="5"/>
        <v>61.7</v>
      </c>
      <c r="I14" s="359">
        <f>'[2]GERAL 2025'!I8</f>
        <v>1.9208628841607567</v>
      </c>
      <c r="J14" s="359">
        <v>0</v>
      </c>
      <c r="K14" s="349">
        <f t="shared" si="3"/>
        <v>838.07817488416083</v>
      </c>
      <c r="L14" s="359">
        <f t="shared" ref="L14:L35" si="6">7%*K14</f>
        <v>58.665472241891266</v>
      </c>
      <c r="M14" s="359">
        <f>K14-L14</f>
        <v>779.41270264226955</v>
      </c>
      <c r="N14" s="348" t="s">
        <v>1231</v>
      </c>
      <c r="O14" s="197">
        <v>10</v>
      </c>
      <c r="P14" s="197">
        <v>11</v>
      </c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</row>
    <row r="15" spans="1:42" s="363" customFormat="1" ht="24.6" customHeight="1" x14ac:dyDescent="0.3">
      <c r="A15" s="348" t="s">
        <v>1136</v>
      </c>
      <c r="B15" s="348">
        <v>7</v>
      </c>
      <c r="C15" s="348" t="s">
        <v>829</v>
      </c>
      <c r="D15" s="196">
        <v>0</v>
      </c>
      <c r="E15" s="359">
        <v>0</v>
      </c>
      <c r="F15" s="196">
        <f t="shared" si="2"/>
        <v>0</v>
      </c>
      <c r="G15" s="359">
        <v>0</v>
      </c>
      <c r="H15" s="359">
        <v>0</v>
      </c>
      <c r="I15" s="359">
        <v>0</v>
      </c>
      <c r="J15" s="359">
        <v>0</v>
      </c>
      <c r="K15" s="349">
        <f t="shared" si="3"/>
        <v>0</v>
      </c>
      <c r="L15" s="359">
        <f>7%*K15</f>
        <v>0</v>
      </c>
      <c r="M15" s="359">
        <f t="shared" si="4"/>
        <v>0</v>
      </c>
      <c r="N15" s="196" t="s">
        <v>179</v>
      </c>
      <c r="O15" s="197">
        <v>10</v>
      </c>
      <c r="P15" s="197">
        <v>11</v>
      </c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</row>
    <row r="16" spans="1:42" s="363" customFormat="1" ht="24.6" customHeight="1" x14ac:dyDescent="0.3">
      <c r="A16" s="348" t="s">
        <v>1085</v>
      </c>
      <c r="B16" s="348">
        <v>8</v>
      </c>
      <c r="C16" s="348" t="s">
        <v>830</v>
      </c>
      <c r="D16" s="196">
        <f>'[2]GERAL 2025'!G10</f>
        <v>640</v>
      </c>
      <c r="E16" s="359">
        <v>0</v>
      </c>
      <c r="F16" s="196">
        <f t="shared" si="2"/>
        <v>640</v>
      </c>
      <c r="G16" s="359">
        <v>0</v>
      </c>
      <c r="H16" s="359">
        <f t="shared" si="5"/>
        <v>61.7</v>
      </c>
      <c r="I16" s="359">
        <f>'[2]GERAL 2025'!I10</f>
        <v>1.3720449172576832</v>
      </c>
      <c r="J16" s="359">
        <v>0</v>
      </c>
      <c r="K16" s="349">
        <f t="shared" si="3"/>
        <v>703.0720449172577</v>
      </c>
      <c r="L16" s="359">
        <f>7%*K16</f>
        <v>49.215043144208046</v>
      </c>
      <c r="M16" s="359">
        <f>K16-L16</f>
        <v>653.85700177304966</v>
      </c>
      <c r="N16" s="196" t="s">
        <v>1233</v>
      </c>
      <c r="O16" s="197">
        <v>10</v>
      </c>
      <c r="P16" s="197">
        <v>11</v>
      </c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</row>
    <row r="17" spans="1:47" s="363" customFormat="1" ht="24.6" customHeight="1" x14ac:dyDescent="0.3">
      <c r="A17" s="348" t="s">
        <v>852</v>
      </c>
      <c r="B17" s="348">
        <v>9</v>
      </c>
      <c r="C17" s="348" t="s">
        <v>828</v>
      </c>
      <c r="D17" s="196">
        <f>640+(5.59268%*640)</f>
        <v>675.79315199999996</v>
      </c>
      <c r="E17" s="359">
        <v>0</v>
      </c>
      <c r="F17" s="196">
        <f t="shared" si="2"/>
        <v>675.79315199999996</v>
      </c>
      <c r="G17" s="359">
        <v>0</v>
      </c>
      <c r="H17" s="359">
        <f t="shared" si="5"/>
        <v>61.7</v>
      </c>
      <c r="I17" s="359">
        <f>'[2]GERAL 2025'!I11</f>
        <v>1.3720449172576832</v>
      </c>
      <c r="J17" s="359">
        <v>0</v>
      </c>
      <c r="K17" s="349">
        <f t="shared" si="3"/>
        <v>738.86519691725766</v>
      </c>
      <c r="L17" s="359">
        <f>7%*K17</f>
        <v>51.720563784208039</v>
      </c>
      <c r="M17" s="359">
        <f>K17-L17</f>
        <v>687.14463313304964</v>
      </c>
      <c r="N17" s="348" t="s">
        <v>1233</v>
      </c>
      <c r="O17" s="207">
        <v>10</v>
      </c>
      <c r="P17" s="197">
        <v>11</v>
      </c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</row>
    <row r="18" spans="1:47" s="148" customFormat="1" ht="24.6" customHeight="1" x14ac:dyDescent="0.3">
      <c r="A18" s="358" t="s">
        <v>739</v>
      </c>
      <c r="B18" s="358">
        <v>10</v>
      </c>
      <c r="C18" s="358" t="s">
        <v>825</v>
      </c>
      <c r="D18" s="196">
        <f>588.62</f>
        <v>588.62</v>
      </c>
      <c r="E18" s="359">
        <v>0</v>
      </c>
      <c r="F18" s="196">
        <f t="shared" si="2"/>
        <v>588.62</v>
      </c>
      <c r="G18" s="359">
        <v>26.76</v>
      </c>
      <c r="H18" s="359">
        <f t="shared" si="5"/>
        <v>61.7</v>
      </c>
      <c r="I18" s="359">
        <f>'[2]GERAL 2025'!I12</f>
        <v>1.3720449172576832</v>
      </c>
      <c r="J18" s="359">
        <v>0</v>
      </c>
      <c r="K18" s="349">
        <f t="shared" si="3"/>
        <v>678.45204491725769</v>
      </c>
      <c r="L18" s="359">
        <f t="shared" si="6"/>
        <v>47.491643144208041</v>
      </c>
      <c r="M18" s="359">
        <f t="shared" si="4"/>
        <v>630.96040177304963</v>
      </c>
      <c r="N18" s="196" t="s">
        <v>1234</v>
      </c>
      <c r="O18" s="197">
        <v>10</v>
      </c>
      <c r="P18" s="358">
        <v>11</v>
      </c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  <c r="AI18" s="208"/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  <c r="AT18" s="208"/>
      <c r="AU18" s="208"/>
    </row>
    <row r="19" spans="1:47" s="148" customFormat="1" ht="24.6" customHeight="1" x14ac:dyDescent="0.3">
      <c r="A19" s="358" t="s">
        <v>1192</v>
      </c>
      <c r="B19" s="358">
        <v>11</v>
      </c>
      <c r="C19" s="358" t="s">
        <v>825</v>
      </c>
      <c r="D19" s="359">
        <f>660</f>
        <v>660</v>
      </c>
      <c r="E19" s="359">
        <v>0</v>
      </c>
      <c r="F19" s="196">
        <f t="shared" si="2"/>
        <v>660</v>
      </c>
      <c r="G19" s="359">
        <f>25</f>
        <v>25</v>
      </c>
      <c r="H19" s="359">
        <f>(1665.9/27)</f>
        <v>61.7</v>
      </c>
      <c r="I19" s="359">
        <f>'[2]GERAL 2025'!I38</f>
        <v>1.3720449172576832</v>
      </c>
      <c r="J19" s="359">
        <v>0</v>
      </c>
      <c r="K19" s="349">
        <f t="shared" si="3"/>
        <v>748.0720449172577</v>
      </c>
      <c r="L19" s="359">
        <f>7%*K19</f>
        <v>52.365043144208045</v>
      </c>
      <c r="M19" s="359">
        <f>K19-L19</f>
        <v>695.70700177304968</v>
      </c>
      <c r="N19" s="196" t="s">
        <v>1234</v>
      </c>
      <c r="O19" s="197">
        <v>10</v>
      </c>
      <c r="P19" s="358">
        <v>11</v>
      </c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8"/>
      <c r="AR19" s="208"/>
      <c r="AS19" s="208"/>
      <c r="AT19" s="208"/>
      <c r="AU19" s="208"/>
    </row>
    <row r="20" spans="1:47" s="363" customFormat="1" ht="24" customHeight="1" x14ac:dyDescent="0.3">
      <c r="A20" s="348" t="s">
        <v>1087</v>
      </c>
      <c r="B20" s="348">
        <v>12</v>
      </c>
      <c r="C20" s="348" t="s">
        <v>830</v>
      </c>
      <c r="D20" s="196">
        <f>'[2]GERAL 2025'!G14</f>
        <v>610</v>
      </c>
      <c r="E20" s="359">
        <v>0</v>
      </c>
      <c r="F20" s="196">
        <f t="shared" si="2"/>
        <v>610</v>
      </c>
      <c r="G20" s="196">
        <v>50</v>
      </c>
      <c r="H20" s="359">
        <f t="shared" si="5"/>
        <v>61.7</v>
      </c>
      <c r="I20" s="359">
        <f>'[2]GERAL 2025'!I14</f>
        <v>1.3720449172576832</v>
      </c>
      <c r="J20" s="196">
        <v>0</v>
      </c>
      <c r="K20" s="349">
        <f t="shared" si="3"/>
        <v>723.0720449172577</v>
      </c>
      <c r="L20" s="359">
        <f t="shared" si="6"/>
        <v>50.615043144208045</v>
      </c>
      <c r="M20" s="359">
        <f t="shared" si="4"/>
        <v>672.45700177304968</v>
      </c>
      <c r="N20" s="196" t="s">
        <v>1231</v>
      </c>
      <c r="O20" s="197">
        <v>10</v>
      </c>
      <c r="P20" s="197">
        <v>11</v>
      </c>
      <c r="Q20" s="198"/>
      <c r="R20" s="198"/>
      <c r="S20" s="198"/>
      <c r="T20" s="198"/>
      <c r="U20" s="198"/>
      <c r="V20" s="198"/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</row>
    <row r="21" spans="1:47" s="206" customFormat="1" ht="24.6" customHeight="1" x14ac:dyDescent="0.3">
      <c r="A21" s="348" t="s">
        <v>756</v>
      </c>
      <c r="B21" s="348">
        <v>13</v>
      </c>
      <c r="C21" s="348" t="s">
        <v>827</v>
      </c>
      <c r="D21" s="196">
        <v>596.77</v>
      </c>
      <c r="E21" s="196">
        <v>0</v>
      </c>
      <c r="F21" s="196">
        <f t="shared" si="2"/>
        <v>596.77</v>
      </c>
      <c r="G21" s="359">
        <v>0</v>
      </c>
      <c r="H21" s="359">
        <f t="shared" si="5"/>
        <v>61.7</v>
      </c>
      <c r="I21" s="359">
        <f>'[2]GERAL 2025'!I15</f>
        <v>1.3720449172576832</v>
      </c>
      <c r="J21" s="359">
        <v>0</v>
      </c>
      <c r="K21" s="349">
        <f t="shared" si="3"/>
        <v>659.84204491725768</v>
      </c>
      <c r="L21" s="359">
        <f t="shared" si="6"/>
        <v>46.188943144208039</v>
      </c>
      <c r="M21" s="359">
        <f t="shared" si="4"/>
        <v>613.65310177304968</v>
      </c>
      <c r="N21" s="348" t="s">
        <v>1233</v>
      </c>
      <c r="O21" s="197">
        <v>10</v>
      </c>
      <c r="P21" s="197">
        <v>11</v>
      </c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</row>
    <row r="22" spans="1:47" s="148" customFormat="1" ht="24.6" customHeight="1" x14ac:dyDescent="0.3">
      <c r="A22" s="197" t="s">
        <v>977</v>
      </c>
      <c r="B22" s="358">
        <v>14</v>
      </c>
      <c r="C22" s="348" t="s">
        <v>827</v>
      </c>
      <c r="D22" s="196">
        <v>657.82</v>
      </c>
      <c r="E22" s="359">
        <v>0</v>
      </c>
      <c r="F22" s="196">
        <f t="shared" si="2"/>
        <v>657.82</v>
      </c>
      <c r="G22" s="359">
        <v>54.25</v>
      </c>
      <c r="H22" s="359">
        <f t="shared" si="5"/>
        <v>61.7</v>
      </c>
      <c r="I22" s="359">
        <f>'[2]GERAL 2025'!I16</f>
        <v>1.3720449172576832</v>
      </c>
      <c r="J22" s="359">
        <v>0</v>
      </c>
      <c r="K22" s="349">
        <f t="shared" si="3"/>
        <v>775.14204491725775</v>
      </c>
      <c r="L22" s="359">
        <f t="shared" si="6"/>
        <v>54.259943144208044</v>
      </c>
      <c r="M22" s="359">
        <f t="shared" si="4"/>
        <v>720.88210177304973</v>
      </c>
      <c r="N22" s="348" t="s">
        <v>1231</v>
      </c>
      <c r="O22" s="197">
        <v>10</v>
      </c>
      <c r="P22" s="358">
        <v>11</v>
      </c>
      <c r="Q22" s="208"/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  <c r="AD22" s="208"/>
      <c r="AE22" s="208"/>
      <c r="AF22" s="208"/>
      <c r="AG22" s="208"/>
      <c r="AH22" s="208"/>
      <c r="AI22" s="208"/>
      <c r="AJ22" s="208"/>
      <c r="AK22" s="208"/>
      <c r="AL22" s="208"/>
      <c r="AM22" s="208"/>
      <c r="AN22" s="208"/>
      <c r="AO22" s="208"/>
      <c r="AP22" s="208"/>
      <c r="AQ22" s="208"/>
      <c r="AR22" s="208"/>
      <c r="AS22" s="208"/>
      <c r="AT22" s="208"/>
      <c r="AU22" s="208"/>
    </row>
    <row r="23" spans="1:47" s="204" customFormat="1" ht="24.6" customHeight="1" x14ac:dyDescent="0.3">
      <c r="A23" s="348" t="s">
        <v>748</v>
      </c>
      <c r="B23" s="348">
        <v>15</v>
      </c>
      <c r="C23" s="348" t="s">
        <v>827</v>
      </c>
      <c r="D23" s="196">
        <v>737.83</v>
      </c>
      <c r="E23" s="359">
        <v>0</v>
      </c>
      <c r="F23" s="196">
        <f t="shared" si="2"/>
        <v>737.83</v>
      </c>
      <c r="G23" s="359">
        <v>27.13</v>
      </c>
      <c r="H23" s="359">
        <f t="shared" si="5"/>
        <v>61.7</v>
      </c>
      <c r="I23" s="359">
        <f>'[2]GERAL 2025'!I17</f>
        <v>1.9208628841607567</v>
      </c>
      <c r="J23" s="359">
        <v>0</v>
      </c>
      <c r="K23" s="349">
        <f t="shared" si="3"/>
        <v>828.58086288416087</v>
      </c>
      <c r="L23" s="359">
        <f t="shared" si="6"/>
        <v>58.000660401891267</v>
      </c>
      <c r="M23" s="359">
        <f t="shared" si="4"/>
        <v>770.58020248226956</v>
      </c>
      <c r="N23" s="348" t="s">
        <v>1234</v>
      </c>
      <c r="O23" s="197">
        <v>10</v>
      </c>
      <c r="P23" s="358">
        <v>11</v>
      </c>
      <c r="Q23" s="200"/>
      <c r="R23" s="200"/>
      <c r="S23" s="200"/>
      <c r="T23" s="200"/>
      <c r="U23" s="200"/>
      <c r="V23" s="200"/>
      <c r="W23" s="200"/>
      <c r="X23" s="200"/>
      <c r="Y23" s="200"/>
    </row>
    <row r="24" spans="1:47" s="206" customFormat="1" ht="24.6" customHeight="1" x14ac:dyDescent="0.3">
      <c r="A24" s="197" t="s">
        <v>1195</v>
      </c>
      <c r="B24" s="197">
        <v>16</v>
      </c>
      <c r="C24" s="358" t="s">
        <v>825</v>
      </c>
      <c r="D24" s="196">
        <f>690</f>
        <v>690</v>
      </c>
      <c r="E24" s="359">
        <v>0</v>
      </c>
      <c r="F24" s="196">
        <f>D24-E24</f>
        <v>690</v>
      </c>
      <c r="G24" s="359">
        <v>0</v>
      </c>
      <c r="H24" s="359">
        <f>(1665.9/27)</f>
        <v>61.7</v>
      </c>
      <c r="I24" s="359">
        <f>'[2]GERAL 2025'!I39</f>
        <v>1.3720449172576832</v>
      </c>
      <c r="J24" s="359">
        <v>0</v>
      </c>
      <c r="K24" s="349">
        <f t="shared" si="3"/>
        <v>753.0720449172577</v>
      </c>
      <c r="L24" s="359">
        <f t="shared" si="6"/>
        <v>52.715043144208046</v>
      </c>
      <c r="M24" s="359">
        <f>K24-L24</f>
        <v>700.35700177304966</v>
      </c>
      <c r="N24" s="196" t="s">
        <v>1233</v>
      </c>
      <c r="O24" s="197">
        <v>10</v>
      </c>
      <c r="P24" s="197">
        <v>11</v>
      </c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  <c r="AP24" s="205"/>
    </row>
    <row r="25" spans="1:47" s="206" customFormat="1" ht="24.6" customHeight="1" x14ac:dyDescent="0.3">
      <c r="A25" s="195" t="s">
        <v>1029</v>
      </c>
      <c r="B25" s="195">
        <v>17</v>
      </c>
      <c r="C25" s="227" t="s">
        <v>824</v>
      </c>
      <c r="D25" s="196">
        <f>628.06</f>
        <v>628.05999999999995</v>
      </c>
      <c r="E25" s="359">
        <v>0</v>
      </c>
      <c r="F25" s="196">
        <f t="shared" si="2"/>
        <v>628.05999999999995</v>
      </c>
      <c r="G25" s="359">
        <v>51.48</v>
      </c>
      <c r="H25" s="359">
        <f t="shared" si="5"/>
        <v>61.7</v>
      </c>
      <c r="I25" s="359">
        <f>'[2]GERAL 2025'!I19</f>
        <v>1.3720449172576832</v>
      </c>
      <c r="J25" s="359">
        <v>133.16999999999999</v>
      </c>
      <c r="K25" s="349">
        <f>SUM(F25:J25)</f>
        <v>875.78204491725762</v>
      </c>
      <c r="L25" s="359">
        <f>7%*K25</f>
        <v>61.304743144208039</v>
      </c>
      <c r="M25" s="359">
        <f>K25-L25</f>
        <v>814.47730177304959</v>
      </c>
      <c r="N25" s="348" t="s">
        <v>1235</v>
      </c>
      <c r="O25" s="197">
        <v>10</v>
      </c>
      <c r="P25" s="197">
        <v>11</v>
      </c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</row>
    <row r="26" spans="1:47" s="206" customFormat="1" ht="24.6" customHeight="1" x14ac:dyDescent="0.3">
      <c r="A26" s="195" t="s">
        <v>1030</v>
      </c>
      <c r="B26" s="348">
        <v>18</v>
      </c>
      <c r="C26" s="227" t="s">
        <v>824</v>
      </c>
      <c r="D26" s="196">
        <v>658.95</v>
      </c>
      <c r="E26" s="359">
        <v>0</v>
      </c>
      <c r="F26" s="196">
        <f>D26-E26</f>
        <v>658.95</v>
      </c>
      <c r="G26" s="359">
        <v>0</v>
      </c>
      <c r="H26" s="359">
        <f t="shared" si="5"/>
        <v>61.7</v>
      </c>
      <c r="I26" s="359">
        <f>'[2]GERAL 2025'!I20</f>
        <v>1.3720449172576832</v>
      </c>
      <c r="J26" s="359">
        <v>133.54</v>
      </c>
      <c r="K26" s="349">
        <f t="shared" si="3"/>
        <v>855.56204491725771</v>
      </c>
      <c r="L26" s="359">
        <f t="shared" si="6"/>
        <v>59.889343144208048</v>
      </c>
      <c r="M26" s="359">
        <f t="shared" si="4"/>
        <v>795.67270177304965</v>
      </c>
      <c r="N26" s="348" t="s">
        <v>1236</v>
      </c>
      <c r="O26" s="197">
        <v>10</v>
      </c>
      <c r="P26" s="197">
        <v>11</v>
      </c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</row>
    <row r="27" spans="1:47" s="206" customFormat="1" ht="24.6" customHeight="1" x14ac:dyDescent="0.3">
      <c r="A27" s="348" t="s">
        <v>1012</v>
      </c>
      <c r="B27" s="348">
        <v>19</v>
      </c>
      <c r="C27" s="348" t="s">
        <v>822</v>
      </c>
      <c r="D27" s="196">
        <f>605.44</f>
        <v>605.44000000000005</v>
      </c>
      <c r="E27" s="359">
        <v>0</v>
      </c>
      <c r="F27" s="196">
        <f>(D27-E27)</f>
        <v>605.44000000000005</v>
      </c>
      <c r="G27" s="359">
        <v>52.19</v>
      </c>
      <c r="H27" s="359">
        <f t="shared" si="5"/>
        <v>61.7</v>
      </c>
      <c r="I27" s="359">
        <f>'[2]GERAL 2025'!I21</f>
        <v>1.3720449172576832</v>
      </c>
      <c r="J27" s="359">
        <v>0</v>
      </c>
      <c r="K27" s="349">
        <f t="shared" si="3"/>
        <v>720.70204491725781</v>
      </c>
      <c r="L27" s="359">
        <f t="shared" si="6"/>
        <v>50.449143144208051</v>
      </c>
      <c r="M27" s="359">
        <f t="shared" si="4"/>
        <v>670.25290177304976</v>
      </c>
      <c r="N27" s="348" t="s">
        <v>1231</v>
      </c>
      <c r="O27" s="207">
        <v>10</v>
      </c>
      <c r="P27" s="197">
        <v>11</v>
      </c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</row>
    <row r="28" spans="1:47" s="206" customFormat="1" ht="24" customHeight="1" x14ac:dyDescent="0.3">
      <c r="A28" s="195" t="s">
        <v>1214</v>
      </c>
      <c r="B28" s="348">
        <v>20</v>
      </c>
      <c r="C28" s="348" t="s">
        <v>822</v>
      </c>
      <c r="D28" s="196">
        <v>0</v>
      </c>
      <c r="E28" s="359">
        <v>0</v>
      </c>
      <c r="F28" s="196">
        <f t="shared" ref="F28:F35" si="7">D28-E28</f>
        <v>0</v>
      </c>
      <c r="G28" s="359">
        <v>0</v>
      </c>
      <c r="H28" s="359">
        <v>0</v>
      </c>
      <c r="I28" s="359">
        <v>0</v>
      </c>
      <c r="J28" s="359">
        <v>0</v>
      </c>
      <c r="K28" s="349">
        <f t="shared" si="3"/>
        <v>0</v>
      </c>
      <c r="L28" s="359">
        <f t="shared" si="6"/>
        <v>0</v>
      </c>
      <c r="M28" s="359">
        <f t="shared" si="4"/>
        <v>0</v>
      </c>
      <c r="N28" s="348" t="s">
        <v>108</v>
      </c>
      <c r="O28" s="207">
        <v>10</v>
      </c>
      <c r="P28" s="197">
        <v>11</v>
      </c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</row>
    <row r="29" spans="1:47" s="206" customFormat="1" ht="25.2" customHeight="1" x14ac:dyDescent="0.3">
      <c r="A29" s="195" t="s">
        <v>788</v>
      </c>
      <c r="B29" s="348">
        <v>21</v>
      </c>
      <c r="C29" s="348" t="s">
        <v>822</v>
      </c>
      <c r="D29" s="196">
        <f>620.28</f>
        <v>620.28</v>
      </c>
      <c r="E29" s="359">
        <v>0</v>
      </c>
      <c r="F29" s="196">
        <f t="shared" si="7"/>
        <v>620.28</v>
      </c>
      <c r="G29" s="359">
        <v>26.1</v>
      </c>
      <c r="H29" s="359">
        <f t="shared" si="5"/>
        <v>61.7</v>
      </c>
      <c r="I29" s="359">
        <f>'[2]GERAL 2025'!I23</f>
        <v>1.3720449172576832</v>
      </c>
      <c r="J29" s="359">
        <v>0</v>
      </c>
      <c r="K29" s="349">
        <f t="shared" si="3"/>
        <v>709.45204491725769</v>
      </c>
      <c r="L29" s="359">
        <f t="shared" si="6"/>
        <v>49.661643144208043</v>
      </c>
      <c r="M29" s="359">
        <f t="shared" si="4"/>
        <v>659.79040177304967</v>
      </c>
      <c r="N29" s="348" t="s">
        <v>1234</v>
      </c>
      <c r="O29" s="207">
        <v>10</v>
      </c>
      <c r="P29" s="197">
        <v>11</v>
      </c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</row>
    <row r="30" spans="1:47" s="206" customFormat="1" ht="24.6" customHeight="1" x14ac:dyDescent="0.3">
      <c r="A30" s="338" t="s">
        <v>950</v>
      </c>
      <c r="B30" s="216">
        <v>22</v>
      </c>
      <c r="C30" s="216" t="s">
        <v>951</v>
      </c>
      <c r="D30" s="217">
        <v>662.35</v>
      </c>
      <c r="E30" s="210">
        <v>0</v>
      </c>
      <c r="F30" s="217">
        <f t="shared" si="7"/>
        <v>662.35</v>
      </c>
      <c r="G30" s="210">
        <v>0</v>
      </c>
      <c r="H30" s="210">
        <f t="shared" si="5"/>
        <v>61.7</v>
      </c>
      <c r="I30" s="210">
        <f>'[2]GERAL 2025'!I24</f>
        <v>1.3720449172576832</v>
      </c>
      <c r="J30" s="210">
        <v>0</v>
      </c>
      <c r="K30" s="339">
        <f t="shared" si="3"/>
        <v>725.42204491725772</v>
      </c>
      <c r="L30" s="210">
        <f>7%*K30</f>
        <v>50.779543144208048</v>
      </c>
      <c r="M30" s="210">
        <f>K30-L30</f>
        <v>674.64250177304962</v>
      </c>
      <c r="N30" s="216" t="s">
        <v>1233</v>
      </c>
      <c r="O30" s="340">
        <v>10</v>
      </c>
      <c r="P30" s="235">
        <v>11</v>
      </c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</row>
    <row r="31" spans="1:47" s="348" customFormat="1" ht="24.6" customHeight="1" x14ac:dyDescent="0.3">
      <c r="A31" s="195" t="s">
        <v>1169</v>
      </c>
      <c r="B31" s="348">
        <v>23</v>
      </c>
      <c r="C31" s="348" t="s">
        <v>827</v>
      </c>
      <c r="D31" s="196">
        <f>660</f>
        <v>660</v>
      </c>
      <c r="E31" s="359">
        <v>0</v>
      </c>
      <c r="F31" s="196">
        <f t="shared" si="7"/>
        <v>660</v>
      </c>
      <c r="G31" s="359">
        <f>(50+25)</f>
        <v>75</v>
      </c>
      <c r="H31" s="359">
        <f>(1665.9/27)</f>
        <v>61.7</v>
      </c>
      <c r="I31" s="359">
        <f>'[2]GERAL 2025'!I37</f>
        <v>1.3720449172576832</v>
      </c>
      <c r="J31" s="359">
        <v>0</v>
      </c>
      <c r="K31" s="349">
        <f t="shared" si="3"/>
        <v>798.0720449172577</v>
      </c>
      <c r="L31" s="359">
        <f>7%*K31</f>
        <v>55.865043144208045</v>
      </c>
      <c r="M31" s="359">
        <f>K31-L31</f>
        <v>742.20700177304968</v>
      </c>
      <c r="N31" s="348" t="s">
        <v>1237</v>
      </c>
      <c r="O31" s="197">
        <v>10</v>
      </c>
      <c r="P31" s="197">
        <v>11</v>
      </c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</row>
    <row r="32" spans="1:47" s="203" customFormat="1" ht="24.6" customHeight="1" x14ac:dyDescent="0.3">
      <c r="A32" s="348" t="s">
        <v>1171</v>
      </c>
      <c r="B32" s="348">
        <v>24</v>
      </c>
      <c r="C32" s="348" t="s">
        <v>827</v>
      </c>
      <c r="D32" s="196">
        <f>740</f>
        <v>740</v>
      </c>
      <c r="E32" s="359">
        <v>0</v>
      </c>
      <c r="F32" s="196">
        <f>D32-E32</f>
        <v>740</v>
      </c>
      <c r="G32" s="359">
        <f>50</f>
        <v>50</v>
      </c>
      <c r="H32" s="359">
        <f t="shared" ref="H32" si="8">(1665.9/27)</f>
        <v>61.7</v>
      </c>
      <c r="I32" s="359">
        <f>'[2]GERAL 2025'!I36</f>
        <v>1.9208628841607567</v>
      </c>
      <c r="J32" s="359">
        <v>0</v>
      </c>
      <c r="K32" s="349">
        <f t="shared" si="3"/>
        <v>853.62086288416083</v>
      </c>
      <c r="L32" s="359">
        <f>7%*K32</f>
        <v>59.75346040189126</v>
      </c>
      <c r="M32" s="359">
        <f t="shared" si="4"/>
        <v>793.86740248226954</v>
      </c>
      <c r="N32" s="348" t="s">
        <v>1231</v>
      </c>
      <c r="O32" s="197">
        <v>10</v>
      </c>
      <c r="P32" s="197">
        <v>11</v>
      </c>
      <c r="Q32" s="202"/>
      <c r="R32" s="202"/>
      <c r="S32" s="202"/>
      <c r="T32" s="202"/>
      <c r="U32" s="202"/>
      <c r="V32" s="202"/>
      <c r="W32" s="202"/>
      <c r="X32" s="202"/>
      <c r="Y32" s="202"/>
    </row>
    <row r="33" spans="1:49" s="204" customFormat="1" ht="24.6" customHeight="1" x14ac:dyDescent="0.3">
      <c r="A33" s="206" t="s">
        <v>1007</v>
      </c>
      <c r="B33" s="341">
        <v>25</v>
      </c>
      <c r="C33" s="341" t="s">
        <v>822</v>
      </c>
      <c r="D33" s="342">
        <v>668.07</v>
      </c>
      <c r="E33" s="343">
        <v>0</v>
      </c>
      <c r="F33" s="342">
        <f t="shared" si="7"/>
        <v>668.07</v>
      </c>
      <c r="G33" s="343">
        <v>26.1</v>
      </c>
      <c r="H33" s="343">
        <f t="shared" si="5"/>
        <v>61.7</v>
      </c>
      <c r="I33" s="343">
        <f>'[2]GERAL 2025'!I27</f>
        <v>1.3720449172576832</v>
      </c>
      <c r="J33" s="343">
        <v>0</v>
      </c>
      <c r="K33" s="344">
        <f t="shared" si="3"/>
        <v>757.24204491725777</v>
      </c>
      <c r="L33" s="343">
        <f t="shared" si="6"/>
        <v>53.006943144208051</v>
      </c>
      <c r="M33" s="343">
        <f t="shared" si="4"/>
        <v>704.23510177304968</v>
      </c>
      <c r="N33" s="341" t="s">
        <v>1234</v>
      </c>
      <c r="O33" s="345">
        <v>10</v>
      </c>
      <c r="P33" s="346">
        <v>11</v>
      </c>
      <c r="Q33" s="200"/>
      <c r="R33" s="200"/>
      <c r="S33" s="200"/>
      <c r="T33" s="200"/>
      <c r="U33" s="200"/>
      <c r="V33" s="200"/>
      <c r="W33" s="200"/>
      <c r="X33" s="200"/>
      <c r="Y33" s="200"/>
    </row>
    <row r="34" spans="1:49" s="206" customFormat="1" ht="24.6" customHeight="1" x14ac:dyDescent="0.3">
      <c r="A34" s="195" t="s">
        <v>751</v>
      </c>
      <c r="B34" s="348">
        <v>26</v>
      </c>
      <c r="C34" s="348" t="s">
        <v>827</v>
      </c>
      <c r="D34" s="196">
        <v>607.62</v>
      </c>
      <c r="E34" s="359">
        <v>0</v>
      </c>
      <c r="F34" s="196">
        <f t="shared" si="7"/>
        <v>607.62</v>
      </c>
      <c r="G34" s="359">
        <v>27.13</v>
      </c>
      <c r="H34" s="359">
        <f t="shared" si="5"/>
        <v>61.7</v>
      </c>
      <c r="I34" s="359">
        <f>'[2]GERAL 2025'!I28</f>
        <v>1.3720449172576832</v>
      </c>
      <c r="J34" s="359">
        <v>0</v>
      </c>
      <c r="K34" s="349">
        <f t="shared" si="3"/>
        <v>697.8220449172577</v>
      </c>
      <c r="L34" s="359">
        <f t="shared" si="6"/>
        <v>48.847543144208046</v>
      </c>
      <c r="M34" s="359">
        <f t="shared" si="4"/>
        <v>648.97450177304961</v>
      </c>
      <c r="N34" s="348" t="s">
        <v>1238</v>
      </c>
      <c r="O34" s="197">
        <v>10</v>
      </c>
      <c r="P34" s="197">
        <v>11</v>
      </c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</row>
    <row r="35" spans="1:49" s="206" customFormat="1" ht="24.6" customHeight="1" x14ac:dyDescent="0.3">
      <c r="A35" s="195" t="s">
        <v>752</v>
      </c>
      <c r="B35" s="348">
        <v>27</v>
      </c>
      <c r="C35" s="216" t="s">
        <v>827</v>
      </c>
      <c r="D35" s="217">
        <v>629.32000000000005</v>
      </c>
      <c r="E35" s="210">
        <v>0</v>
      </c>
      <c r="F35" s="196">
        <f t="shared" si="7"/>
        <v>629.32000000000005</v>
      </c>
      <c r="G35" s="210">
        <v>0</v>
      </c>
      <c r="H35" s="359">
        <f t="shared" si="5"/>
        <v>61.7</v>
      </c>
      <c r="I35" s="210">
        <f>'[2]GERAL 2025'!I29</f>
        <v>1.3720449172576832</v>
      </c>
      <c r="J35" s="210">
        <v>0</v>
      </c>
      <c r="K35" s="349">
        <f t="shared" si="3"/>
        <v>692.39204491725775</v>
      </c>
      <c r="L35" s="359">
        <f t="shared" si="6"/>
        <v>48.467443144208048</v>
      </c>
      <c r="M35" s="359">
        <f>K35-L35</f>
        <v>643.92460177304974</v>
      </c>
      <c r="N35" s="348" t="s">
        <v>1233</v>
      </c>
      <c r="O35" s="197">
        <v>10</v>
      </c>
      <c r="P35" s="197">
        <v>11</v>
      </c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</row>
    <row r="36" spans="1:49" s="206" customFormat="1" ht="25.05" customHeight="1" x14ac:dyDescent="0.3">
      <c r="A36" s="584" t="s">
        <v>4</v>
      </c>
      <c r="B36" s="584"/>
      <c r="C36" s="362"/>
      <c r="D36" s="349">
        <f>SUM(D9:D35)</f>
        <v>14949.299936000001</v>
      </c>
      <c r="E36" s="349">
        <f t="shared" ref="E36:M36" si="9">SUM(E9:E35)</f>
        <v>0</v>
      </c>
      <c r="F36" s="349">
        <f t="shared" si="9"/>
        <v>14949.299936000001</v>
      </c>
      <c r="G36" s="349">
        <f t="shared" si="9"/>
        <v>691.14</v>
      </c>
      <c r="H36" s="349">
        <f>SUM(H9:H35)</f>
        <v>1419.1000000000006</v>
      </c>
      <c r="I36" s="349">
        <f>SUM(I9:I35)</f>
        <v>33.203486997635927</v>
      </c>
      <c r="J36" s="349">
        <f>SUM(J9:J35)</f>
        <v>266.70999999999998</v>
      </c>
      <c r="K36" s="349">
        <f>SUM(K9:K35)</f>
        <v>17359.453422997638</v>
      </c>
      <c r="L36" s="349">
        <f t="shared" si="9"/>
        <v>1215.1617396098343</v>
      </c>
      <c r="M36" s="349">
        <f t="shared" si="9"/>
        <v>16144.291683387799</v>
      </c>
      <c r="N36" s="348"/>
      <c r="O36" s="197"/>
      <c r="P36" s="197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</row>
    <row r="37" spans="1:49" s="11" customFormat="1" ht="28.5" customHeight="1" x14ac:dyDescent="0.3">
      <c r="A37" s="521" t="s">
        <v>1218</v>
      </c>
      <c r="B37" s="521"/>
      <c r="C37" s="521"/>
      <c r="D37" s="521"/>
      <c r="E37" s="521"/>
      <c r="F37" s="521"/>
      <c r="G37" s="521"/>
      <c r="H37" s="521"/>
      <c r="I37" s="521"/>
      <c r="J37" s="521"/>
      <c r="K37" s="521"/>
      <c r="L37" s="521"/>
      <c r="M37" s="521"/>
      <c r="N37" s="521"/>
      <c r="O37" s="521"/>
      <c r="P37" s="521"/>
      <c r="Q37" s="10"/>
      <c r="R37" s="10"/>
      <c r="S37" s="10"/>
      <c r="T37" s="10"/>
      <c r="U37" s="10"/>
      <c r="V37" s="10"/>
      <c r="W37" s="10"/>
      <c r="X37" s="10"/>
      <c r="Y37" s="10"/>
    </row>
    <row r="38" spans="1:49" s="11" customFormat="1" ht="27.6" customHeight="1" x14ac:dyDescent="0.3">
      <c r="A38" s="347" t="s">
        <v>3</v>
      </c>
      <c r="B38" s="347" t="s">
        <v>0</v>
      </c>
      <c r="C38" s="347" t="s">
        <v>821</v>
      </c>
      <c r="D38" s="355" t="s">
        <v>174</v>
      </c>
      <c r="E38" s="555" t="s">
        <v>175</v>
      </c>
      <c r="F38" s="556"/>
      <c r="G38" s="556"/>
      <c r="H38" s="556"/>
      <c r="I38" s="556"/>
      <c r="J38" s="557"/>
      <c r="K38" s="355" t="s">
        <v>4</v>
      </c>
      <c r="L38" s="355" t="s">
        <v>5</v>
      </c>
      <c r="M38" s="355" t="s">
        <v>70</v>
      </c>
      <c r="N38" s="347" t="s">
        <v>59</v>
      </c>
      <c r="O38" s="130" t="s">
        <v>8</v>
      </c>
      <c r="P38" s="130" t="s">
        <v>10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49" s="206" customFormat="1" ht="27.6" customHeight="1" x14ac:dyDescent="0.3">
      <c r="A39" s="358" t="s">
        <v>1005</v>
      </c>
      <c r="B39" s="358">
        <v>3</v>
      </c>
      <c r="C39" s="358" t="s">
        <v>822</v>
      </c>
      <c r="D39" s="359">
        <v>833</v>
      </c>
      <c r="E39" s="551" t="s">
        <v>1222</v>
      </c>
      <c r="F39" s="580"/>
      <c r="G39" s="580"/>
      <c r="H39" s="580"/>
      <c r="I39" s="580"/>
      <c r="J39" s="552"/>
      <c r="K39" s="349">
        <v>921.85</v>
      </c>
      <c r="L39" s="359">
        <f>7%*K39</f>
        <v>64.529500000000013</v>
      </c>
      <c r="M39" s="359">
        <f>K39-L39</f>
        <v>857.32050000000004</v>
      </c>
      <c r="N39" s="348" t="s">
        <v>1239</v>
      </c>
      <c r="O39" s="207">
        <v>10</v>
      </c>
      <c r="P39" s="197">
        <v>11</v>
      </c>
      <c r="Q39" s="205"/>
      <c r="R39" s="205"/>
      <c r="S39" s="205"/>
      <c r="T39" s="205"/>
      <c r="U39" s="205"/>
      <c r="V39" s="205"/>
      <c r="W39" s="205"/>
      <c r="X39" s="205"/>
      <c r="Y39" s="205"/>
      <c r="Z39" s="205"/>
    </row>
    <row r="40" spans="1:49" s="204" customFormat="1" ht="24.6" customHeight="1" x14ac:dyDescent="0.3">
      <c r="A40" s="358" t="s">
        <v>1136</v>
      </c>
      <c r="B40" s="358">
        <v>7</v>
      </c>
      <c r="C40" s="358" t="s">
        <v>829</v>
      </c>
      <c r="D40" s="196">
        <f>690+61.7+1.37</f>
        <v>753.07</v>
      </c>
      <c r="E40" s="551" t="s">
        <v>1222</v>
      </c>
      <c r="F40" s="580"/>
      <c r="G40" s="580"/>
      <c r="H40" s="580"/>
      <c r="I40" s="580"/>
      <c r="J40" s="552"/>
      <c r="K40" s="349">
        <v>833.4</v>
      </c>
      <c r="L40" s="359">
        <f>7%*K40</f>
        <v>58.338000000000001</v>
      </c>
      <c r="M40" s="359">
        <f>K40-L40</f>
        <v>775.06200000000001</v>
      </c>
      <c r="N40" s="348" t="s">
        <v>1240</v>
      </c>
      <c r="O40" s="207">
        <v>10</v>
      </c>
      <c r="P40" s="197">
        <v>11</v>
      </c>
      <c r="Q40" s="200"/>
      <c r="R40" s="200"/>
      <c r="S40" s="200"/>
      <c r="T40" s="200"/>
      <c r="U40" s="200"/>
      <c r="V40" s="200"/>
      <c r="W40" s="200"/>
      <c r="X40" s="200"/>
      <c r="Y40" s="200"/>
    </row>
    <row r="41" spans="1:49" s="11" customFormat="1" ht="25.05" customHeight="1" x14ac:dyDescent="0.3">
      <c r="A41" s="518" t="s">
        <v>4</v>
      </c>
      <c r="B41" s="518"/>
      <c r="C41" s="518"/>
      <c r="D41" s="518"/>
      <c r="E41" s="518"/>
      <c r="F41" s="518"/>
      <c r="G41" s="518"/>
      <c r="H41" s="518"/>
      <c r="I41" s="518"/>
      <c r="J41" s="518"/>
      <c r="K41" s="354">
        <f>SUM(K39:K40)</f>
        <v>1755.25</v>
      </c>
      <c r="L41" s="354">
        <f>SUM(L39:L40)</f>
        <v>122.86750000000001</v>
      </c>
      <c r="M41" s="354">
        <f>SUM(M39:M40)</f>
        <v>1632.3825000000002</v>
      </c>
      <c r="N41" s="527"/>
      <c r="O41" s="527"/>
      <c r="P41" s="527"/>
      <c r="Q41" s="10"/>
      <c r="R41" s="10"/>
      <c r="S41" s="10"/>
      <c r="T41" s="10"/>
      <c r="U41" s="10"/>
      <c r="V41" s="10"/>
      <c r="W41" s="10"/>
      <c r="X41" s="10"/>
      <c r="Y41" s="10"/>
    </row>
    <row r="42" spans="1:49" s="11" customFormat="1" x14ac:dyDescent="0.3">
      <c r="A42" s="518"/>
      <c r="B42" s="518"/>
      <c r="C42" s="518"/>
      <c r="D42" s="518"/>
      <c r="E42" s="518"/>
      <c r="F42" s="518"/>
      <c r="G42" s="518"/>
      <c r="H42" s="518"/>
      <c r="I42" s="518"/>
      <c r="J42" s="518"/>
      <c r="K42" s="518"/>
      <c r="L42" s="518"/>
      <c r="M42" s="518"/>
      <c r="N42" s="518"/>
      <c r="O42" s="354"/>
      <c r="P42" s="354"/>
      <c r="Q42" s="10"/>
      <c r="R42" s="10"/>
      <c r="S42" s="10"/>
      <c r="T42" s="10"/>
      <c r="U42" s="10"/>
      <c r="V42" s="10"/>
      <c r="W42" s="10"/>
      <c r="X42" s="10"/>
      <c r="Y42" s="10"/>
    </row>
    <row r="43" spans="1:49" s="11" customFormat="1" ht="28.5" customHeight="1" x14ac:dyDescent="0.3">
      <c r="A43" s="521" t="s">
        <v>177</v>
      </c>
      <c r="B43" s="521"/>
      <c r="C43" s="521"/>
      <c r="D43" s="521"/>
      <c r="E43" s="521"/>
      <c r="F43" s="521"/>
      <c r="G43" s="521"/>
      <c r="H43" s="521"/>
      <c r="I43" s="521"/>
      <c r="J43" s="521"/>
      <c r="K43" s="521"/>
      <c r="L43" s="521"/>
      <c r="M43" s="521"/>
      <c r="N43" s="521"/>
      <c r="O43" s="521"/>
      <c r="P43" s="521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49" s="11" customFormat="1" ht="25.5" customHeight="1" x14ac:dyDescent="0.3">
      <c r="A44" s="353" t="s">
        <v>173</v>
      </c>
      <c r="B44" s="353" t="s">
        <v>0</v>
      </c>
      <c r="C44" s="347" t="s">
        <v>821</v>
      </c>
      <c r="D44" s="353" t="s">
        <v>174</v>
      </c>
      <c r="E44" s="521" t="s">
        <v>175</v>
      </c>
      <c r="F44" s="521"/>
      <c r="G44" s="521"/>
      <c r="H44" s="521"/>
      <c r="I44" s="521"/>
      <c r="J44" s="521"/>
      <c r="K44" s="361" t="s">
        <v>4</v>
      </c>
      <c r="L44" s="355"/>
      <c r="M44" s="355"/>
      <c r="N44" s="347" t="s">
        <v>59</v>
      </c>
      <c r="O44" s="130" t="s">
        <v>8</v>
      </c>
      <c r="P44" s="130" t="s">
        <v>10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49" s="11" customFormat="1" x14ac:dyDescent="0.3">
      <c r="A45" s="348" t="s">
        <v>965</v>
      </c>
      <c r="B45" s="358">
        <v>11</v>
      </c>
      <c r="C45" s="348" t="s">
        <v>827</v>
      </c>
      <c r="D45" s="359">
        <v>1191.3800000000001</v>
      </c>
      <c r="E45" s="551" t="s">
        <v>715</v>
      </c>
      <c r="F45" s="580"/>
      <c r="G45" s="580"/>
      <c r="H45" s="580"/>
      <c r="I45" s="580"/>
      <c r="J45" s="552"/>
      <c r="K45" s="359">
        <f>1191.38/4</f>
        <v>297.84500000000003</v>
      </c>
      <c r="L45" s="274"/>
      <c r="M45" s="274"/>
      <c r="N45" s="348" t="s">
        <v>1241</v>
      </c>
      <c r="O45" s="140">
        <v>10</v>
      </c>
      <c r="P45" s="360">
        <v>11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49" s="11" customFormat="1" x14ac:dyDescent="0.3">
      <c r="A46" s="348" t="s">
        <v>965</v>
      </c>
      <c r="B46" s="358">
        <v>11</v>
      </c>
      <c r="C46" s="348" t="s">
        <v>827</v>
      </c>
      <c r="D46" s="359">
        <v>1191.3800000000001</v>
      </c>
      <c r="E46" s="551" t="s">
        <v>715</v>
      </c>
      <c r="F46" s="580"/>
      <c r="G46" s="580"/>
      <c r="H46" s="580"/>
      <c r="I46" s="580"/>
      <c r="J46" s="552"/>
      <c r="K46" s="359">
        <f>1191.38/4</f>
        <v>297.84500000000003</v>
      </c>
      <c r="L46" s="274"/>
      <c r="M46" s="274"/>
      <c r="N46" s="348" t="s">
        <v>1220</v>
      </c>
      <c r="O46" s="140">
        <v>10</v>
      </c>
      <c r="P46" s="360">
        <v>11</v>
      </c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49" x14ac:dyDescent="0.3">
      <c r="A47" s="358" t="s">
        <v>1136</v>
      </c>
      <c r="B47" s="358">
        <v>7</v>
      </c>
      <c r="C47" s="358" t="s">
        <v>829</v>
      </c>
      <c r="D47" s="196">
        <f>690+61.7+1.37</f>
        <v>753.07</v>
      </c>
      <c r="E47" s="542" t="s">
        <v>1221</v>
      </c>
      <c r="F47" s="542"/>
      <c r="G47" s="542"/>
      <c r="H47" s="542"/>
      <c r="I47" s="542"/>
      <c r="J47" s="542"/>
      <c r="K47" s="196">
        <f>690+61.7+1.37</f>
        <v>753.07</v>
      </c>
      <c r="L47" s="196"/>
      <c r="M47" s="196"/>
      <c r="N47" s="196" t="s">
        <v>1242</v>
      </c>
      <c r="O47" s="384">
        <v>10</v>
      </c>
      <c r="P47" s="358">
        <v>11</v>
      </c>
      <c r="Q47" s="208"/>
      <c r="R47" s="208"/>
      <c r="S47" s="208"/>
      <c r="T47" s="208"/>
      <c r="U47" s="208"/>
      <c r="V47" s="208"/>
      <c r="W47" s="208"/>
      <c r="X47" s="208"/>
      <c r="Y47" s="208"/>
      <c r="Z47" s="208"/>
      <c r="AA47" s="208"/>
      <c r="AB47" s="208"/>
      <c r="AC47" s="208"/>
      <c r="AD47" s="208"/>
      <c r="AE47" s="208"/>
      <c r="AF47" s="208"/>
      <c r="AG47" s="208"/>
      <c r="AH47" s="208"/>
      <c r="AI47" s="208"/>
      <c r="AJ47" s="208"/>
      <c r="AK47" s="208"/>
      <c r="AL47" s="208"/>
      <c r="AM47" s="208"/>
      <c r="AN47" s="208"/>
      <c r="AO47" s="208"/>
      <c r="AP47" s="208"/>
      <c r="AQ47" s="208"/>
      <c r="AR47" s="208"/>
      <c r="AS47" s="208"/>
      <c r="AT47" s="208"/>
      <c r="AU47" s="208"/>
      <c r="AV47" s="148"/>
      <c r="AW47" s="148"/>
    </row>
    <row r="48" spans="1:49" x14ac:dyDescent="0.3">
      <c r="A48" s="348" t="s">
        <v>1005</v>
      </c>
      <c r="B48" s="358">
        <v>3</v>
      </c>
      <c r="C48" s="348" t="s">
        <v>822</v>
      </c>
      <c r="D48" s="274">
        <f>636.76+61.7+1.37</f>
        <v>699.83</v>
      </c>
      <c r="E48" s="595" t="s">
        <v>1223</v>
      </c>
      <c r="F48" s="595"/>
      <c r="G48" s="595"/>
      <c r="H48" s="595"/>
      <c r="I48" s="595"/>
      <c r="J48" s="595"/>
      <c r="K48" s="274">
        <f>636.76+61.7+1.37</f>
        <v>699.83</v>
      </c>
      <c r="L48" s="274"/>
      <c r="M48" s="274"/>
      <c r="N48" s="274" t="s">
        <v>1242</v>
      </c>
      <c r="O48" s="140">
        <v>10</v>
      </c>
      <c r="P48" s="360">
        <v>11</v>
      </c>
    </row>
    <row r="49" spans="1:60" s="69" customFormat="1" ht="15" customHeight="1" x14ac:dyDescent="0.3">
      <c r="A49" s="360" t="s">
        <v>132</v>
      </c>
      <c r="B49" s="360">
        <v>1</v>
      </c>
      <c r="C49" s="360"/>
      <c r="D49" s="5">
        <f>4977.59-1520</f>
        <v>3457.59</v>
      </c>
      <c r="E49" s="595" t="s">
        <v>284</v>
      </c>
      <c r="F49" s="595"/>
      <c r="G49" s="595"/>
      <c r="H49" s="595"/>
      <c r="I49" s="595"/>
      <c r="J49" s="595"/>
      <c r="K49" s="5">
        <f>4977.59-1520</f>
        <v>3457.59</v>
      </c>
      <c r="L49" s="5"/>
      <c r="M49" s="5"/>
      <c r="N49" s="5" t="s">
        <v>510</v>
      </c>
      <c r="O49" s="140">
        <v>10</v>
      </c>
      <c r="P49" s="360">
        <v>11</v>
      </c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</row>
    <row r="50" spans="1:60" s="11" customFormat="1" x14ac:dyDescent="0.3">
      <c r="A50" s="352" t="s">
        <v>87</v>
      </c>
      <c r="B50" s="352">
        <v>25</v>
      </c>
      <c r="C50" s="352"/>
      <c r="D50" s="5">
        <v>3013.33</v>
      </c>
      <c r="E50" s="595" t="s">
        <v>543</v>
      </c>
      <c r="F50" s="595"/>
      <c r="G50" s="595"/>
      <c r="H50" s="595"/>
      <c r="I50" s="595"/>
      <c r="J50" s="595"/>
      <c r="K50" s="275">
        <v>3040.58</v>
      </c>
      <c r="L50" s="364"/>
      <c r="M50" s="364"/>
      <c r="N50" s="5" t="s">
        <v>545</v>
      </c>
      <c r="O50" s="98">
        <v>10</v>
      </c>
      <c r="P50" s="3">
        <v>11</v>
      </c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 spans="1:60" s="11" customFormat="1" x14ac:dyDescent="0.3">
      <c r="A51" s="3" t="s">
        <v>894</v>
      </c>
      <c r="B51" s="352">
        <v>16</v>
      </c>
      <c r="C51" s="352" t="s">
        <v>823</v>
      </c>
      <c r="D51" s="5">
        <f>144.52+11.29+12.89+0.3+0.18+1664</f>
        <v>1833.18</v>
      </c>
      <c r="E51" s="595" t="s">
        <v>1158</v>
      </c>
      <c r="F51" s="595"/>
      <c r="G51" s="595"/>
      <c r="H51" s="595"/>
      <c r="I51" s="595"/>
      <c r="J51" s="595"/>
      <c r="K51" s="275">
        <f>144.52+11.29+12.89+0.3+0.18+1664</f>
        <v>1833.18</v>
      </c>
      <c r="L51" s="364"/>
      <c r="M51" s="364"/>
      <c r="N51" s="350" t="s">
        <v>969</v>
      </c>
      <c r="O51" s="98">
        <v>10</v>
      </c>
      <c r="P51" s="3">
        <v>11</v>
      </c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60" s="206" customFormat="1" ht="15" customHeight="1" x14ac:dyDescent="0.3">
      <c r="A52" s="237" t="s">
        <v>902</v>
      </c>
      <c r="B52" s="195">
        <v>17</v>
      </c>
      <c r="C52" s="195" t="s">
        <v>823</v>
      </c>
      <c r="D52" s="196">
        <v>2080.41</v>
      </c>
      <c r="E52" s="551" t="s">
        <v>1011</v>
      </c>
      <c r="F52" s="580"/>
      <c r="G52" s="580"/>
      <c r="H52" s="580"/>
      <c r="I52" s="580"/>
      <c r="J52" s="552"/>
      <c r="K52" s="196">
        <v>300</v>
      </c>
      <c r="L52" s="359"/>
      <c r="M52" s="359"/>
      <c r="N52" s="348" t="s">
        <v>1039</v>
      </c>
      <c r="O52" s="235">
        <v>10</v>
      </c>
      <c r="P52" s="197">
        <v>11</v>
      </c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  <c r="AJ52" s="205"/>
      <c r="AK52" s="205"/>
      <c r="AL52" s="205"/>
      <c r="AM52" s="205"/>
      <c r="AN52" s="205"/>
      <c r="AO52" s="205"/>
      <c r="AP52" s="205"/>
    </row>
    <row r="53" spans="1:60" s="206" customFormat="1" ht="15" customHeight="1" x14ac:dyDescent="0.3">
      <c r="A53" s="237" t="s">
        <v>902</v>
      </c>
      <c r="B53" s="195">
        <v>17</v>
      </c>
      <c r="C53" s="195" t="s">
        <v>823</v>
      </c>
      <c r="D53" s="196">
        <v>2080.41</v>
      </c>
      <c r="E53" s="551" t="s">
        <v>1011</v>
      </c>
      <c r="F53" s="580"/>
      <c r="G53" s="580"/>
      <c r="H53" s="580"/>
      <c r="I53" s="580"/>
      <c r="J53" s="552"/>
      <c r="K53" s="196">
        <v>300</v>
      </c>
      <c r="L53" s="359"/>
      <c r="M53" s="359"/>
      <c r="N53" s="348" t="s">
        <v>1049</v>
      </c>
      <c r="O53" s="235">
        <v>10</v>
      </c>
      <c r="P53" s="197">
        <v>11</v>
      </c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  <c r="AC53" s="205"/>
      <c r="AD53" s="205"/>
      <c r="AE53" s="205"/>
      <c r="AF53" s="205"/>
      <c r="AG53" s="205"/>
      <c r="AH53" s="205"/>
      <c r="AI53" s="205"/>
      <c r="AJ53" s="205"/>
      <c r="AK53" s="205"/>
      <c r="AL53" s="205"/>
      <c r="AM53" s="205"/>
      <c r="AN53" s="205"/>
      <c r="AO53" s="205"/>
      <c r="AP53" s="205"/>
    </row>
    <row r="54" spans="1:60" s="40" customFormat="1" ht="15" customHeight="1" thickBot="1" x14ac:dyDescent="0.35">
      <c r="A54" s="534" t="s">
        <v>4</v>
      </c>
      <c r="B54" s="549"/>
      <c r="C54" s="549"/>
      <c r="D54" s="549"/>
      <c r="E54" s="549"/>
      <c r="F54" s="549"/>
      <c r="G54" s="549"/>
      <c r="H54" s="549"/>
      <c r="I54" s="549"/>
      <c r="J54" s="535"/>
      <c r="K54" s="356">
        <f>SUM(K45:K53)</f>
        <v>10979.94</v>
      </c>
      <c r="L54" s="352"/>
      <c r="M54" s="352"/>
      <c r="N54" s="352"/>
      <c r="O54" s="352"/>
      <c r="P54" s="352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1"/>
      <c r="AU54" s="11"/>
      <c r="AV54" s="11"/>
      <c r="AW54" s="11"/>
    </row>
    <row r="55" spans="1:60" s="19" customFormat="1" x14ac:dyDescent="0.3">
      <c r="A55" s="179"/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1"/>
      <c r="P55" s="182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</row>
    <row r="56" spans="1:60" s="40" customFormat="1" x14ac:dyDescent="0.3">
      <c r="A56" s="585"/>
      <c r="B56" s="585"/>
      <c r="C56" s="585"/>
      <c r="D56" s="585"/>
      <c r="E56" s="585"/>
      <c r="F56" s="46"/>
      <c r="G56" s="46"/>
      <c r="H56" s="295"/>
      <c r="I56" s="46"/>
      <c r="J56" s="46"/>
      <c r="K56" s="46"/>
      <c r="L56" s="46"/>
      <c r="M56" s="46"/>
      <c r="N56" s="544" t="s">
        <v>315</v>
      </c>
      <c r="O56" s="544"/>
      <c r="P56" s="545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1"/>
      <c r="AU56" s="11"/>
      <c r="AV56" s="11"/>
      <c r="AW56" s="11"/>
    </row>
    <row r="57" spans="1:60" s="40" customFormat="1" x14ac:dyDescent="0.3">
      <c r="A57" s="206"/>
      <c r="B57" s="223"/>
      <c r="C57" s="223"/>
      <c r="D57" s="224"/>
      <c r="E57" s="223"/>
      <c r="F57" s="46"/>
      <c r="G57" s="46"/>
      <c r="H57" s="295"/>
      <c r="I57" s="11"/>
      <c r="J57" s="11"/>
      <c r="K57" s="87"/>
      <c r="L57" s="87"/>
      <c r="M57" s="87"/>
      <c r="N57" s="527" t="s">
        <v>94</v>
      </c>
      <c r="O57" s="527"/>
      <c r="P57" s="356">
        <f>L36+L41</f>
        <v>1338.0292396098343</v>
      </c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1"/>
      <c r="AU57" s="11"/>
      <c r="AV57" s="11"/>
      <c r="AW57" s="11"/>
    </row>
    <row r="58" spans="1:60" s="40" customFormat="1" x14ac:dyDescent="0.3">
      <c r="A58" s="206"/>
      <c r="B58" s="223"/>
      <c r="C58" s="223"/>
      <c r="D58" s="224"/>
      <c r="E58" s="223"/>
      <c r="F58" s="46"/>
      <c r="G58" s="46"/>
      <c r="H58" s="295"/>
      <c r="I58" s="11"/>
      <c r="J58" s="11"/>
      <c r="K58" s="14"/>
      <c r="L58" s="14"/>
      <c r="M58" s="14"/>
      <c r="N58" s="518" t="s">
        <v>260</v>
      </c>
      <c r="O58" s="518"/>
      <c r="P58" s="356">
        <f>L6</f>
        <v>852</v>
      </c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1"/>
      <c r="AU58" s="11"/>
      <c r="AV58" s="11"/>
      <c r="AW58" s="11"/>
    </row>
    <row r="59" spans="1:60" s="40" customFormat="1" x14ac:dyDescent="0.3">
      <c r="A59" s="206"/>
      <c r="B59" s="223"/>
      <c r="C59" s="223"/>
      <c r="D59" s="224"/>
      <c r="E59" s="223"/>
      <c r="F59" s="46"/>
      <c r="G59" s="46"/>
      <c r="H59" s="295"/>
      <c r="I59" s="11"/>
      <c r="J59" s="11"/>
      <c r="K59" s="14"/>
      <c r="L59" s="14"/>
      <c r="M59" s="14"/>
      <c r="N59" s="520"/>
      <c r="O59" s="520"/>
      <c r="P59" s="52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1"/>
      <c r="AU59" s="11"/>
      <c r="AV59" s="11"/>
      <c r="AW59" s="11"/>
    </row>
    <row r="60" spans="1:60" s="40" customFormat="1" x14ac:dyDescent="0.3">
      <c r="A60" s="206"/>
      <c r="B60" s="223"/>
      <c r="C60" s="223"/>
      <c r="D60" s="224"/>
      <c r="E60" s="223"/>
      <c r="F60" s="46"/>
      <c r="G60" s="46"/>
      <c r="H60" s="295"/>
      <c r="I60" s="11"/>
      <c r="J60" s="11"/>
      <c r="K60" s="62"/>
      <c r="L60" s="62"/>
      <c r="M60" s="62"/>
      <c r="N60" s="520"/>
      <c r="O60" s="520"/>
      <c r="P60" s="52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1"/>
      <c r="AU60" s="11"/>
      <c r="AV60" s="11"/>
      <c r="AW60" s="11"/>
    </row>
    <row r="61" spans="1:60" s="40" customFormat="1" ht="14.4" x14ac:dyDescent="0.3">
      <c r="A61" s="206"/>
      <c r="B61" s="223"/>
      <c r="C61" s="223"/>
      <c r="D61" s="224"/>
      <c r="E61" s="223"/>
      <c r="F61" s="46"/>
      <c r="G61" s="46"/>
      <c r="H61" s="295"/>
      <c r="I61" s="11"/>
      <c r="J61" s="11"/>
      <c r="K61" s="14"/>
      <c r="L61" s="14"/>
      <c r="M61" s="14"/>
      <c r="N61" s="529" t="s">
        <v>12</v>
      </c>
      <c r="O61" s="529"/>
      <c r="P61" s="529"/>
      <c r="Q61" s="175"/>
      <c r="R61" s="178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1"/>
      <c r="AU61" s="11"/>
      <c r="AV61" s="11"/>
      <c r="AW61" s="11"/>
    </row>
    <row r="62" spans="1:60" s="11" customFormat="1" ht="15" customHeight="1" x14ac:dyDescent="0.3">
      <c r="A62" s="206"/>
      <c r="B62" s="223"/>
      <c r="C62" s="223"/>
      <c r="D62" s="224"/>
      <c r="E62" s="223"/>
      <c r="F62" s="46"/>
      <c r="G62" s="46"/>
      <c r="H62" s="295"/>
      <c r="K62" s="63"/>
      <c r="L62" s="63"/>
      <c r="M62" s="63"/>
      <c r="N62" s="592" t="s">
        <v>126</v>
      </c>
      <c r="O62" s="592"/>
      <c r="P62" s="240">
        <v>93.03</v>
      </c>
      <c r="Q62" s="190"/>
      <c r="R62" s="178"/>
    </row>
    <row r="63" spans="1:60" s="11" customFormat="1" ht="15.6" x14ac:dyDescent="0.3">
      <c r="A63" s="206"/>
      <c r="B63" s="223"/>
      <c r="C63" s="223"/>
      <c r="D63" s="224"/>
      <c r="E63" s="223"/>
      <c r="F63" s="46"/>
      <c r="G63" s="46"/>
      <c r="H63" s="295"/>
      <c r="K63" s="14"/>
      <c r="L63" s="14"/>
      <c r="M63" s="14"/>
      <c r="N63" s="593" t="s">
        <v>127</v>
      </c>
      <c r="O63" s="593"/>
      <c r="P63" s="240">
        <v>1674.7</v>
      </c>
      <c r="Q63" s="175"/>
      <c r="R63" s="178"/>
    </row>
    <row r="64" spans="1:60" s="11" customFormat="1" ht="15" customHeight="1" x14ac:dyDescent="0.3">
      <c r="A64" s="206"/>
      <c r="B64" s="223"/>
      <c r="C64" s="223"/>
      <c r="D64" s="224"/>
      <c r="E64" s="223"/>
      <c r="F64" s="46"/>
      <c r="G64" s="46"/>
      <c r="H64" s="295"/>
      <c r="K64" s="63"/>
      <c r="L64" s="63"/>
      <c r="M64" s="63"/>
      <c r="N64" s="594" t="s">
        <v>1243</v>
      </c>
      <c r="O64" s="594"/>
      <c r="P64" s="239">
        <v>133.16999999999999</v>
      </c>
      <c r="Q64" s="190"/>
      <c r="R64" s="178"/>
    </row>
    <row r="65" spans="1:48" s="11" customFormat="1" ht="15.6" x14ac:dyDescent="0.3">
      <c r="A65" s="206"/>
      <c r="B65" s="223"/>
      <c r="C65" s="223"/>
      <c r="D65" s="224"/>
      <c r="E65" s="223"/>
      <c r="F65" s="46"/>
      <c r="G65" s="46"/>
      <c r="H65" s="295"/>
      <c r="K65" s="14"/>
      <c r="L65" s="14"/>
      <c r="M65" s="14"/>
      <c r="N65" s="594" t="s">
        <v>1244</v>
      </c>
      <c r="O65" s="594"/>
      <c r="P65" s="251">
        <v>133.54</v>
      </c>
      <c r="Q65" s="222"/>
      <c r="R65" s="178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</row>
    <row r="66" spans="1:48" s="11" customFormat="1" ht="15.6" x14ac:dyDescent="0.3">
      <c r="A66" s="206"/>
      <c r="B66" s="223"/>
      <c r="C66" s="223"/>
      <c r="D66" s="224"/>
      <c r="E66" s="223"/>
      <c r="F66" s="46"/>
      <c r="G66" s="46"/>
      <c r="H66" s="295"/>
      <c r="K66" s="63"/>
      <c r="L66" s="63"/>
      <c r="M66" s="63"/>
      <c r="N66" s="588"/>
      <c r="O66" s="589"/>
      <c r="P66" s="42"/>
      <c r="Q66" s="175"/>
      <c r="R66" s="178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</row>
    <row r="67" spans="1:48" s="11" customFormat="1" ht="15.6" x14ac:dyDescent="0.3">
      <c r="A67" s="206"/>
      <c r="B67" s="223"/>
      <c r="C67" s="223"/>
      <c r="D67" s="224"/>
      <c r="E67" s="223"/>
      <c r="F67" s="46"/>
      <c r="G67" s="46"/>
      <c r="H67" s="295"/>
      <c r="K67" s="14"/>
      <c r="L67" s="14"/>
      <c r="M67" s="14"/>
      <c r="N67" s="588"/>
      <c r="O67" s="589"/>
      <c r="P67" s="42"/>
      <c r="Q67" s="175"/>
      <c r="R67" s="185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</row>
    <row r="68" spans="1:48" s="11" customFormat="1" ht="15.6" x14ac:dyDescent="0.3">
      <c r="A68" s="206"/>
      <c r="B68" s="223"/>
      <c r="C68" s="223"/>
      <c r="D68" s="224"/>
      <c r="E68" s="223"/>
      <c r="F68" s="46"/>
      <c r="G68" s="46"/>
      <c r="H68" s="295"/>
      <c r="K68" s="14"/>
      <c r="L68" s="14"/>
      <c r="M68" s="14"/>
      <c r="N68" s="588"/>
      <c r="O68" s="589"/>
      <c r="P68" s="42"/>
      <c r="Q68" s="175"/>
      <c r="R68" s="185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</row>
    <row r="69" spans="1:48" s="11" customFormat="1" ht="15.6" x14ac:dyDescent="0.3">
      <c r="A69" s="206"/>
      <c r="B69" s="223"/>
      <c r="C69" s="223"/>
      <c r="D69" s="224"/>
      <c r="E69" s="223"/>
      <c r="F69" s="46"/>
      <c r="G69" s="46"/>
      <c r="H69" s="295"/>
      <c r="K69" s="63"/>
      <c r="L69" s="63"/>
      <c r="M69" s="63"/>
      <c r="N69" s="588"/>
      <c r="O69" s="589"/>
      <c r="P69" s="42"/>
      <c r="Q69" s="175"/>
      <c r="R69" s="178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</row>
    <row r="70" spans="1:48" s="11" customFormat="1" ht="15.6" x14ac:dyDescent="0.3">
      <c r="A70" s="206"/>
      <c r="B70" s="223"/>
      <c r="C70" s="223"/>
      <c r="D70" s="224"/>
      <c r="E70" s="223"/>
      <c r="F70" s="46"/>
      <c r="G70" s="46"/>
      <c r="H70" s="295"/>
      <c r="K70" s="14"/>
      <c r="L70" s="14"/>
      <c r="M70" s="14"/>
      <c r="N70" s="594"/>
      <c r="O70" s="594"/>
      <c r="P70" s="42"/>
      <c r="Q70" s="175"/>
      <c r="R70" s="178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</row>
    <row r="71" spans="1:48" s="11" customFormat="1" ht="15" customHeight="1" x14ac:dyDescent="0.3">
      <c r="A71" s="206"/>
      <c r="B71" s="223"/>
      <c r="C71" s="223"/>
      <c r="D71" s="224"/>
      <c r="E71" s="223"/>
      <c r="F71" s="46"/>
      <c r="G71" s="46"/>
      <c r="H71" s="295"/>
      <c r="K71" s="63"/>
      <c r="L71" s="63"/>
      <c r="M71" s="63"/>
      <c r="N71" s="594"/>
      <c r="O71" s="594"/>
      <c r="P71" s="42"/>
      <c r="R71" s="14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</row>
    <row r="72" spans="1:48" s="11" customFormat="1" ht="15.6" x14ac:dyDescent="0.3">
      <c r="A72" s="206"/>
      <c r="B72" s="223"/>
      <c r="C72" s="223"/>
      <c r="D72" s="224"/>
      <c r="E72" s="223"/>
      <c r="F72" s="46"/>
      <c r="G72" s="46"/>
      <c r="H72" s="295"/>
      <c r="K72" s="14"/>
      <c r="L72" s="14"/>
      <c r="M72" s="14"/>
      <c r="N72" s="594"/>
      <c r="O72" s="594"/>
      <c r="P72" s="42"/>
      <c r="Q72" s="190"/>
      <c r="R72" s="178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</row>
    <row r="73" spans="1:48" s="11" customFormat="1" ht="18.600000000000001" customHeight="1" x14ac:dyDescent="0.3">
      <c r="A73" s="206"/>
      <c r="B73" s="223"/>
      <c r="C73" s="223"/>
      <c r="D73" s="224"/>
      <c r="E73" s="223"/>
      <c r="F73" s="46"/>
      <c r="G73" s="46"/>
      <c r="H73" s="295"/>
      <c r="K73" s="63"/>
      <c r="L73" s="63"/>
      <c r="M73" s="63"/>
      <c r="N73" s="586" t="s">
        <v>26</v>
      </c>
      <c r="O73" s="586"/>
      <c r="P73" s="241">
        <f>SUM(P57:P72)</f>
        <v>4224.4692396098344</v>
      </c>
      <c r="Q73" s="175"/>
      <c r="R73" s="178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</row>
    <row r="74" spans="1:48" s="11" customFormat="1" ht="15.6" x14ac:dyDescent="0.3">
      <c r="A74" s="206"/>
      <c r="B74" s="223"/>
      <c r="C74" s="223"/>
      <c r="D74" s="224"/>
      <c r="E74" s="223"/>
      <c r="F74" s="46"/>
      <c r="G74" s="46"/>
      <c r="H74" s="295"/>
      <c r="N74" s="587"/>
      <c r="O74" s="587"/>
      <c r="P74" s="242"/>
      <c r="Q74" s="175"/>
      <c r="R74" s="178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</row>
    <row r="75" spans="1:48" s="11" customFormat="1" ht="14.4" x14ac:dyDescent="0.3">
      <c r="A75" s="206"/>
      <c r="B75" s="223"/>
      <c r="C75" s="223"/>
      <c r="D75" s="224"/>
      <c r="E75" s="223"/>
      <c r="F75" s="46"/>
      <c r="G75" s="46"/>
      <c r="H75" s="295"/>
      <c r="K75" s="63"/>
      <c r="L75" s="63"/>
      <c r="M75" s="63"/>
      <c r="N75" s="564" t="s">
        <v>11</v>
      </c>
      <c r="O75" s="565"/>
      <c r="P75" s="153">
        <f>K6+K36+K41</f>
        <v>20660.847512832152</v>
      </c>
      <c r="Q75" s="175"/>
      <c r="R75" s="178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</row>
    <row r="76" spans="1:48" s="11" customFormat="1" ht="14.4" x14ac:dyDescent="0.3">
      <c r="A76" s="206"/>
      <c r="B76" s="223"/>
      <c r="C76" s="223"/>
      <c r="D76" s="224"/>
      <c r="E76" s="223"/>
      <c r="F76" s="46"/>
      <c r="G76" s="46"/>
      <c r="H76" s="295"/>
      <c r="K76" s="14"/>
      <c r="L76" s="14"/>
      <c r="M76" s="14"/>
      <c r="N76" s="518"/>
      <c r="O76" s="518"/>
      <c r="P76" s="519"/>
      <c r="Q76" s="175"/>
      <c r="R76" s="185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</row>
    <row r="77" spans="1:48" s="11" customFormat="1" ht="14.4" x14ac:dyDescent="0.3">
      <c r="A77" s="206"/>
      <c r="B77" s="223"/>
      <c r="C77" s="223"/>
      <c r="D77" s="224"/>
      <c r="E77" s="223"/>
      <c r="F77" s="46"/>
      <c r="G77" s="46"/>
      <c r="H77" s="295"/>
      <c r="N77" s="513" t="s">
        <v>13</v>
      </c>
      <c r="O77" s="513"/>
      <c r="P77" s="151">
        <f>P75-P73</f>
        <v>16436.378273222319</v>
      </c>
      <c r="Q77" s="175"/>
      <c r="R77" s="176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</row>
    <row r="78" spans="1:48" s="11" customFormat="1" ht="14.4" x14ac:dyDescent="0.3">
      <c r="A78" s="206"/>
      <c r="B78" s="223"/>
      <c r="C78" s="223"/>
      <c r="D78" s="224"/>
      <c r="E78" s="223"/>
      <c r="F78" s="46"/>
      <c r="G78" s="46"/>
      <c r="H78" s="295"/>
      <c r="N78" s="124"/>
      <c r="O78" s="124"/>
      <c r="P78" s="57"/>
      <c r="Q78" s="175"/>
      <c r="R78" s="176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</row>
    <row r="79" spans="1:48" s="11" customFormat="1" ht="14.4" x14ac:dyDescent="0.3">
      <c r="A79" s="206"/>
      <c r="B79" s="223"/>
      <c r="C79" s="223"/>
      <c r="D79" s="224"/>
      <c r="E79" s="223"/>
      <c r="F79" s="46"/>
      <c r="G79" s="46"/>
      <c r="H79" s="295"/>
      <c r="N79" s="124"/>
      <c r="O79" s="124"/>
      <c r="P79" s="57"/>
      <c r="Q79" s="175"/>
      <c r="R79" s="178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</row>
    <row r="80" spans="1:48" s="11" customFormat="1" ht="14.4" x14ac:dyDescent="0.3">
      <c r="A80" s="206"/>
      <c r="B80" s="223"/>
      <c r="C80" s="223"/>
      <c r="D80" s="224"/>
      <c r="E80" s="223"/>
      <c r="F80" s="46"/>
      <c r="G80" s="46"/>
      <c r="H80" s="295"/>
      <c r="K80" s="14"/>
      <c r="L80" s="14"/>
      <c r="M80" s="14"/>
      <c r="N80" s="124"/>
      <c r="O80" s="124"/>
      <c r="P80" s="57"/>
      <c r="Q80" s="175"/>
      <c r="R80" s="178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</row>
    <row r="81" spans="1:47" s="11" customFormat="1" ht="14.4" x14ac:dyDescent="0.3">
      <c r="A81" s="206"/>
      <c r="B81" s="223"/>
      <c r="C81" s="223"/>
      <c r="D81" s="224"/>
      <c r="E81" s="223"/>
      <c r="F81" s="46"/>
      <c r="G81" s="46"/>
      <c r="H81" s="295"/>
      <c r="K81" s="357"/>
      <c r="L81" s="357"/>
      <c r="M81" s="357"/>
      <c r="Q81" s="175"/>
      <c r="R81" s="178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</row>
    <row r="82" spans="1:47" s="11" customFormat="1" ht="14.4" x14ac:dyDescent="0.3">
      <c r="A82" s="206"/>
      <c r="B82" s="223"/>
      <c r="C82" s="223"/>
      <c r="D82" s="224"/>
      <c r="E82" s="223"/>
      <c r="F82" s="46"/>
      <c r="G82" s="46"/>
      <c r="H82" s="295"/>
      <c r="K82" s="14"/>
      <c r="L82" s="14"/>
      <c r="M82" s="14"/>
      <c r="N82" s="357"/>
      <c r="O82" s="14"/>
      <c r="P82" s="57"/>
      <c r="Q82" s="175"/>
      <c r="R82" s="178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</row>
    <row r="83" spans="1:47" s="11" customFormat="1" ht="14.4" x14ac:dyDescent="0.3">
      <c r="A83" s="206"/>
      <c r="B83" s="223"/>
      <c r="C83" s="223"/>
      <c r="D83" s="224"/>
      <c r="E83" s="223"/>
      <c r="F83" s="46"/>
      <c r="G83" s="46"/>
      <c r="H83" s="295"/>
      <c r="K83" s="14"/>
      <c r="L83" s="14"/>
      <c r="M83" s="14"/>
      <c r="O83" s="357"/>
      <c r="P83" s="57"/>
      <c r="Q83" s="175"/>
      <c r="R83" s="178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</row>
    <row r="84" spans="1:47" s="11" customFormat="1" ht="14.4" x14ac:dyDescent="0.3">
      <c r="A84" s="206"/>
      <c r="B84" s="223"/>
      <c r="C84" s="223"/>
      <c r="D84" s="224"/>
      <c r="E84" s="223"/>
      <c r="F84" s="46"/>
      <c r="G84" s="46"/>
      <c r="H84" s="295"/>
      <c r="K84" s="14"/>
      <c r="L84" s="14"/>
      <c r="M84" s="14"/>
      <c r="P84" s="57"/>
      <c r="Q84" s="175"/>
      <c r="R84" s="178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</row>
    <row r="85" spans="1:47" s="11" customFormat="1" x14ac:dyDescent="0.3">
      <c r="A85" s="206"/>
      <c r="B85" s="223"/>
      <c r="C85" s="223"/>
      <c r="D85" s="224"/>
      <c r="E85" s="223"/>
      <c r="F85" s="46"/>
      <c r="G85" s="46"/>
      <c r="H85" s="295"/>
      <c r="K85" s="14"/>
      <c r="L85" s="14"/>
      <c r="M85" s="14"/>
      <c r="N85" s="14"/>
      <c r="O85" s="14"/>
      <c r="P85" s="57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</row>
    <row r="86" spans="1:47" s="69" customFormat="1" x14ac:dyDescent="0.3">
      <c r="A86" s="206"/>
      <c r="B86" s="223"/>
      <c r="C86" s="223"/>
      <c r="D86" s="224"/>
      <c r="E86" s="223"/>
      <c r="F86" s="46"/>
      <c r="G86" s="46"/>
      <c r="H86" s="295"/>
      <c r="I86" s="11"/>
      <c r="J86" s="11"/>
      <c r="K86" s="14"/>
      <c r="L86" s="14"/>
      <c r="M86" s="14"/>
      <c r="N86" s="14"/>
      <c r="O86" s="357"/>
      <c r="P86" s="57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</row>
    <row r="87" spans="1:47" s="69" customFormat="1" x14ac:dyDescent="0.3">
      <c r="A87" s="206"/>
      <c r="B87" s="223"/>
      <c r="C87" s="223"/>
      <c r="D87" s="224"/>
      <c r="E87" s="223"/>
      <c r="F87" s="46"/>
      <c r="G87" s="46"/>
      <c r="H87" s="295"/>
      <c r="I87" s="11"/>
      <c r="J87" s="11"/>
      <c r="K87" s="14"/>
      <c r="L87" s="14"/>
      <c r="M87" s="14"/>
      <c r="N87" s="14"/>
      <c r="O87" s="11"/>
      <c r="P87" s="57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</row>
    <row r="88" spans="1:47" s="69" customFormat="1" x14ac:dyDescent="0.3">
      <c r="A88" s="206"/>
      <c r="B88" s="223"/>
      <c r="C88" s="223"/>
      <c r="D88" s="224"/>
      <c r="E88" s="223"/>
      <c r="F88" s="46"/>
      <c r="G88" s="46"/>
      <c r="H88" s="295"/>
      <c r="I88" s="11"/>
      <c r="J88" s="11"/>
      <c r="K88" s="14"/>
      <c r="L88" s="14"/>
      <c r="M88" s="14"/>
      <c r="N88" s="14"/>
      <c r="O88" s="11"/>
      <c r="P88" s="57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</row>
    <row r="89" spans="1:47" s="69" customFormat="1" x14ac:dyDescent="0.3">
      <c r="A89" s="206"/>
      <c r="B89" s="223"/>
      <c r="C89" s="223"/>
      <c r="D89" s="224"/>
      <c r="E89" s="223"/>
      <c r="F89" s="46"/>
      <c r="G89" s="46"/>
      <c r="H89" s="295"/>
      <c r="I89" s="11"/>
      <c r="J89" s="11"/>
      <c r="K89" s="14"/>
      <c r="L89" s="14"/>
      <c r="M89" s="14"/>
      <c r="N89" s="11"/>
      <c r="O89" s="11"/>
      <c r="P89" s="57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</row>
    <row r="90" spans="1:47" s="69" customFormat="1" x14ac:dyDescent="0.3">
      <c r="A90" s="206"/>
      <c r="B90" s="223"/>
      <c r="C90" s="223"/>
      <c r="D90" s="224"/>
      <c r="E90" s="223"/>
      <c r="F90" s="46"/>
      <c r="G90" s="46"/>
      <c r="H90" s="295"/>
      <c r="I90" s="11"/>
      <c r="J90" s="11"/>
      <c r="K90" s="14"/>
      <c r="L90" s="14"/>
      <c r="M90" s="14"/>
      <c r="N90" s="11"/>
      <c r="O90" s="14"/>
      <c r="P90" s="57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</row>
    <row r="91" spans="1:47" s="69" customFormat="1" x14ac:dyDescent="0.3">
      <c r="A91" s="206"/>
      <c r="B91" s="223"/>
      <c r="C91" s="223"/>
      <c r="D91" s="224"/>
      <c r="E91" s="223"/>
      <c r="F91" s="46"/>
      <c r="G91" s="46"/>
      <c r="H91" s="295"/>
      <c r="I91" s="11"/>
      <c r="J91" s="11"/>
      <c r="K91" s="14"/>
      <c r="L91" s="14"/>
      <c r="M91" s="14"/>
      <c r="N91" s="11"/>
      <c r="O91" s="14"/>
      <c r="P91" s="57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</row>
    <row r="92" spans="1:47" s="69" customFormat="1" x14ac:dyDescent="0.3">
      <c r="A92" s="206"/>
      <c r="B92" s="223"/>
      <c r="C92" s="223"/>
      <c r="D92" s="224"/>
      <c r="E92" s="223"/>
      <c r="F92" s="46"/>
      <c r="G92" s="46"/>
      <c r="H92" s="295"/>
      <c r="I92" s="11"/>
      <c r="J92" s="11"/>
      <c r="K92" s="14"/>
      <c r="L92" s="14"/>
      <c r="M92" s="14"/>
      <c r="N92" s="11"/>
      <c r="O92" s="14"/>
      <c r="P92" s="57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</row>
    <row r="93" spans="1:47" s="69" customFormat="1" x14ac:dyDescent="0.3">
      <c r="A93" s="206"/>
      <c r="B93" s="223"/>
      <c r="C93" s="223"/>
      <c r="D93" s="224"/>
      <c r="E93" s="223"/>
      <c r="F93" s="46"/>
      <c r="G93" s="46"/>
      <c r="H93" s="295"/>
      <c r="I93" s="11"/>
      <c r="J93" s="11"/>
      <c r="K93" s="14"/>
      <c r="L93" s="14"/>
      <c r="M93" s="14"/>
      <c r="N93" s="11"/>
      <c r="O93" s="14"/>
      <c r="P93" s="57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</row>
    <row r="94" spans="1:47" s="69" customFormat="1" x14ac:dyDescent="0.3">
      <c r="A94" s="206"/>
      <c r="B94" s="223"/>
      <c r="C94" s="223"/>
      <c r="D94" s="224"/>
      <c r="E94" s="223"/>
      <c r="F94" s="46"/>
      <c r="G94" s="46"/>
      <c r="H94" s="295"/>
      <c r="I94" s="11"/>
      <c r="J94" s="11"/>
      <c r="K94" s="14"/>
      <c r="L94" s="14"/>
      <c r="M94" s="14"/>
      <c r="N94" s="11"/>
      <c r="O94" s="11"/>
      <c r="P94" s="57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</row>
    <row r="95" spans="1:47" s="69" customFormat="1" x14ac:dyDescent="0.3">
      <c r="A95" s="206"/>
      <c r="B95" s="223"/>
      <c r="C95" s="223"/>
      <c r="D95" s="224"/>
      <c r="E95" s="223"/>
      <c r="F95" s="46"/>
      <c r="G95" s="46"/>
      <c r="H95" s="296"/>
      <c r="I95" s="11"/>
      <c r="J95" s="11"/>
      <c r="K95" s="14"/>
      <c r="L95" s="14"/>
      <c r="M95" s="14"/>
      <c r="N95" s="11"/>
      <c r="O95" s="11"/>
      <c r="P95" s="57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</row>
    <row r="96" spans="1:47" s="69" customFormat="1" x14ac:dyDescent="0.3">
      <c r="A96" s="206"/>
      <c r="B96" s="223"/>
      <c r="C96" s="223"/>
      <c r="D96" s="224"/>
      <c r="E96" s="223"/>
      <c r="F96" s="46"/>
      <c r="G96" s="46"/>
      <c r="H96" s="296"/>
      <c r="I96" s="11"/>
      <c r="J96" s="11"/>
      <c r="K96" s="14"/>
      <c r="L96" s="14"/>
      <c r="M96" s="14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</row>
    <row r="97" spans="1:48" s="69" customFormat="1" x14ac:dyDescent="0.3">
      <c r="A97" s="206"/>
      <c r="B97" s="223"/>
      <c r="C97" s="223"/>
      <c r="D97" s="224"/>
      <c r="E97" s="223"/>
      <c r="F97" s="46"/>
      <c r="G97" s="46"/>
      <c r="H97" s="296"/>
      <c r="K97" s="142"/>
      <c r="L97" s="142"/>
      <c r="M97" s="142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</row>
    <row r="98" spans="1:48" s="70" customFormat="1" x14ac:dyDescent="0.3">
      <c r="A98" s="206"/>
      <c r="B98" s="223"/>
      <c r="C98" s="223"/>
      <c r="D98" s="224"/>
      <c r="E98" s="223"/>
      <c r="F98" s="46"/>
      <c r="G98" s="46"/>
      <c r="H98" s="296"/>
      <c r="I98" s="63"/>
      <c r="J98" s="63"/>
      <c r="K98" s="69"/>
      <c r="L98" s="69"/>
      <c r="M98" s="69"/>
      <c r="N98" s="69"/>
      <c r="O98" s="69"/>
      <c r="P98" s="69"/>
    </row>
    <row r="99" spans="1:48" s="70" customFormat="1" ht="15" customHeight="1" x14ac:dyDescent="0.3">
      <c r="A99" s="206"/>
      <c r="B99" s="223"/>
      <c r="C99" s="223"/>
      <c r="D99" s="224"/>
      <c r="E99" s="223"/>
      <c r="F99" s="46"/>
      <c r="G99" s="46"/>
      <c r="H99" s="296"/>
      <c r="I99" s="11"/>
      <c r="J99" s="63"/>
      <c r="K99" s="142"/>
      <c r="L99" s="142"/>
      <c r="M99" s="142"/>
      <c r="N99" s="69"/>
      <c r="O99" s="69"/>
      <c r="P99" s="69"/>
      <c r="AV99" s="69"/>
    </row>
    <row r="100" spans="1:48" s="70" customFormat="1" x14ac:dyDescent="0.3">
      <c r="A100" s="206"/>
      <c r="B100" s="223"/>
      <c r="C100" s="223"/>
      <c r="D100" s="224"/>
      <c r="E100" s="223"/>
      <c r="F100" s="46"/>
      <c r="G100" s="46"/>
      <c r="H100" s="296"/>
      <c r="I100" s="142"/>
      <c r="J100" s="142"/>
      <c r="K100" s="142"/>
      <c r="L100" s="142"/>
      <c r="M100" s="142"/>
      <c r="N100" s="69"/>
      <c r="O100" s="69"/>
      <c r="P100" s="69"/>
      <c r="AV100" s="69"/>
    </row>
    <row r="101" spans="1:48" s="70" customFormat="1" x14ac:dyDescent="0.3">
      <c r="A101" s="206"/>
      <c r="B101" s="223"/>
      <c r="C101" s="223"/>
      <c r="D101" s="224"/>
      <c r="E101" s="223"/>
      <c r="F101" s="46"/>
      <c r="G101" s="46"/>
      <c r="H101" s="296"/>
      <c r="I101" s="11"/>
      <c r="J101" s="63"/>
      <c r="K101" s="142"/>
      <c r="L101" s="142"/>
      <c r="M101" s="142"/>
      <c r="N101" s="69"/>
      <c r="O101" s="69"/>
      <c r="P101" s="69"/>
      <c r="AV101" s="69"/>
    </row>
    <row r="102" spans="1:48" s="70" customFormat="1" x14ac:dyDescent="0.3">
      <c r="A102" s="206"/>
      <c r="B102" s="223"/>
      <c r="C102" s="223"/>
      <c r="D102" s="224"/>
      <c r="E102" s="223"/>
      <c r="F102" s="46"/>
      <c r="G102" s="46"/>
      <c r="H102" s="296"/>
      <c r="I102" s="142"/>
      <c r="J102" s="142"/>
      <c r="K102" s="142"/>
      <c r="L102" s="142"/>
      <c r="M102" s="142"/>
      <c r="N102" s="69"/>
      <c r="O102" s="69"/>
      <c r="P102" s="69"/>
      <c r="AV102" s="69"/>
    </row>
    <row r="103" spans="1:48" s="70" customFormat="1" x14ac:dyDescent="0.3">
      <c r="A103" s="206"/>
      <c r="B103" s="223"/>
      <c r="C103" s="223"/>
      <c r="D103" s="224"/>
      <c r="E103" s="223"/>
      <c r="F103" s="46"/>
      <c r="G103" s="46"/>
      <c r="H103" s="296"/>
      <c r="I103" s="11"/>
      <c r="J103" s="63"/>
      <c r="K103" s="142"/>
      <c r="L103" s="142"/>
      <c r="M103" s="142"/>
      <c r="N103" s="144"/>
      <c r="O103" s="69"/>
      <c r="P103" s="69"/>
      <c r="AV103" s="69"/>
    </row>
    <row r="104" spans="1:48" s="70" customFormat="1" x14ac:dyDescent="0.3">
      <c r="A104" s="206"/>
      <c r="B104" s="223"/>
      <c r="C104" s="223"/>
      <c r="D104" s="224"/>
      <c r="E104" s="223"/>
      <c r="F104" s="46"/>
      <c r="G104" s="46"/>
      <c r="H104" s="296"/>
      <c r="I104" s="142"/>
      <c r="J104" s="142"/>
      <c r="K104" s="142"/>
      <c r="L104" s="142"/>
      <c r="M104" s="142"/>
      <c r="N104" s="144"/>
      <c r="O104" s="69"/>
      <c r="P104" s="69"/>
      <c r="AV104" s="69"/>
    </row>
    <row r="105" spans="1:48" s="70" customFormat="1" x14ac:dyDescent="0.3">
      <c r="A105" s="206"/>
      <c r="B105" s="223"/>
      <c r="C105" s="223"/>
      <c r="D105" s="224"/>
      <c r="E105" s="223"/>
      <c r="F105" s="46"/>
      <c r="G105" s="46"/>
      <c r="H105" s="296"/>
      <c r="I105" s="11"/>
      <c r="J105" s="63"/>
      <c r="K105" s="142"/>
      <c r="L105" s="142"/>
      <c r="M105" s="142"/>
      <c r="N105" s="144"/>
      <c r="O105" s="69"/>
      <c r="AV105" s="69"/>
    </row>
    <row r="106" spans="1:48" s="70" customFormat="1" x14ac:dyDescent="0.3">
      <c r="A106" s="206"/>
      <c r="B106" s="223"/>
      <c r="C106" s="223"/>
      <c r="D106" s="224"/>
      <c r="E106" s="223"/>
      <c r="F106" s="46"/>
      <c r="G106" s="46"/>
      <c r="H106" s="296"/>
      <c r="I106" s="142"/>
      <c r="J106" s="142"/>
      <c r="K106" s="142"/>
      <c r="L106" s="142"/>
      <c r="M106" s="142"/>
      <c r="N106" s="144"/>
      <c r="O106" s="69"/>
      <c r="AV106" s="69"/>
    </row>
    <row r="107" spans="1:48" s="70" customFormat="1" x14ac:dyDescent="0.3">
      <c r="A107" s="206"/>
      <c r="B107" s="223"/>
      <c r="C107" s="223"/>
      <c r="D107" s="224"/>
      <c r="E107" s="223"/>
      <c r="F107" s="46"/>
      <c r="G107" s="46"/>
      <c r="H107" s="296"/>
      <c r="I107" s="11"/>
      <c r="J107" s="63"/>
      <c r="K107" s="142"/>
      <c r="L107" s="142"/>
      <c r="M107" s="142"/>
      <c r="N107" s="144"/>
      <c r="O107" s="69"/>
      <c r="AV107" s="69"/>
    </row>
    <row r="108" spans="1:48" s="70" customFormat="1" x14ac:dyDescent="0.3">
      <c r="A108" s="148"/>
      <c r="B108" s="225"/>
      <c r="C108" s="225"/>
      <c r="D108" s="225"/>
      <c r="E108" s="225"/>
      <c r="F108" s="46"/>
      <c r="G108" s="46"/>
      <c r="H108" s="296"/>
      <c r="I108" s="142"/>
      <c r="J108" s="142"/>
      <c r="K108" s="142"/>
      <c r="L108" s="142"/>
      <c r="M108" s="142"/>
      <c r="N108" s="144"/>
      <c r="O108" s="144"/>
      <c r="AV108" s="69"/>
    </row>
    <row r="109" spans="1:48" s="70" customFormat="1" x14ac:dyDescent="0.3">
      <c r="A109" s="69"/>
      <c r="B109" s="69"/>
      <c r="C109" s="69"/>
      <c r="D109" s="69"/>
      <c r="E109" s="69"/>
      <c r="F109" s="69"/>
      <c r="G109" s="69"/>
      <c r="H109" s="297"/>
      <c r="I109" s="142"/>
      <c r="J109" s="142"/>
      <c r="K109" s="142"/>
      <c r="L109" s="142"/>
      <c r="M109" s="142"/>
      <c r="N109" s="144"/>
      <c r="O109" s="144"/>
      <c r="AV109" s="69"/>
    </row>
    <row r="110" spans="1:48" s="70" customFormat="1" x14ac:dyDescent="0.3">
      <c r="A110" s="69"/>
      <c r="B110" s="69"/>
      <c r="C110" s="69"/>
      <c r="D110" s="69"/>
      <c r="E110" s="69"/>
      <c r="F110" s="69"/>
      <c r="G110" s="69"/>
      <c r="H110" s="297"/>
      <c r="I110" s="69"/>
      <c r="J110" s="69"/>
      <c r="K110" s="142"/>
      <c r="L110" s="142"/>
      <c r="M110" s="142"/>
      <c r="N110" s="144"/>
      <c r="O110" s="144"/>
      <c r="AV110" s="69"/>
    </row>
    <row r="111" spans="1:48" s="70" customFormat="1" x14ac:dyDescent="0.3">
      <c r="A111" s="69"/>
      <c r="B111" s="69"/>
      <c r="C111" s="69"/>
      <c r="D111" s="69"/>
      <c r="E111" s="69"/>
      <c r="F111" s="69"/>
      <c r="G111" s="69"/>
      <c r="H111" s="297"/>
      <c r="I111" s="69"/>
      <c r="J111" s="69"/>
      <c r="K111" s="142"/>
      <c r="L111" s="142"/>
      <c r="M111" s="142"/>
      <c r="N111" s="144"/>
      <c r="O111" s="144"/>
      <c r="AV111" s="69"/>
    </row>
    <row r="112" spans="1:48" s="70" customFormat="1" x14ac:dyDescent="0.3">
      <c r="A112" s="69"/>
      <c r="B112" s="69"/>
      <c r="C112" s="69"/>
      <c r="D112" s="69"/>
      <c r="E112" s="69"/>
      <c r="F112" s="69"/>
      <c r="G112" s="69"/>
      <c r="H112" s="297"/>
      <c r="I112" s="69"/>
      <c r="J112" s="69"/>
      <c r="K112" s="142"/>
      <c r="L112" s="142"/>
      <c r="M112" s="142"/>
      <c r="N112" s="144"/>
      <c r="O112" s="144"/>
      <c r="AV112" s="69"/>
    </row>
    <row r="113" spans="1:48" s="70" customFormat="1" x14ac:dyDescent="0.3">
      <c r="A113" s="69"/>
      <c r="B113" s="69"/>
      <c r="C113" s="69"/>
      <c r="D113" s="69"/>
      <c r="E113" s="69"/>
      <c r="F113" s="69"/>
      <c r="G113" s="69"/>
      <c r="H113" s="297"/>
      <c r="I113" s="69"/>
      <c r="J113" s="69"/>
      <c r="K113" s="142"/>
      <c r="L113" s="142"/>
      <c r="M113" s="142"/>
      <c r="N113" s="144"/>
      <c r="O113" s="144"/>
      <c r="AV113" s="69"/>
    </row>
    <row r="114" spans="1:48" s="70" customFormat="1" x14ac:dyDescent="0.3">
      <c r="A114" s="69"/>
      <c r="B114" s="69"/>
      <c r="C114" s="69"/>
      <c r="D114" s="69"/>
      <c r="E114" s="69"/>
      <c r="F114" s="69"/>
      <c r="G114" s="69"/>
      <c r="H114" s="297"/>
      <c r="I114" s="69"/>
      <c r="J114" s="69"/>
      <c r="K114" s="142"/>
      <c r="L114" s="142"/>
      <c r="M114" s="142"/>
      <c r="N114" s="144"/>
      <c r="O114" s="144"/>
      <c r="AV114" s="69"/>
    </row>
    <row r="115" spans="1:48" s="70" customFormat="1" x14ac:dyDescent="0.3">
      <c r="A115" s="69"/>
      <c r="B115" s="69"/>
      <c r="C115" s="69"/>
      <c r="D115" s="69"/>
      <c r="E115" s="69"/>
      <c r="F115" s="69"/>
      <c r="G115" s="69"/>
      <c r="H115" s="297"/>
      <c r="I115" s="69"/>
      <c r="J115" s="69"/>
      <c r="K115" s="142"/>
      <c r="L115" s="142"/>
      <c r="M115" s="142"/>
      <c r="N115" s="144"/>
      <c r="O115" s="144"/>
      <c r="AV115" s="69"/>
    </row>
    <row r="116" spans="1:48" s="70" customFormat="1" x14ac:dyDescent="0.3">
      <c r="F116" s="69"/>
      <c r="G116" s="69"/>
      <c r="H116" s="297"/>
      <c r="I116" s="69"/>
      <c r="J116" s="69"/>
      <c r="K116" s="142"/>
      <c r="L116" s="142"/>
      <c r="M116" s="142"/>
      <c r="N116" s="144"/>
      <c r="O116" s="144"/>
      <c r="AV116" s="69"/>
    </row>
    <row r="117" spans="1:48" s="70" customFormat="1" x14ac:dyDescent="0.3">
      <c r="H117" s="298"/>
      <c r="I117" s="69"/>
      <c r="J117" s="69"/>
      <c r="K117" s="142"/>
      <c r="L117" s="142"/>
      <c r="M117" s="142"/>
      <c r="N117" s="144"/>
      <c r="O117" s="144"/>
      <c r="AV117" s="69"/>
    </row>
    <row r="118" spans="1:48" s="70" customFormat="1" x14ac:dyDescent="0.3">
      <c r="H118" s="298"/>
      <c r="K118" s="142"/>
      <c r="L118" s="142"/>
      <c r="M118" s="142"/>
      <c r="N118" s="144"/>
      <c r="O118" s="144"/>
      <c r="AV118" s="69"/>
    </row>
    <row r="119" spans="1:48" s="70" customFormat="1" x14ac:dyDescent="0.3">
      <c r="H119" s="298"/>
      <c r="K119" s="142"/>
      <c r="L119" s="142"/>
      <c r="M119" s="142"/>
      <c r="N119" s="144"/>
      <c r="O119" s="144"/>
      <c r="AV119" s="69"/>
    </row>
    <row r="120" spans="1:48" s="70" customFormat="1" x14ac:dyDescent="0.3">
      <c r="H120" s="298"/>
      <c r="K120" s="142"/>
      <c r="L120" s="142"/>
      <c r="M120" s="142"/>
      <c r="N120" s="144"/>
      <c r="O120" s="144"/>
      <c r="AV120" s="69"/>
    </row>
    <row r="121" spans="1:48" s="70" customFormat="1" x14ac:dyDescent="0.3">
      <c r="H121" s="298"/>
      <c r="K121" s="142"/>
      <c r="L121" s="142"/>
      <c r="M121" s="142"/>
      <c r="N121" s="144"/>
      <c r="O121" s="144"/>
      <c r="AV121" s="69"/>
    </row>
    <row r="122" spans="1:48" s="70" customFormat="1" x14ac:dyDescent="0.3">
      <c r="H122" s="298"/>
      <c r="K122" s="142"/>
      <c r="L122" s="142"/>
      <c r="M122" s="142"/>
      <c r="N122" s="144"/>
      <c r="O122" s="144"/>
      <c r="AV122" s="69"/>
    </row>
    <row r="123" spans="1:48" s="70" customFormat="1" x14ac:dyDescent="0.3">
      <c r="H123" s="298"/>
      <c r="K123" s="142"/>
      <c r="L123" s="142"/>
      <c r="M123" s="142"/>
      <c r="N123" s="144"/>
      <c r="O123" s="144"/>
      <c r="AV123" s="69"/>
    </row>
    <row r="124" spans="1:48" s="70" customFormat="1" x14ac:dyDescent="0.3">
      <c r="H124" s="298"/>
      <c r="K124" s="142"/>
      <c r="L124" s="142"/>
      <c r="M124" s="142"/>
      <c r="N124" s="144"/>
      <c r="O124" s="144"/>
      <c r="AV124" s="69"/>
    </row>
    <row r="125" spans="1:48" s="70" customFormat="1" x14ac:dyDescent="0.3">
      <c r="H125" s="298"/>
      <c r="K125" s="142"/>
      <c r="L125" s="142"/>
      <c r="M125" s="142"/>
      <c r="N125" s="144"/>
      <c r="O125" s="144"/>
      <c r="AV125" s="69"/>
    </row>
    <row r="126" spans="1:48" s="70" customFormat="1" x14ac:dyDescent="0.3">
      <c r="H126" s="298"/>
      <c r="K126" s="142"/>
      <c r="L126" s="142"/>
      <c r="M126" s="142"/>
      <c r="N126" s="144"/>
      <c r="O126" s="144"/>
      <c r="AV126" s="69"/>
    </row>
    <row r="127" spans="1:48" s="70" customFormat="1" x14ac:dyDescent="0.3">
      <c r="H127" s="298"/>
      <c r="K127" s="142"/>
      <c r="L127" s="142"/>
      <c r="M127" s="142"/>
      <c r="N127" s="144"/>
      <c r="O127" s="144"/>
      <c r="AV127" s="69"/>
    </row>
    <row r="128" spans="1:48" s="70" customFormat="1" x14ac:dyDescent="0.3">
      <c r="H128" s="298"/>
      <c r="K128" s="142"/>
      <c r="L128" s="142"/>
      <c r="M128" s="142"/>
      <c r="N128" s="144"/>
      <c r="O128" s="144"/>
      <c r="AV128" s="69"/>
    </row>
    <row r="129" spans="8:48" s="70" customFormat="1" x14ac:dyDescent="0.3">
      <c r="H129" s="298"/>
      <c r="K129" s="142"/>
      <c r="L129" s="142"/>
      <c r="M129" s="142"/>
      <c r="N129" s="144"/>
      <c r="O129" s="144"/>
      <c r="AV129" s="69"/>
    </row>
    <row r="130" spans="8:48" s="70" customFormat="1" x14ac:dyDescent="0.3">
      <c r="H130" s="298"/>
      <c r="K130" s="142"/>
      <c r="L130" s="142"/>
      <c r="M130" s="142"/>
      <c r="N130" s="144"/>
      <c r="O130" s="144"/>
      <c r="AV130" s="69"/>
    </row>
    <row r="131" spans="8:48" s="70" customFormat="1" x14ac:dyDescent="0.3">
      <c r="H131" s="298"/>
      <c r="K131" s="142"/>
      <c r="L131" s="142"/>
      <c r="M131" s="142"/>
      <c r="N131" s="144"/>
      <c r="O131" s="144"/>
      <c r="AV131" s="69"/>
    </row>
    <row r="132" spans="8:48" s="70" customFormat="1" x14ac:dyDescent="0.3">
      <c r="H132" s="298"/>
      <c r="K132" s="142"/>
      <c r="L132" s="142"/>
      <c r="M132" s="142"/>
      <c r="N132" s="144"/>
      <c r="O132" s="144"/>
      <c r="AV132" s="69"/>
    </row>
    <row r="133" spans="8:48" s="70" customFormat="1" x14ac:dyDescent="0.3">
      <c r="H133" s="298"/>
      <c r="K133" s="142"/>
      <c r="L133" s="142"/>
      <c r="M133" s="142"/>
      <c r="N133" s="144"/>
      <c r="O133" s="144"/>
      <c r="AV133" s="69"/>
    </row>
    <row r="134" spans="8:48" s="70" customFormat="1" x14ac:dyDescent="0.3">
      <c r="H134" s="298"/>
      <c r="K134" s="142"/>
      <c r="L134" s="142"/>
      <c r="M134" s="142"/>
      <c r="N134" s="144"/>
      <c r="O134" s="144"/>
      <c r="AV134" s="69"/>
    </row>
    <row r="135" spans="8:48" s="70" customFormat="1" x14ac:dyDescent="0.3">
      <c r="H135" s="298"/>
      <c r="K135" s="142"/>
      <c r="L135" s="142"/>
      <c r="M135" s="142"/>
      <c r="N135" s="144"/>
      <c r="O135" s="144"/>
      <c r="AV135" s="69"/>
    </row>
    <row r="136" spans="8:48" s="70" customFormat="1" x14ac:dyDescent="0.3">
      <c r="H136" s="298"/>
      <c r="K136" s="142"/>
      <c r="L136" s="142"/>
      <c r="M136" s="142"/>
      <c r="N136" s="144"/>
      <c r="O136" s="144"/>
      <c r="AV136" s="69"/>
    </row>
    <row r="137" spans="8:48" s="70" customFormat="1" x14ac:dyDescent="0.3">
      <c r="H137" s="298"/>
      <c r="K137" s="142"/>
      <c r="L137" s="142"/>
      <c r="M137" s="142"/>
      <c r="N137" s="144"/>
      <c r="O137" s="144"/>
      <c r="AV137" s="69"/>
    </row>
    <row r="138" spans="8:48" s="70" customFormat="1" x14ac:dyDescent="0.3">
      <c r="H138" s="298"/>
      <c r="K138" s="142"/>
      <c r="L138" s="142"/>
      <c r="M138" s="142"/>
      <c r="N138" s="144"/>
      <c r="O138" s="144"/>
      <c r="AV138" s="69"/>
    </row>
    <row r="139" spans="8:48" s="70" customFormat="1" x14ac:dyDescent="0.3">
      <c r="H139" s="298"/>
      <c r="K139" s="142"/>
      <c r="L139" s="142"/>
      <c r="M139" s="142"/>
      <c r="N139" s="144"/>
      <c r="O139" s="144"/>
      <c r="AV139" s="69"/>
    </row>
    <row r="140" spans="8:48" s="70" customFormat="1" x14ac:dyDescent="0.3">
      <c r="H140" s="298"/>
      <c r="K140" s="142"/>
      <c r="L140" s="142"/>
      <c r="M140" s="142"/>
      <c r="N140" s="144"/>
      <c r="O140" s="144"/>
      <c r="AV140" s="69"/>
    </row>
    <row r="141" spans="8:48" s="70" customFormat="1" x14ac:dyDescent="0.3">
      <c r="H141" s="298"/>
      <c r="K141" s="142"/>
      <c r="L141" s="142"/>
      <c r="M141" s="142"/>
      <c r="N141" s="144"/>
      <c r="O141" s="144"/>
      <c r="AV141" s="69"/>
    </row>
    <row r="142" spans="8:48" s="70" customFormat="1" x14ac:dyDescent="0.3">
      <c r="H142" s="298"/>
      <c r="K142" s="142"/>
      <c r="L142" s="142"/>
      <c r="M142" s="142"/>
      <c r="N142" s="144"/>
      <c r="O142" s="144"/>
      <c r="AV142" s="69"/>
    </row>
    <row r="143" spans="8:48" s="70" customFormat="1" x14ac:dyDescent="0.3">
      <c r="H143" s="298"/>
      <c r="K143" s="142"/>
      <c r="L143" s="142"/>
      <c r="M143" s="142"/>
      <c r="N143" s="144"/>
      <c r="O143" s="144"/>
      <c r="AV143" s="69"/>
    </row>
    <row r="144" spans="8:48" s="70" customFormat="1" x14ac:dyDescent="0.3">
      <c r="H144" s="298"/>
      <c r="K144" s="142"/>
      <c r="L144" s="142"/>
      <c r="M144" s="142"/>
      <c r="N144" s="144"/>
      <c r="O144" s="144"/>
      <c r="AV144" s="69"/>
    </row>
    <row r="145" spans="8:48" s="70" customFormat="1" x14ac:dyDescent="0.3">
      <c r="H145" s="298"/>
      <c r="K145" s="142"/>
      <c r="L145" s="142"/>
      <c r="M145" s="142"/>
      <c r="N145" s="144"/>
      <c r="O145" s="144"/>
      <c r="AV145" s="69"/>
    </row>
    <row r="146" spans="8:48" s="70" customFormat="1" x14ac:dyDescent="0.3">
      <c r="H146" s="298"/>
      <c r="K146" s="142"/>
      <c r="L146" s="142"/>
      <c r="M146" s="142"/>
      <c r="N146" s="144"/>
      <c r="O146" s="144"/>
      <c r="AV146" s="69"/>
    </row>
    <row r="147" spans="8:48" s="70" customFormat="1" x14ac:dyDescent="0.3">
      <c r="H147" s="298"/>
      <c r="K147" s="142"/>
      <c r="L147" s="142"/>
      <c r="M147" s="142"/>
      <c r="N147" s="144"/>
      <c r="O147" s="144"/>
      <c r="AV147" s="69"/>
    </row>
    <row r="148" spans="8:48" s="70" customFormat="1" x14ac:dyDescent="0.3">
      <c r="H148" s="298"/>
      <c r="K148" s="142"/>
      <c r="L148" s="142"/>
      <c r="M148" s="142"/>
      <c r="N148" s="144"/>
      <c r="O148" s="144"/>
      <c r="AV148" s="69"/>
    </row>
    <row r="149" spans="8:48" s="70" customFormat="1" x14ac:dyDescent="0.3">
      <c r="H149" s="298"/>
      <c r="K149" s="142"/>
      <c r="L149" s="142"/>
      <c r="M149" s="142"/>
      <c r="N149" s="144"/>
      <c r="O149" s="144"/>
      <c r="AV149" s="69"/>
    </row>
    <row r="150" spans="8:48" s="70" customFormat="1" x14ac:dyDescent="0.3">
      <c r="H150" s="298"/>
      <c r="K150" s="142"/>
      <c r="L150" s="142"/>
      <c r="M150" s="142"/>
      <c r="N150" s="144"/>
      <c r="O150" s="144"/>
      <c r="AV150" s="69"/>
    </row>
    <row r="151" spans="8:48" s="70" customFormat="1" x14ac:dyDescent="0.3">
      <c r="H151" s="298"/>
      <c r="K151" s="142"/>
      <c r="L151" s="142"/>
      <c r="M151" s="142"/>
      <c r="N151" s="144"/>
      <c r="O151" s="144"/>
      <c r="AV151" s="69"/>
    </row>
    <row r="152" spans="8:48" s="70" customFormat="1" x14ac:dyDescent="0.3">
      <c r="H152" s="298"/>
      <c r="K152" s="142"/>
      <c r="L152" s="142"/>
      <c r="M152" s="142"/>
      <c r="N152" s="144"/>
      <c r="O152" s="144"/>
      <c r="AV152" s="69"/>
    </row>
    <row r="153" spans="8:48" s="70" customFormat="1" x14ac:dyDescent="0.3">
      <c r="H153" s="298"/>
      <c r="K153" s="142"/>
      <c r="L153" s="142"/>
      <c r="M153" s="142"/>
      <c r="N153" s="144"/>
      <c r="O153" s="144"/>
      <c r="AV153" s="69"/>
    </row>
    <row r="154" spans="8:48" s="70" customFormat="1" x14ac:dyDescent="0.3">
      <c r="H154" s="298"/>
      <c r="K154" s="142"/>
      <c r="L154" s="142"/>
      <c r="M154" s="142"/>
      <c r="N154" s="144"/>
      <c r="O154" s="144"/>
      <c r="AV154" s="69"/>
    </row>
    <row r="155" spans="8:48" s="70" customFormat="1" x14ac:dyDescent="0.3">
      <c r="H155" s="298"/>
      <c r="K155" s="142"/>
      <c r="L155" s="142"/>
      <c r="M155" s="142"/>
      <c r="N155" s="144"/>
      <c r="O155" s="144"/>
      <c r="AV155" s="69"/>
    </row>
    <row r="156" spans="8:48" s="70" customFormat="1" x14ac:dyDescent="0.3">
      <c r="H156" s="298"/>
      <c r="K156" s="142"/>
      <c r="L156" s="142"/>
      <c r="M156" s="142"/>
      <c r="N156" s="144"/>
      <c r="O156" s="144"/>
      <c r="AV156" s="69"/>
    </row>
    <row r="157" spans="8:48" s="70" customFormat="1" x14ac:dyDescent="0.3">
      <c r="H157" s="298"/>
      <c r="K157" s="142"/>
      <c r="L157" s="142"/>
      <c r="M157" s="142"/>
      <c r="N157" s="144"/>
      <c r="O157" s="144"/>
      <c r="AV157" s="69"/>
    </row>
    <row r="158" spans="8:48" s="70" customFormat="1" x14ac:dyDescent="0.3">
      <c r="H158" s="298"/>
      <c r="K158" s="142"/>
      <c r="L158" s="142"/>
      <c r="M158" s="142"/>
      <c r="N158" s="144"/>
      <c r="O158" s="144"/>
      <c r="AV158" s="69"/>
    </row>
    <row r="159" spans="8:48" s="70" customFormat="1" x14ac:dyDescent="0.3">
      <c r="H159" s="298"/>
      <c r="K159" s="142"/>
      <c r="L159" s="142"/>
      <c r="M159" s="142"/>
      <c r="N159" s="144"/>
      <c r="O159" s="144"/>
      <c r="AV159" s="69"/>
    </row>
    <row r="160" spans="8:48" s="70" customFormat="1" x14ac:dyDescent="0.3">
      <c r="H160" s="298"/>
      <c r="K160" s="142"/>
      <c r="L160" s="142"/>
      <c r="M160" s="142"/>
      <c r="N160" s="144"/>
      <c r="O160" s="144"/>
      <c r="AV160" s="69"/>
    </row>
    <row r="161" spans="1:49" s="70" customFormat="1" x14ac:dyDescent="0.3">
      <c r="H161" s="298"/>
      <c r="K161" s="142"/>
      <c r="L161" s="142"/>
      <c r="M161" s="142"/>
      <c r="N161" s="144"/>
      <c r="O161" s="144"/>
      <c r="AV161" s="69"/>
    </row>
    <row r="162" spans="1:49" s="70" customFormat="1" x14ac:dyDescent="0.3">
      <c r="H162" s="298"/>
      <c r="K162" s="142"/>
      <c r="L162" s="142"/>
      <c r="M162" s="142"/>
      <c r="N162" s="144"/>
      <c r="O162" s="144"/>
      <c r="AV162" s="69"/>
    </row>
    <row r="163" spans="1:49" s="70" customFormat="1" x14ac:dyDescent="0.3">
      <c r="H163" s="298"/>
      <c r="K163" s="142"/>
      <c r="L163" s="142"/>
      <c r="M163" s="142"/>
      <c r="N163" s="144"/>
      <c r="O163" s="144"/>
      <c r="AV163" s="69"/>
    </row>
    <row r="164" spans="1:49" s="70" customFormat="1" x14ac:dyDescent="0.3">
      <c r="H164" s="298"/>
      <c r="K164" s="142"/>
      <c r="L164" s="142"/>
      <c r="M164" s="142"/>
      <c r="N164" s="144"/>
      <c r="O164" s="144"/>
      <c r="AV164" s="69"/>
    </row>
    <row r="165" spans="1:49" s="70" customFormat="1" x14ac:dyDescent="0.3">
      <c r="H165" s="298"/>
      <c r="K165" s="142"/>
      <c r="L165" s="142"/>
      <c r="M165" s="142"/>
      <c r="N165" s="144"/>
      <c r="O165" s="144"/>
      <c r="AV165" s="69"/>
    </row>
    <row r="166" spans="1:49" s="70" customFormat="1" x14ac:dyDescent="0.3">
      <c r="H166" s="298"/>
      <c r="K166" s="142"/>
      <c r="L166" s="142"/>
      <c r="M166" s="142"/>
      <c r="N166" s="144"/>
      <c r="O166" s="144"/>
      <c r="AV166" s="69"/>
    </row>
    <row r="167" spans="1:49" s="70" customFormat="1" x14ac:dyDescent="0.3">
      <c r="H167" s="298"/>
      <c r="K167" s="142"/>
      <c r="L167" s="142"/>
      <c r="M167" s="142"/>
      <c r="N167" s="144"/>
      <c r="O167" s="144"/>
      <c r="AV167" s="69"/>
    </row>
    <row r="168" spans="1:49" s="70" customFormat="1" x14ac:dyDescent="0.3">
      <c r="H168" s="298"/>
      <c r="K168" s="142"/>
      <c r="L168" s="142"/>
      <c r="M168" s="142"/>
      <c r="N168" s="144"/>
      <c r="O168" s="144"/>
      <c r="AV168" s="69"/>
    </row>
    <row r="169" spans="1:49" s="70" customFormat="1" x14ac:dyDescent="0.3">
      <c r="H169" s="298"/>
      <c r="K169" s="142"/>
      <c r="L169" s="142"/>
      <c r="M169" s="142"/>
      <c r="N169" s="144"/>
      <c r="O169" s="144"/>
      <c r="AV169" s="69"/>
    </row>
    <row r="170" spans="1:49" s="70" customFormat="1" x14ac:dyDescent="0.3">
      <c r="H170" s="298"/>
      <c r="K170" s="142"/>
      <c r="L170" s="142"/>
      <c r="M170" s="142"/>
      <c r="N170" s="144"/>
      <c r="O170" s="144"/>
      <c r="AV170" s="69"/>
    </row>
    <row r="171" spans="1:49" s="70" customFormat="1" x14ac:dyDescent="0.3">
      <c r="H171" s="298"/>
      <c r="K171" s="142"/>
      <c r="L171" s="142"/>
      <c r="M171" s="142"/>
      <c r="N171" s="144"/>
      <c r="O171" s="144"/>
      <c r="AV171" s="69"/>
    </row>
    <row r="172" spans="1:49" s="70" customFormat="1" x14ac:dyDescent="0.3">
      <c r="H172" s="298"/>
      <c r="K172" s="142"/>
      <c r="L172" s="142"/>
      <c r="M172" s="142"/>
      <c r="N172" s="144"/>
      <c r="O172" s="144"/>
      <c r="AV172" s="69"/>
    </row>
    <row r="173" spans="1:49" s="145" customFormat="1" x14ac:dyDescent="0.3">
      <c r="A173" s="70"/>
      <c r="B173" s="70"/>
      <c r="C173" s="70"/>
      <c r="D173" s="70"/>
      <c r="E173" s="70"/>
      <c r="F173" s="70"/>
      <c r="G173" s="70"/>
      <c r="H173" s="298"/>
      <c r="I173" s="70"/>
      <c r="J173" s="70"/>
      <c r="K173" s="142"/>
      <c r="L173" s="142"/>
      <c r="M173" s="142"/>
      <c r="N173" s="144"/>
      <c r="O173" s="144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69"/>
      <c r="AW173" s="70"/>
    </row>
    <row r="174" spans="1:49" s="145" customFormat="1" x14ac:dyDescent="0.3">
      <c r="A174" s="70"/>
      <c r="B174" s="70"/>
      <c r="C174" s="70"/>
      <c r="D174" s="70"/>
      <c r="E174" s="70"/>
      <c r="F174" s="70"/>
      <c r="G174" s="70"/>
      <c r="H174" s="298"/>
      <c r="I174" s="70"/>
      <c r="J174" s="70"/>
      <c r="K174" s="142"/>
      <c r="L174" s="142"/>
      <c r="M174" s="142"/>
      <c r="N174" s="144"/>
      <c r="O174" s="144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69"/>
      <c r="AW174" s="70"/>
    </row>
    <row r="175" spans="1:49" s="145" customFormat="1" x14ac:dyDescent="0.3">
      <c r="A175" s="70"/>
      <c r="B175" s="70"/>
      <c r="C175" s="70"/>
      <c r="D175" s="70"/>
      <c r="E175" s="70"/>
      <c r="F175" s="70"/>
      <c r="G175" s="70"/>
      <c r="H175" s="298"/>
      <c r="I175" s="70"/>
      <c r="J175" s="70"/>
      <c r="K175" s="142"/>
      <c r="L175" s="142"/>
      <c r="M175" s="142"/>
      <c r="N175" s="144"/>
      <c r="O175" s="144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69"/>
      <c r="AW175" s="70"/>
    </row>
    <row r="176" spans="1:49" s="145" customFormat="1" x14ac:dyDescent="0.3">
      <c r="A176" s="70"/>
      <c r="B176" s="70"/>
      <c r="C176" s="70"/>
      <c r="D176" s="70"/>
      <c r="E176" s="70"/>
      <c r="F176" s="70"/>
      <c r="G176" s="70"/>
      <c r="H176" s="298"/>
      <c r="I176" s="70"/>
      <c r="J176" s="70"/>
      <c r="K176" s="142"/>
      <c r="L176" s="142"/>
      <c r="M176" s="142"/>
      <c r="N176" s="144"/>
      <c r="O176" s="144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69"/>
      <c r="AW176" s="70"/>
    </row>
    <row r="177" spans="1:49" s="145" customFormat="1" x14ac:dyDescent="0.3">
      <c r="A177" s="70"/>
      <c r="B177" s="70"/>
      <c r="C177" s="70"/>
      <c r="D177" s="70"/>
      <c r="E177" s="70"/>
      <c r="F177" s="70"/>
      <c r="G177" s="70"/>
      <c r="H177" s="298"/>
      <c r="I177" s="70"/>
      <c r="J177" s="70"/>
      <c r="K177" s="142"/>
      <c r="L177" s="142"/>
      <c r="M177" s="142"/>
      <c r="N177" s="144"/>
      <c r="O177" s="144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69"/>
      <c r="AW177" s="70"/>
    </row>
    <row r="178" spans="1:49" s="145" customFormat="1" x14ac:dyDescent="0.3">
      <c r="A178" s="70"/>
      <c r="B178" s="70"/>
      <c r="C178" s="70"/>
      <c r="D178" s="70"/>
      <c r="E178" s="70"/>
      <c r="F178" s="70"/>
      <c r="G178" s="70"/>
      <c r="H178" s="298"/>
      <c r="I178" s="70"/>
      <c r="J178" s="70"/>
      <c r="K178" s="142"/>
      <c r="L178" s="142"/>
      <c r="M178" s="142"/>
      <c r="N178" s="144"/>
      <c r="O178" s="144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69"/>
      <c r="AW178" s="70"/>
    </row>
    <row r="179" spans="1:49" s="145" customFormat="1" x14ac:dyDescent="0.3">
      <c r="A179" s="70"/>
      <c r="B179" s="70"/>
      <c r="C179" s="70"/>
      <c r="D179" s="70"/>
      <c r="E179" s="70"/>
      <c r="F179" s="70"/>
      <c r="G179" s="70"/>
      <c r="H179" s="298"/>
      <c r="I179" s="70"/>
      <c r="J179" s="70"/>
      <c r="K179" s="142"/>
      <c r="L179" s="142"/>
      <c r="M179" s="142"/>
      <c r="N179" s="144"/>
      <c r="O179" s="144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69"/>
      <c r="AW179" s="70"/>
    </row>
    <row r="180" spans="1:49" s="145" customFormat="1" x14ac:dyDescent="0.3">
      <c r="A180" s="70"/>
      <c r="B180" s="70"/>
      <c r="C180" s="70"/>
      <c r="D180" s="70"/>
      <c r="E180" s="70"/>
      <c r="F180" s="70"/>
      <c r="G180" s="70"/>
      <c r="H180" s="298"/>
      <c r="I180" s="70"/>
      <c r="J180" s="70"/>
      <c r="K180" s="142"/>
      <c r="L180" s="142"/>
      <c r="M180" s="142"/>
      <c r="N180" s="147"/>
      <c r="O180" s="144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69"/>
      <c r="AW180" s="70"/>
    </row>
    <row r="181" spans="1:49" s="145" customFormat="1" x14ac:dyDescent="0.3">
      <c r="A181" s="70"/>
      <c r="B181" s="70"/>
      <c r="C181" s="70"/>
      <c r="D181" s="70"/>
      <c r="E181" s="70"/>
      <c r="F181" s="70"/>
      <c r="G181" s="70"/>
      <c r="H181" s="298"/>
      <c r="I181" s="70"/>
      <c r="J181" s="70"/>
      <c r="K181" s="142"/>
      <c r="L181" s="142"/>
      <c r="M181" s="142"/>
      <c r="N181" s="147"/>
      <c r="O181" s="144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69"/>
      <c r="AW181" s="70"/>
    </row>
    <row r="182" spans="1:49" s="145" customFormat="1" x14ac:dyDescent="0.3">
      <c r="A182" s="70"/>
      <c r="B182" s="70"/>
      <c r="C182" s="70"/>
      <c r="D182" s="70"/>
      <c r="E182" s="70"/>
      <c r="F182" s="70"/>
      <c r="G182" s="70"/>
      <c r="H182" s="298"/>
      <c r="I182" s="70"/>
      <c r="J182" s="70"/>
      <c r="K182" s="142"/>
      <c r="L182" s="142"/>
      <c r="M182" s="142"/>
      <c r="N182" s="147"/>
      <c r="O182" s="144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69"/>
      <c r="AW182" s="70"/>
    </row>
    <row r="183" spans="1:49" s="145" customFormat="1" x14ac:dyDescent="0.3">
      <c r="A183" s="70"/>
      <c r="B183" s="70"/>
      <c r="C183" s="70"/>
      <c r="D183" s="70"/>
      <c r="E183" s="70"/>
      <c r="F183" s="70"/>
      <c r="G183" s="70"/>
      <c r="H183" s="298"/>
      <c r="I183" s="70"/>
      <c r="J183" s="70"/>
      <c r="K183" s="142"/>
      <c r="L183" s="142"/>
      <c r="M183" s="142"/>
      <c r="N183" s="147"/>
      <c r="O183" s="144"/>
      <c r="P183" s="149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69"/>
      <c r="AW183" s="70"/>
    </row>
    <row r="184" spans="1:49" s="145" customFormat="1" x14ac:dyDescent="0.3">
      <c r="A184" s="70"/>
      <c r="B184" s="70"/>
      <c r="C184" s="70"/>
      <c r="D184" s="70"/>
      <c r="E184" s="70"/>
      <c r="F184" s="70"/>
      <c r="G184" s="70"/>
      <c r="H184" s="298"/>
      <c r="I184" s="70"/>
      <c r="J184" s="70"/>
      <c r="K184" s="142"/>
      <c r="L184" s="142"/>
      <c r="M184" s="142"/>
      <c r="N184" s="147"/>
      <c r="O184" s="144"/>
      <c r="P184" s="149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69"/>
      <c r="AW184" s="70"/>
    </row>
    <row r="185" spans="1:49" s="145" customFormat="1" x14ac:dyDescent="0.3">
      <c r="A185" s="70"/>
      <c r="B185" s="70"/>
      <c r="C185" s="70"/>
      <c r="D185" s="70"/>
      <c r="E185" s="70"/>
      <c r="F185" s="70"/>
      <c r="G185" s="70"/>
      <c r="H185" s="298"/>
      <c r="I185" s="70"/>
      <c r="J185" s="70"/>
      <c r="K185" s="146"/>
      <c r="L185" s="146"/>
      <c r="M185" s="146"/>
      <c r="N185" s="147"/>
      <c r="O185" s="147"/>
      <c r="P185" s="149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69"/>
      <c r="AW185" s="70"/>
    </row>
    <row r="186" spans="1:49" s="145" customFormat="1" x14ac:dyDescent="0.3">
      <c r="A186" s="70"/>
      <c r="B186" s="70"/>
      <c r="C186" s="70"/>
      <c r="D186" s="70"/>
      <c r="E186" s="70"/>
      <c r="F186" s="70"/>
      <c r="G186" s="70"/>
      <c r="H186" s="298"/>
      <c r="I186" s="70"/>
      <c r="J186" s="70"/>
      <c r="K186" s="146"/>
      <c r="L186" s="146"/>
      <c r="M186" s="146"/>
      <c r="N186" s="147"/>
      <c r="O186" s="147"/>
      <c r="P186" s="149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69"/>
      <c r="AW186" s="70"/>
    </row>
    <row r="187" spans="1:49" s="145" customFormat="1" x14ac:dyDescent="0.3">
      <c r="A187" s="70"/>
      <c r="B187" s="70"/>
      <c r="C187" s="70"/>
      <c r="D187" s="70"/>
      <c r="E187" s="70"/>
      <c r="F187" s="70"/>
      <c r="G187" s="70"/>
      <c r="H187" s="298"/>
      <c r="I187" s="70"/>
      <c r="J187" s="70"/>
      <c r="K187" s="146"/>
      <c r="L187" s="146"/>
      <c r="M187" s="146"/>
      <c r="N187" s="147"/>
      <c r="O187" s="147"/>
      <c r="P187" s="149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69"/>
      <c r="AW187" s="70"/>
    </row>
    <row r="188" spans="1:49" s="145" customFormat="1" x14ac:dyDescent="0.3">
      <c r="A188" s="70"/>
      <c r="B188" s="70"/>
      <c r="C188" s="70"/>
      <c r="D188" s="70"/>
      <c r="E188" s="70"/>
      <c r="F188" s="70"/>
      <c r="G188" s="70"/>
      <c r="H188" s="298"/>
      <c r="I188" s="70"/>
      <c r="J188" s="70"/>
      <c r="K188" s="146"/>
      <c r="L188" s="146"/>
      <c r="M188" s="146"/>
      <c r="N188" s="147"/>
      <c r="O188" s="147"/>
      <c r="P188" s="149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69"/>
      <c r="AW188" s="70"/>
    </row>
    <row r="189" spans="1:49" s="145" customFormat="1" x14ac:dyDescent="0.3">
      <c r="A189" s="70"/>
      <c r="B189" s="70"/>
      <c r="C189" s="70"/>
      <c r="D189" s="70"/>
      <c r="E189" s="70"/>
      <c r="F189" s="70"/>
      <c r="G189" s="70"/>
      <c r="H189" s="298"/>
      <c r="I189" s="70"/>
      <c r="J189" s="70"/>
      <c r="K189" s="146"/>
      <c r="L189" s="146"/>
      <c r="M189" s="146"/>
      <c r="N189" s="147"/>
      <c r="O189" s="147"/>
      <c r="P189" s="149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69"/>
      <c r="AW189" s="70"/>
    </row>
    <row r="190" spans="1:49" x14ac:dyDescent="0.3">
      <c r="A190" s="70"/>
      <c r="B190" s="70"/>
      <c r="C190" s="70"/>
      <c r="D190" s="70"/>
      <c r="E190" s="70"/>
      <c r="F190" s="70"/>
      <c r="G190" s="70"/>
      <c r="H190" s="298"/>
      <c r="I190" s="70"/>
      <c r="J190" s="70"/>
      <c r="K190" s="146"/>
      <c r="L190" s="146"/>
      <c r="M190" s="146"/>
      <c r="N190" s="147"/>
      <c r="O190" s="147"/>
      <c r="P190" s="149"/>
      <c r="AV190" s="148"/>
      <c r="AW190" s="148"/>
    </row>
    <row r="191" spans="1:49" x14ac:dyDescent="0.3">
      <c r="A191" s="70"/>
      <c r="B191" s="70"/>
      <c r="C191" s="70"/>
      <c r="D191" s="70"/>
      <c r="E191" s="70"/>
      <c r="F191" s="70"/>
      <c r="G191" s="70"/>
      <c r="H191" s="298"/>
      <c r="I191" s="70"/>
      <c r="J191" s="70"/>
      <c r="K191" s="146"/>
      <c r="L191" s="146"/>
      <c r="M191" s="146"/>
      <c r="N191" s="147"/>
      <c r="O191" s="147"/>
      <c r="P191" s="149"/>
      <c r="AV191" s="148"/>
      <c r="AW191" s="148"/>
    </row>
    <row r="192" spans="1:49" x14ac:dyDescent="0.3">
      <c r="A192" s="70"/>
      <c r="B192" s="70"/>
      <c r="C192" s="70"/>
      <c r="D192" s="70"/>
      <c r="E192" s="70"/>
      <c r="F192" s="70"/>
      <c r="G192" s="70"/>
      <c r="H192" s="298"/>
      <c r="I192" s="70"/>
      <c r="J192" s="70"/>
      <c r="K192" s="146"/>
      <c r="L192" s="146"/>
      <c r="M192" s="146"/>
      <c r="N192" s="147"/>
      <c r="O192" s="147"/>
      <c r="P192" s="149"/>
      <c r="AV192" s="148"/>
      <c r="AW192" s="148"/>
    </row>
    <row r="193" spans="1:49" x14ac:dyDescent="0.3">
      <c r="A193" s="149"/>
      <c r="B193" s="149"/>
      <c r="C193" s="149"/>
      <c r="D193" s="149"/>
      <c r="E193" s="149"/>
      <c r="F193" s="70"/>
      <c r="G193" s="70"/>
      <c r="H193" s="298"/>
      <c r="I193" s="70"/>
      <c r="J193" s="70"/>
      <c r="K193" s="146"/>
      <c r="L193" s="146"/>
      <c r="M193" s="146"/>
      <c r="N193" s="147"/>
      <c r="O193" s="147"/>
      <c r="P193" s="149"/>
      <c r="AV193" s="148"/>
      <c r="AW193" s="148"/>
    </row>
    <row r="194" spans="1:49" x14ac:dyDescent="0.3">
      <c r="A194" s="149"/>
      <c r="B194" s="149"/>
      <c r="C194" s="149"/>
      <c r="D194" s="149"/>
      <c r="E194" s="149"/>
      <c r="F194" s="149"/>
      <c r="G194" s="149"/>
      <c r="H194" s="299"/>
      <c r="I194" s="70"/>
      <c r="J194" s="70"/>
      <c r="K194" s="146"/>
      <c r="L194" s="146"/>
      <c r="M194" s="146"/>
      <c r="N194" s="147"/>
      <c r="O194" s="147"/>
      <c r="P194" s="149"/>
      <c r="AV194" s="148"/>
      <c r="AW194" s="148"/>
    </row>
    <row r="195" spans="1:49" x14ac:dyDescent="0.3">
      <c r="A195" s="149"/>
      <c r="B195" s="149"/>
      <c r="C195" s="149"/>
      <c r="D195" s="149"/>
      <c r="E195" s="149"/>
      <c r="F195" s="149"/>
      <c r="G195" s="149"/>
      <c r="H195" s="299"/>
      <c r="I195" s="149"/>
      <c r="J195" s="149"/>
      <c r="K195" s="146"/>
      <c r="L195" s="146"/>
      <c r="M195" s="146"/>
      <c r="N195" s="147"/>
      <c r="O195" s="147"/>
      <c r="AV195" s="148"/>
      <c r="AW195" s="148"/>
    </row>
    <row r="196" spans="1:49" x14ac:dyDescent="0.3">
      <c r="A196" s="149"/>
      <c r="B196" s="149"/>
      <c r="C196" s="149"/>
      <c r="D196" s="149"/>
      <c r="E196" s="149"/>
      <c r="F196" s="149"/>
      <c r="G196" s="149"/>
      <c r="H196" s="299"/>
      <c r="I196" s="149"/>
      <c r="J196" s="149"/>
      <c r="K196" s="146"/>
      <c r="L196" s="146"/>
      <c r="M196" s="146"/>
      <c r="N196" s="147"/>
      <c r="O196" s="147"/>
      <c r="AV196" s="148"/>
      <c r="AW196" s="148"/>
    </row>
    <row r="197" spans="1:49" x14ac:dyDescent="0.3">
      <c r="A197" s="149"/>
      <c r="B197" s="149"/>
      <c r="C197" s="149"/>
      <c r="D197" s="149"/>
      <c r="E197" s="149"/>
      <c r="F197" s="149"/>
      <c r="G197" s="149"/>
      <c r="H197" s="299"/>
      <c r="I197" s="149"/>
      <c r="J197" s="149"/>
      <c r="K197" s="146"/>
      <c r="L197" s="146"/>
      <c r="M197" s="146"/>
      <c r="O197" s="147"/>
      <c r="AV197" s="148"/>
      <c r="AW197" s="148"/>
    </row>
    <row r="198" spans="1:49" x14ac:dyDescent="0.3">
      <c r="A198" s="149"/>
      <c r="B198" s="149"/>
      <c r="C198" s="149"/>
      <c r="D198" s="149"/>
      <c r="E198" s="149"/>
      <c r="F198" s="149"/>
      <c r="G198" s="149"/>
      <c r="H198" s="299"/>
      <c r="I198" s="149"/>
      <c r="J198" s="149"/>
      <c r="K198" s="146"/>
      <c r="L198" s="146"/>
      <c r="M198" s="146"/>
      <c r="O198" s="147"/>
      <c r="AV198" s="148"/>
      <c r="AW198" s="148"/>
    </row>
    <row r="199" spans="1:49" x14ac:dyDescent="0.3">
      <c r="A199" s="149"/>
      <c r="B199" s="149"/>
      <c r="C199" s="149"/>
      <c r="D199" s="149"/>
      <c r="E199" s="149"/>
      <c r="F199" s="149"/>
      <c r="G199" s="149"/>
      <c r="H199" s="299"/>
      <c r="I199" s="149"/>
      <c r="J199" s="149"/>
      <c r="K199" s="146"/>
      <c r="L199" s="146"/>
      <c r="M199" s="146"/>
      <c r="O199" s="147"/>
      <c r="AV199" s="148"/>
      <c r="AW199" s="148"/>
    </row>
    <row r="200" spans="1:49" x14ac:dyDescent="0.3">
      <c r="A200" s="149"/>
      <c r="B200" s="149"/>
      <c r="C200" s="149"/>
      <c r="D200" s="149"/>
      <c r="E200" s="149"/>
      <c r="F200" s="149"/>
      <c r="G200" s="149"/>
      <c r="H200" s="299"/>
      <c r="I200" s="149"/>
      <c r="J200" s="149"/>
      <c r="K200" s="146"/>
      <c r="L200" s="146"/>
      <c r="M200" s="146"/>
      <c r="O200" s="147"/>
      <c r="AV200" s="148"/>
      <c r="AW200" s="148"/>
    </row>
    <row r="201" spans="1:49" x14ac:dyDescent="0.3">
      <c r="A201" s="149"/>
      <c r="B201" s="149"/>
      <c r="C201" s="149"/>
      <c r="D201" s="149"/>
      <c r="E201" s="149"/>
      <c r="F201" s="149"/>
      <c r="G201" s="149"/>
      <c r="H201" s="299"/>
      <c r="I201" s="149"/>
      <c r="J201" s="149"/>
      <c r="K201" s="146"/>
      <c r="L201" s="146"/>
      <c r="M201" s="146"/>
      <c r="N201" s="148"/>
      <c r="O201" s="147"/>
      <c r="AV201" s="148"/>
      <c r="AW201" s="148"/>
    </row>
    <row r="202" spans="1:49" x14ac:dyDescent="0.3">
      <c r="A202" s="149"/>
      <c r="B202" s="149"/>
      <c r="C202" s="149"/>
      <c r="D202" s="149"/>
      <c r="E202" s="149"/>
      <c r="F202" s="149"/>
      <c r="G202" s="149"/>
      <c r="H202" s="299"/>
      <c r="I202" s="149"/>
      <c r="J202" s="149"/>
    </row>
    <row r="203" spans="1:49" x14ac:dyDescent="0.3">
      <c r="A203" s="149"/>
      <c r="B203" s="149"/>
      <c r="C203" s="149"/>
      <c r="D203" s="149"/>
      <c r="E203" s="149"/>
      <c r="F203" s="149"/>
      <c r="G203" s="149"/>
      <c r="H203" s="299"/>
      <c r="I203" s="149"/>
      <c r="J203" s="14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  <c r="AM203" s="69"/>
      <c r="AN203" s="69"/>
      <c r="AO203" s="69"/>
      <c r="AP203" s="69"/>
      <c r="AQ203" s="69"/>
      <c r="AR203" s="69"/>
      <c r="AS203" s="69"/>
      <c r="AT203" s="69"/>
      <c r="AU203" s="69"/>
      <c r="AV203" s="148"/>
      <c r="AW203" s="148"/>
    </row>
    <row r="204" spans="1:49" x14ac:dyDescent="0.3">
      <c r="A204" s="149"/>
      <c r="B204" s="149"/>
      <c r="C204" s="149"/>
      <c r="D204" s="149"/>
      <c r="E204" s="149"/>
      <c r="F204" s="149"/>
      <c r="G204" s="149"/>
      <c r="H204" s="299"/>
      <c r="I204" s="149"/>
      <c r="J204" s="149"/>
    </row>
    <row r="205" spans="1:49" x14ac:dyDescent="0.3">
      <c r="A205" s="149"/>
      <c r="B205" s="149"/>
      <c r="C205" s="149"/>
      <c r="D205" s="149"/>
      <c r="E205" s="149"/>
      <c r="F205" s="149"/>
      <c r="G205" s="149"/>
      <c r="H205" s="299"/>
      <c r="I205" s="149"/>
      <c r="J205" s="149"/>
    </row>
    <row r="206" spans="1:49" x14ac:dyDescent="0.3">
      <c r="A206" s="149"/>
      <c r="B206" s="149"/>
      <c r="C206" s="149"/>
      <c r="D206" s="149"/>
      <c r="E206" s="149"/>
      <c r="F206" s="149"/>
      <c r="G206" s="149"/>
      <c r="H206" s="299"/>
      <c r="I206" s="149"/>
      <c r="J206" s="149"/>
    </row>
    <row r="207" spans="1:49" x14ac:dyDescent="0.3">
      <c r="A207" s="149"/>
      <c r="B207" s="149"/>
      <c r="C207" s="149"/>
      <c r="D207" s="149"/>
      <c r="E207" s="149"/>
      <c r="F207" s="149"/>
      <c r="G207" s="149"/>
      <c r="H207" s="299"/>
      <c r="I207" s="149"/>
      <c r="J207" s="149"/>
    </row>
    <row r="208" spans="1:49" x14ac:dyDescent="0.3">
      <c r="A208" s="149"/>
      <c r="B208" s="149"/>
      <c r="C208" s="149"/>
      <c r="D208" s="149"/>
      <c r="E208" s="149"/>
      <c r="F208" s="149"/>
      <c r="G208" s="149"/>
      <c r="H208" s="299"/>
      <c r="I208" s="149"/>
      <c r="J208" s="149"/>
    </row>
    <row r="209" spans="1:13" x14ac:dyDescent="0.3">
      <c r="A209" s="149"/>
      <c r="B209" s="149"/>
      <c r="C209" s="149"/>
      <c r="D209" s="149"/>
      <c r="E209" s="149"/>
      <c r="F209" s="149"/>
      <c r="G209" s="149"/>
      <c r="H209" s="299"/>
      <c r="I209" s="149"/>
      <c r="J209" s="149"/>
    </row>
    <row r="210" spans="1:13" x14ac:dyDescent="0.3">
      <c r="F210" s="149"/>
      <c r="G210" s="149"/>
      <c r="H210" s="299"/>
      <c r="I210" s="149"/>
      <c r="J210" s="149"/>
    </row>
    <row r="211" spans="1:13" x14ac:dyDescent="0.3">
      <c r="I211" s="149"/>
      <c r="J211" s="149"/>
    </row>
    <row r="215" spans="1:13" x14ac:dyDescent="0.3">
      <c r="K215" s="148"/>
      <c r="L215" s="148"/>
      <c r="M215" s="148"/>
    </row>
    <row r="1048539" spans="16:16" x14ac:dyDescent="0.3">
      <c r="P1048539" s="57"/>
    </row>
    <row r="1048547" spans="1:60" s="70" customFormat="1" x14ac:dyDescent="0.3">
      <c r="A1048547" s="148"/>
      <c r="B1048547" s="148"/>
      <c r="C1048547" s="148"/>
      <c r="D1048547" s="148"/>
      <c r="E1048547" s="148"/>
      <c r="F1048547" s="148"/>
      <c r="G1048547" s="148"/>
      <c r="H1048547" s="297"/>
      <c r="I1048547" s="148"/>
      <c r="J1048547" s="148"/>
      <c r="K1048547" s="150"/>
      <c r="L1048547" s="150"/>
      <c r="M1048547" s="150"/>
      <c r="N1048547" s="150"/>
      <c r="O1048547" s="150"/>
      <c r="P1048547" s="148"/>
      <c r="AV1048547" s="69"/>
      <c r="AW1048547" s="69"/>
      <c r="AX1048547" s="148"/>
      <c r="AY1048547" s="148"/>
      <c r="AZ1048547" s="148"/>
      <c r="BA1048547" s="148"/>
      <c r="BB1048547" s="148"/>
      <c r="BC1048547" s="148"/>
      <c r="BD1048547" s="148"/>
      <c r="BE1048547" s="148"/>
      <c r="BF1048547" s="148"/>
      <c r="BG1048547" s="148"/>
      <c r="BH1048547" s="148"/>
    </row>
  </sheetData>
  <mergeCells count="46">
    <mergeCell ref="A42:N42"/>
    <mergeCell ref="A1:P1"/>
    <mergeCell ref="A2:P2"/>
    <mergeCell ref="A6:B6"/>
    <mergeCell ref="A7:P7"/>
    <mergeCell ref="A36:B36"/>
    <mergeCell ref="A37:P37"/>
    <mergeCell ref="E38:J38"/>
    <mergeCell ref="E39:J39"/>
    <mergeCell ref="E40:J40"/>
    <mergeCell ref="A41:J41"/>
    <mergeCell ref="N41:P41"/>
    <mergeCell ref="A54:J54"/>
    <mergeCell ref="A43:P43"/>
    <mergeCell ref="E44:J44"/>
    <mergeCell ref="E45:J45"/>
    <mergeCell ref="E46:J46"/>
    <mergeCell ref="E47:J47"/>
    <mergeCell ref="E48:J48"/>
    <mergeCell ref="E49:J49"/>
    <mergeCell ref="E50:J50"/>
    <mergeCell ref="E51:J51"/>
    <mergeCell ref="E52:J52"/>
    <mergeCell ref="E53:J53"/>
    <mergeCell ref="N67:O67"/>
    <mergeCell ref="A56:E56"/>
    <mergeCell ref="N56:P56"/>
    <mergeCell ref="N57:O57"/>
    <mergeCell ref="N58:O58"/>
    <mergeCell ref="N59:P60"/>
    <mergeCell ref="N61:P61"/>
    <mergeCell ref="N62:O62"/>
    <mergeCell ref="N63:O63"/>
    <mergeCell ref="N64:O64"/>
    <mergeCell ref="N65:O65"/>
    <mergeCell ref="N66:O66"/>
    <mergeCell ref="N74:O74"/>
    <mergeCell ref="N75:O75"/>
    <mergeCell ref="N76:P76"/>
    <mergeCell ref="N77:O77"/>
    <mergeCell ref="N68:O68"/>
    <mergeCell ref="N69:O69"/>
    <mergeCell ref="N70:O70"/>
    <mergeCell ref="N71:O71"/>
    <mergeCell ref="N72:O72"/>
    <mergeCell ref="N73:O73"/>
  </mergeCells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3810D-A5AE-4DDE-A78F-2F7761C9C40E}">
  <dimension ref="A1:BH1048543"/>
  <sheetViews>
    <sheetView topLeftCell="A43" zoomScale="60" zoomScaleNormal="60" workbookViewId="0">
      <selection sqref="A1:XFD1048576"/>
    </sheetView>
  </sheetViews>
  <sheetFormatPr defaultColWidth="9.109375" defaultRowHeight="13.8" x14ac:dyDescent="0.3"/>
  <cols>
    <col min="1" max="1" width="50.6640625" style="148" bestFit="1" customWidth="1"/>
    <col min="2" max="2" width="8.33203125" style="148" bestFit="1" customWidth="1"/>
    <col min="3" max="3" width="17.33203125" style="148" customWidth="1"/>
    <col min="4" max="4" width="17.109375" style="148" bestFit="1" customWidth="1"/>
    <col min="5" max="5" width="18.33203125" style="148" customWidth="1"/>
    <col min="6" max="6" width="17.109375" style="148" bestFit="1" customWidth="1"/>
    <col min="7" max="7" width="16" style="148" bestFit="1" customWidth="1"/>
    <col min="8" max="8" width="15.88671875" style="297" bestFit="1" customWidth="1"/>
    <col min="9" max="9" width="12.6640625" style="148" customWidth="1"/>
    <col min="10" max="10" width="15.77734375" style="148" customWidth="1"/>
    <col min="11" max="11" width="16.77734375" style="150" bestFit="1" customWidth="1"/>
    <col min="12" max="12" width="15.88671875" style="150" bestFit="1" customWidth="1"/>
    <col min="13" max="13" width="17.109375" style="150" bestFit="1" customWidth="1"/>
    <col min="14" max="14" width="111.33203125" style="150" customWidth="1"/>
    <col min="15" max="15" width="8.6640625" style="150" customWidth="1"/>
    <col min="16" max="16" width="16.77734375" style="148" bestFit="1" customWidth="1"/>
    <col min="17" max="18" width="13.109375" style="70" bestFit="1" customWidth="1"/>
    <col min="19" max="47" width="9.109375" style="70"/>
    <col min="48" max="49" width="9.109375" style="69"/>
    <col min="50" max="16384" width="9.109375" style="148"/>
  </cols>
  <sheetData>
    <row r="1" spans="1:42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</row>
    <row r="2" spans="1:42" s="10" customFormat="1" ht="28.5" customHeight="1" x14ac:dyDescent="0.3">
      <c r="A2" s="571" t="s">
        <v>1245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3"/>
    </row>
    <row r="3" spans="1:42" s="10" customFormat="1" ht="33.6" customHeight="1" x14ac:dyDescent="0.3">
      <c r="A3" s="83" t="s">
        <v>3</v>
      </c>
      <c r="B3" s="83" t="s">
        <v>0</v>
      </c>
      <c r="C3" s="83" t="s">
        <v>821</v>
      </c>
      <c r="D3" s="84" t="s">
        <v>1</v>
      </c>
      <c r="E3" s="84" t="s">
        <v>68</v>
      </c>
      <c r="F3" s="84" t="s">
        <v>69</v>
      </c>
      <c r="G3" s="85" t="s">
        <v>2</v>
      </c>
      <c r="H3" s="85" t="s">
        <v>592</v>
      </c>
      <c r="I3" s="84" t="s">
        <v>6</v>
      </c>
      <c r="J3" s="84" t="s">
        <v>7</v>
      </c>
      <c r="K3" s="84" t="s">
        <v>4</v>
      </c>
      <c r="L3" s="84" t="s">
        <v>5</v>
      </c>
      <c r="M3" s="84" t="s">
        <v>70</v>
      </c>
      <c r="N3" s="83" t="s">
        <v>59</v>
      </c>
      <c r="O3" s="86" t="s">
        <v>8</v>
      </c>
      <c r="P3" s="86" t="s">
        <v>10</v>
      </c>
    </row>
    <row r="4" spans="1:42" s="203" customFormat="1" ht="24.6" customHeight="1" x14ac:dyDescent="0.3">
      <c r="A4" s="372"/>
      <c r="B4" s="377"/>
      <c r="C4" s="372"/>
      <c r="D4" s="196">
        <v>0</v>
      </c>
      <c r="E4" s="196">
        <v>0</v>
      </c>
      <c r="F4" s="196">
        <f t="shared" ref="F4" si="0">D4-E4</f>
        <v>0</v>
      </c>
      <c r="G4" s="196">
        <v>0</v>
      </c>
      <c r="H4" s="378">
        <v>0</v>
      </c>
      <c r="I4" s="378">
        <v>0</v>
      </c>
      <c r="J4" s="196">
        <v>0</v>
      </c>
      <c r="K4" s="374">
        <f>SUM(F4:J4)</f>
        <v>0</v>
      </c>
      <c r="L4" s="378">
        <f>60%*(D4+G4)</f>
        <v>0</v>
      </c>
      <c r="M4" s="378">
        <f>K4-L4</f>
        <v>0</v>
      </c>
      <c r="N4" s="372"/>
      <c r="O4" s="197"/>
      <c r="P4" s="197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1"/>
      <c r="AM4" s="202"/>
      <c r="AN4" s="202"/>
      <c r="AO4" s="202"/>
      <c r="AP4" s="202"/>
    </row>
    <row r="5" spans="1:42" s="206" customFormat="1" ht="24.6" customHeight="1" x14ac:dyDescent="0.3">
      <c r="A5" s="195"/>
      <c r="B5" s="372"/>
      <c r="C5" s="372"/>
      <c r="D5" s="196">
        <v>0</v>
      </c>
      <c r="E5" s="378">
        <v>0</v>
      </c>
      <c r="F5" s="196">
        <f>D5-E5</f>
        <v>0</v>
      </c>
      <c r="G5" s="378">
        <v>0</v>
      </c>
      <c r="H5" s="378">
        <v>0</v>
      </c>
      <c r="I5" s="378">
        <v>0</v>
      </c>
      <c r="J5" s="378">
        <v>0</v>
      </c>
      <c r="K5" s="374">
        <f>SUM(F5:J5)</f>
        <v>0</v>
      </c>
      <c r="L5" s="378">
        <f>60%*(D5+G5)</f>
        <v>0</v>
      </c>
      <c r="M5" s="378">
        <f>K5-L5</f>
        <v>0</v>
      </c>
      <c r="N5" s="372"/>
      <c r="O5" s="197"/>
      <c r="P5" s="197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</row>
    <row r="6" spans="1:42" s="10" customFormat="1" ht="25.05" customHeight="1" x14ac:dyDescent="0.3">
      <c r="A6" s="518" t="s">
        <v>4</v>
      </c>
      <c r="B6" s="518"/>
      <c r="C6" s="367"/>
      <c r="D6" s="369">
        <f>SUM(D4:D5)</f>
        <v>0</v>
      </c>
      <c r="E6" s="369">
        <f t="shared" ref="E6:J6" si="1">SUM(E4:E5)</f>
        <v>0</v>
      </c>
      <c r="F6" s="369">
        <f t="shared" si="1"/>
        <v>0</v>
      </c>
      <c r="G6" s="369">
        <f t="shared" si="1"/>
        <v>0</v>
      </c>
      <c r="H6" s="369">
        <f t="shared" si="1"/>
        <v>0</v>
      </c>
      <c r="I6" s="369">
        <f t="shared" si="1"/>
        <v>0</v>
      </c>
      <c r="J6" s="369">
        <f t="shared" si="1"/>
        <v>0</v>
      </c>
      <c r="K6" s="369">
        <f>SUM(K4:K5)</f>
        <v>0</v>
      </c>
      <c r="L6" s="369">
        <f>SUM(L4:L5)</f>
        <v>0</v>
      </c>
      <c r="M6" s="369">
        <f>SUM(M4:M5)</f>
        <v>0</v>
      </c>
      <c r="N6" s="370"/>
      <c r="O6" s="3"/>
      <c r="P6" s="3"/>
    </row>
    <row r="7" spans="1:42" s="10" customFormat="1" ht="25.05" customHeight="1" x14ac:dyDescent="0.3">
      <c r="A7" s="571" t="s">
        <v>1246</v>
      </c>
      <c r="B7" s="572"/>
      <c r="C7" s="572"/>
      <c r="D7" s="572"/>
      <c r="E7" s="572"/>
      <c r="F7" s="572"/>
      <c r="G7" s="572"/>
      <c r="H7" s="572"/>
      <c r="I7" s="572"/>
      <c r="J7" s="572"/>
      <c r="K7" s="572"/>
      <c r="L7" s="572"/>
      <c r="M7" s="572"/>
      <c r="N7" s="572"/>
      <c r="O7" s="572"/>
      <c r="P7" s="573"/>
    </row>
    <row r="8" spans="1:42" s="11" customFormat="1" ht="34.799999999999997" customHeight="1" x14ac:dyDescent="0.3">
      <c r="A8" s="83" t="s">
        <v>3</v>
      </c>
      <c r="B8" s="83" t="s">
        <v>0</v>
      </c>
      <c r="C8" s="83" t="s">
        <v>821</v>
      </c>
      <c r="D8" s="84" t="s">
        <v>1</v>
      </c>
      <c r="E8" s="84" t="s">
        <v>68</v>
      </c>
      <c r="F8" s="84" t="s">
        <v>69</v>
      </c>
      <c r="G8" s="85" t="s">
        <v>2</v>
      </c>
      <c r="H8" s="85" t="s">
        <v>592</v>
      </c>
      <c r="I8" s="84" t="s">
        <v>6</v>
      </c>
      <c r="J8" s="84" t="s">
        <v>7</v>
      </c>
      <c r="K8" s="84" t="s">
        <v>4</v>
      </c>
      <c r="L8" s="84" t="s">
        <v>5</v>
      </c>
      <c r="M8" s="84" t="s">
        <v>70</v>
      </c>
      <c r="N8" s="83" t="s">
        <v>59</v>
      </c>
      <c r="O8" s="86" t="s">
        <v>8</v>
      </c>
      <c r="P8" s="86" t="s">
        <v>10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</row>
    <row r="9" spans="1:42" s="381" customFormat="1" ht="24.6" customHeight="1" x14ac:dyDescent="0.3">
      <c r="A9" s="195" t="s">
        <v>1079</v>
      </c>
      <c r="B9" s="372">
        <v>1</v>
      </c>
      <c r="C9" s="372" t="s">
        <v>830</v>
      </c>
      <c r="D9" s="196">
        <f>'[2]GERAL 2025'!G3</f>
        <v>610</v>
      </c>
      <c r="E9" s="378">
        <v>0</v>
      </c>
      <c r="F9" s="378">
        <f t="shared" ref="F9:F25" si="2">D9-E9</f>
        <v>610</v>
      </c>
      <c r="G9" s="196">
        <v>50</v>
      </c>
      <c r="H9" s="378">
        <f>(1665.9/27)</f>
        <v>61.7</v>
      </c>
      <c r="I9" s="378">
        <f>'[2]GERAL 2025'!I3</f>
        <v>1.3720449172576832</v>
      </c>
      <c r="J9" s="378">
        <v>0</v>
      </c>
      <c r="K9" s="374">
        <f t="shared" ref="K9:K35" si="3">SUM(F9:J9)</f>
        <v>723.0720449172577</v>
      </c>
      <c r="L9" s="378">
        <f>7%*K9</f>
        <v>50.615043144208045</v>
      </c>
      <c r="M9" s="378">
        <f>K9-L9</f>
        <v>672.45700177304968</v>
      </c>
      <c r="N9" s="196" t="s">
        <v>1247</v>
      </c>
      <c r="O9" s="197">
        <v>10</v>
      </c>
      <c r="P9" s="197">
        <v>11</v>
      </c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</row>
    <row r="10" spans="1:42" s="203" customFormat="1" ht="26.4" customHeight="1" x14ac:dyDescent="0.3">
      <c r="A10" s="372" t="s">
        <v>1210</v>
      </c>
      <c r="B10" s="377">
        <v>2</v>
      </c>
      <c r="C10" s="372" t="s">
        <v>822</v>
      </c>
      <c r="D10" s="196">
        <f>660</f>
        <v>660</v>
      </c>
      <c r="E10" s="196">
        <v>0</v>
      </c>
      <c r="F10" s="196">
        <f t="shared" si="2"/>
        <v>660</v>
      </c>
      <c r="G10" s="196">
        <f>50</f>
        <v>50</v>
      </c>
      <c r="H10" s="378">
        <f>(1665.9/27)</f>
        <v>61.7</v>
      </c>
      <c r="I10" s="378">
        <f>'[2]GERAL 2025'!I40</f>
        <v>1.3720449172576832</v>
      </c>
      <c r="J10" s="196">
        <v>0</v>
      </c>
      <c r="K10" s="374">
        <f t="shared" si="3"/>
        <v>773.0720449172577</v>
      </c>
      <c r="L10" s="378">
        <f>7%*K10</f>
        <v>54.115043144208045</v>
      </c>
      <c r="M10" s="378">
        <f t="shared" ref="M10:M34" si="4">K10-L10</f>
        <v>718.95700177304968</v>
      </c>
      <c r="N10" s="372" t="s">
        <v>1248</v>
      </c>
      <c r="O10" s="197">
        <v>10</v>
      </c>
      <c r="P10" s="197">
        <v>11</v>
      </c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1"/>
      <c r="AM10" s="202"/>
      <c r="AN10" s="202"/>
      <c r="AO10" s="202"/>
      <c r="AP10" s="202"/>
    </row>
    <row r="11" spans="1:42" s="204" customFormat="1" ht="24.6" customHeight="1" x14ac:dyDescent="0.3">
      <c r="A11" s="372" t="s">
        <v>1005</v>
      </c>
      <c r="B11" s="377">
        <v>3</v>
      </c>
      <c r="C11" s="372" t="s">
        <v>822</v>
      </c>
      <c r="D11" s="196">
        <v>0</v>
      </c>
      <c r="E11" s="196">
        <v>0</v>
      </c>
      <c r="F11" s="196">
        <f t="shared" si="2"/>
        <v>0</v>
      </c>
      <c r="G11" s="196">
        <v>0</v>
      </c>
      <c r="H11" s="378">
        <v>0</v>
      </c>
      <c r="I11" s="378">
        <v>0</v>
      </c>
      <c r="J11" s="196">
        <v>0</v>
      </c>
      <c r="K11" s="374">
        <f t="shared" si="3"/>
        <v>0</v>
      </c>
      <c r="L11" s="378">
        <f>7%*K11</f>
        <v>0</v>
      </c>
      <c r="M11" s="378">
        <f>K11-L11</f>
        <v>0</v>
      </c>
      <c r="N11" s="196" t="s">
        <v>179</v>
      </c>
      <c r="O11" s="197">
        <v>10</v>
      </c>
      <c r="P11" s="197">
        <v>11</v>
      </c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</row>
    <row r="12" spans="1:42" s="381" customFormat="1" ht="24.6" customHeight="1" x14ac:dyDescent="0.3">
      <c r="A12" s="372" t="s">
        <v>1133</v>
      </c>
      <c r="B12" s="372">
        <v>4</v>
      </c>
      <c r="C12" s="372" t="s">
        <v>829</v>
      </c>
      <c r="D12" s="196">
        <f>660</f>
        <v>660</v>
      </c>
      <c r="E12" s="196">
        <v>0</v>
      </c>
      <c r="F12" s="196">
        <f t="shared" si="2"/>
        <v>660</v>
      </c>
      <c r="G12" s="378">
        <f>50</f>
        <v>50</v>
      </c>
      <c r="H12" s="378">
        <f t="shared" ref="H12:H35" si="5">(1665.9/27)</f>
        <v>61.7</v>
      </c>
      <c r="I12" s="378">
        <f>'[2]GERAL 2025'!I34</f>
        <v>1.3720449172576832</v>
      </c>
      <c r="J12" s="378">
        <v>0</v>
      </c>
      <c r="K12" s="374">
        <f t="shared" si="3"/>
        <v>773.0720449172577</v>
      </c>
      <c r="L12" s="378">
        <f>7%*K12</f>
        <v>54.115043144208045</v>
      </c>
      <c r="M12" s="378">
        <f t="shared" si="4"/>
        <v>718.95700177304968</v>
      </c>
      <c r="N12" s="372" t="s">
        <v>1248</v>
      </c>
      <c r="O12" s="197">
        <v>10</v>
      </c>
      <c r="P12" s="377">
        <v>11</v>
      </c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</row>
    <row r="13" spans="1:42" s="381" customFormat="1" ht="24.6" customHeight="1" x14ac:dyDescent="0.3">
      <c r="A13" s="372" t="s">
        <v>744</v>
      </c>
      <c r="B13" s="372">
        <v>5</v>
      </c>
      <c r="C13" s="372" t="s">
        <v>823</v>
      </c>
      <c r="D13" s="196">
        <f>'[2]GERAL 2023'!G7+(6.53784 %*580)</f>
        <v>617.91947200000004</v>
      </c>
      <c r="E13" s="378">
        <v>0</v>
      </c>
      <c r="F13" s="378">
        <f t="shared" si="2"/>
        <v>617.91947200000004</v>
      </c>
      <c r="G13" s="378">
        <f>50</f>
        <v>50</v>
      </c>
      <c r="H13" s="378">
        <f t="shared" si="5"/>
        <v>61.7</v>
      </c>
      <c r="I13" s="378">
        <f>'[2]GERAL 2025'!I7</f>
        <v>1.3720449172576832</v>
      </c>
      <c r="J13" s="378">
        <v>0</v>
      </c>
      <c r="K13" s="374">
        <f t="shared" si="3"/>
        <v>730.99151691725774</v>
      </c>
      <c r="L13" s="378">
        <f>7%*K13</f>
        <v>51.16940618420805</v>
      </c>
      <c r="M13" s="378">
        <f t="shared" si="4"/>
        <v>679.82211073304973</v>
      </c>
      <c r="N13" s="372" t="s">
        <v>1248</v>
      </c>
      <c r="O13" s="197">
        <v>10</v>
      </c>
      <c r="P13" s="197">
        <v>11</v>
      </c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</row>
    <row r="14" spans="1:42" s="206" customFormat="1" ht="24.6" customHeight="1" x14ac:dyDescent="0.3">
      <c r="A14" s="372" t="s">
        <v>745</v>
      </c>
      <c r="B14" s="372">
        <v>6</v>
      </c>
      <c r="C14" s="372" t="s">
        <v>823</v>
      </c>
      <c r="D14" s="196">
        <f>'[2]GERAL 2023'!G8+(6.53784%*680)</f>
        <v>724.457312</v>
      </c>
      <c r="E14" s="196">
        <v>0</v>
      </c>
      <c r="F14" s="378">
        <f t="shared" si="2"/>
        <v>724.457312</v>
      </c>
      <c r="G14" s="378">
        <v>50</v>
      </c>
      <c r="H14" s="378">
        <f t="shared" si="5"/>
        <v>61.7</v>
      </c>
      <c r="I14" s="378">
        <f>'[2]GERAL 2025'!I8</f>
        <v>1.9208628841607567</v>
      </c>
      <c r="J14" s="378">
        <v>0</v>
      </c>
      <c r="K14" s="374">
        <f t="shared" si="3"/>
        <v>838.07817488416083</v>
      </c>
      <c r="L14" s="378">
        <f t="shared" ref="L14:L35" si="6">7%*K14</f>
        <v>58.665472241891266</v>
      </c>
      <c r="M14" s="378">
        <f>K14-L14</f>
        <v>779.41270264226955</v>
      </c>
      <c r="N14" s="372" t="s">
        <v>1248</v>
      </c>
      <c r="O14" s="197">
        <v>10</v>
      </c>
      <c r="P14" s="197">
        <v>11</v>
      </c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</row>
    <row r="15" spans="1:42" s="381" customFormat="1" ht="24.6" customHeight="1" x14ac:dyDescent="0.3">
      <c r="A15" s="372" t="s">
        <v>1136</v>
      </c>
      <c r="B15" s="372">
        <v>7</v>
      </c>
      <c r="C15" s="372" t="s">
        <v>829</v>
      </c>
      <c r="D15" s="196">
        <v>0</v>
      </c>
      <c r="E15" s="196">
        <v>0</v>
      </c>
      <c r="F15" s="196">
        <f t="shared" si="2"/>
        <v>0</v>
      </c>
      <c r="G15" s="196">
        <v>0</v>
      </c>
      <c r="H15" s="378">
        <v>0</v>
      </c>
      <c r="I15" s="378">
        <v>0</v>
      </c>
      <c r="J15" s="196">
        <v>0</v>
      </c>
      <c r="K15" s="374">
        <f t="shared" si="3"/>
        <v>0</v>
      </c>
      <c r="L15" s="378">
        <f>7%*K15</f>
        <v>0</v>
      </c>
      <c r="M15" s="378">
        <f>K15-L15</f>
        <v>0</v>
      </c>
      <c r="N15" s="196" t="s">
        <v>179</v>
      </c>
      <c r="O15" s="197">
        <v>10</v>
      </c>
      <c r="P15" s="197">
        <v>11</v>
      </c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</row>
    <row r="16" spans="1:42" s="381" customFormat="1" ht="24.6" customHeight="1" x14ac:dyDescent="0.3">
      <c r="A16" s="372" t="s">
        <v>1085</v>
      </c>
      <c r="B16" s="372">
        <v>8</v>
      </c>
      <c r="C16" s="372" t="s">
        <v>830</v>
      </c>
      <c r="D16" s="196">
        <f>'[2]GERAL 2025'!G10</f>
        <v>640</v>
      </c>
      <c r="E16" s="378">
        <v>0</v>
      </c>
      <c r="F16" s="196">
        <f t="shared" si="2"/>
        <v>640</v>
      </c>
      <c r="G16" s="378">
        <v>0</v>
      </c>
      <c r="H16" s="378">
        <f t="shared" si="5"/>
        <v>61.7</v>
      </c>
      <c r="I16" s="378">
        <f>'[2]GERAL 2025'!I10</f>
        <v>1.3720449172576832</v>
      </c>
      <c r="J16" s="378">
        <v>0</v>
      </c>
      <c r="K16" s="374">
        <f t="shared" si="3"/>
        <v>703.0720449172577</v>
      </c>
      <c r="L16" s="378">
        <f>7%*K16</f>
        <v>49.215043144208046</v>
      </c>
      <c r="M16" s="378">
        <f>K16-L16</f>
        <v>653.85700177304966</v>
      </c>
      <c r="N16" s="196" t="s">
        <v>1249</v>
      </c>
      <c r="O16" s="197">
        <v>10</v>
      </c>
      <c r="P16" s="197">
        <v>11</v>
      </c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</row>
    <row r="17" spans="1:47" s="381" customFormat="1" ht="24.6" customHeight="1" x14ac:dyDescent="0.3">
      <c r="A17" s="372" t="s">
        <v>852</v>
      </c>
      <c r="B17" s="372">
        <v>9</v>
      </c>
      <c r="C17" s="372" t="s">
        <v>828</v>
      </c>
      <c r="D17" s="196">
        <f>640+(5.59268%*640)</f>
        <v>675.79315199999996</v>
      </c>
      <c r="E17" s="378">
        <v>0</v>
      </c>
      <c r="F17" s="196">
        <f t="shared" si="2"/>
        <v>675.79315199999996</v>
      </c>
      <c r="G17" s="378">
        <v>0</v>
      </c>
      <c r="H17" s="378">
        <f t="shared" si="5"/>
        <v>61.7</v>
      </c>
      <c r="I17" s="378">
        <f>'[2]GERAL 2025'!I11</f>
        <v>1.3720449172576832</v>
      </c>
      <c r="J17" s="378">
        <v>0</v>
      </c>
      <c r="K17" s="374">
        <f t="shared" si="3"/>
        <v>738.86519691725766</v>
      </c>
      <c r="L17" s="378">
        <f>7%*K17</f>
        <v>51.720563784208039</v>
      </c>
      <c r="M17" s="378">
        <f>K17-L17</f>
        <v>687.14463313304964</v>
      </c>
      <c r="N17" s="372" t="s">
        <v>1249</v>
      </c>
      <c r="O17" s="207">
        <v>10</v>
      </c>
      <c r="P17" s="197">
        <v>11</v>
      </c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</row>
    <row r="18" spans="1:47" s="148" customFormat="1" ht="24.6" customHeight="1" x14ac:dyDescent="0.3">
      <c r="A18" s="377" t="s">
        <v>739</v>
      </c>
      <c r="B18" s="377">
        <v>10</v>
      </c>
      <c r="C18" s="377" t="s">
        <v>825</v>
      </c>
      <c r="D18" s="196">
        <f>588.62</f>
        <v>588.62</v>
      </c>
      <c r="E18" s="378">
        <v>0</v>
      </c>
      <c r="F18" s="196">
        <f t="shared" si="2"/>
        <v>588.62</v>
      </c>
      <c r="G18" s="378">
        <v>26.76</v>
      </c>
      <c r="H18" s="378">
        <f t="shared" si="5"/>
        <v>61.7</v>
      </c>
      <c r="I18" s="378">
        <f>'[2]GERAL 2025'!I12</f>
        <v>1.3720449172576832</v>
      </c>
      <c r="J18" s="378">
        <v>0</v>
      </c>
      <c r="K18" s="374">
        <f t="shared" si="3"/>
        <v>678.45204491725769</v>
      </c>
      <c r="L18" s="378">
        <f t="shared" si="6"/>
        <v>47.491643144208041</v>
      </c>
      <c r="M18" s="378">
        <f t="shared" si="4"/>
        <v>630.96040177304963</v>
      </c>
      <c r="N18" s="196" t="s">
        <v>1250</v>
      </c>
      <c r="O18" s="197">
        <v>10</v>
      </c>
      <c r="P18" s="377">
        <v>11</v>
      </c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  <c r="AI18" s="208"/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  <c r="AT18" s="208"/>
      <c r="AU18" s="208"/>
    </row>
    <row r="19" spans="1:47" s="148" customFormat="1" ht="24.6" customHeight="1" x14ac:dyDescent="0.3">
      <c r="A19" s="377" t="s">
        <v>1192</v>
      </c>
      <c r="B19" s="377">
        <v>11</v>
      </c>
      <c r="C19" s="377" t="s">
        <v>825</v>
      </c>
      <c r="D19" s="378">
        <f>660</f>
        <v>660</v>
      </c>
      <c r="E19" s="378">
        <v>0</v>
      </c>
      <c r="F19" s="196">
        <f t="shared" si="2"/>
        <v>660</v>
      </c>
      <c r="G19" s="378">
        <f>25</f>
        <v>25</v>
      </c>
      <c r="H19" s="378">
        <f>(1665.9/27)</f>
        <v>61.7</v>
      </c>
      <c r="I19" s="378">
        <f>'[2]GERAL 2025'!I38</f>
        <v>1.3720449172576832</v>
      </c>
      <c r="J19" s="378">
        <v>0</v>
      </c>
      <c r="K19" s="374">
        <f t="shared" si="3"/>
        <v>748.0720449172577</v>
      </c>
      <c r="L19" s="378">
        <f>7%*K19</f>
        <v>52.365043144208045</v>
      </c>
      <c r="M19" s="378">
        <f>K19-L19</f>
        <v>695.70700177304968</v>
      </c>
      <c r="N19" s="196" t="s">
        <v>1250</v>
      </c>
      <c r="O19" s="197">
        <v>10</v>
      </c>
      <c r="P19" s="377">
        <v>11</v>
      </c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8"/>
      <c r="AR19" s="208"/>
      <c r="AS19" s="208"/>
      <c r="AT19" s="208"/>
      <c r="AU19" s="208"/>
    </row>
    <row r="20" spans="1:47" s="381" customFormat="1" ht="24" customHeight="1" x14ac:dyDescent="0.3">
      <c r="A20" s="372" t="s">
        <v>1087</v>
      </c>
      <c r="B20" s="372">
        <v>12</v>
      </c>
      <c r="C20" s="372" t="s">
        <v>830</v>
      </c>
      <c r="D20" s="196">
        <f>'[2]GERAL 2025'!G14</f>
        <v>610</v>
      </c>
      <c r="E20" s="378">
        <v>0</v>
      </c>
      <c r="F20" s="196">
        <f t="shared" si="2"/>
        <v>610</v>
      </c>
      <c r="G20" s="196">
        <v>50</v>
      </c>
      <c r="H20" s="378">
        <f t="shared" si="5"/>
        <v>61.7</v>
      </c>
      <c r="I20" s="378">
        <f>'[2]GERAL 2025'!I14</f>
        <v>1.3720449172576832</v>
      </c>
      <c r="J20" s="196">
        <v>0</v>
      </c>
      <c r="K20" s="374">
        <f t="shared" si="3"/>
        <v>723.0720449172577</v>
      </c>
      <c r="L20" s="378">
        <f t="shared" si="6"/>
        <v>50.615043144208045</v>
      </c>
      <c r="M20" s="378">
        <f t="shared" si="4"/>
        <v>672.45700177304968</v>
      </c>
      <c r="N20" s="196" t="s">
        <v>1248</v>
      </c>
      <c r="O20" s="197">
        <v>10</v>
      </c>
      <c r="P20" s="197">
        <v>11</v>
      </c>
      <c r="Q20" s="198"/>
      <c r="R20" s="198"/>
      <c r="S20" s="198"/>
      <c r="T20" s="198"/>
      <c r="U20" s="198"/>
      <c r="V20" s="198"/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</row>
    <row r="21" spans="1:47" s="206" customFormat="1" ht="24.6" customHeight="1" x14ac:dyDescent="0.3">
      <c r="A21" s="372" t="s">
        <v>756</v>
      </c>
      <c r="B21" s="372">
        <v>13</v>
      </c>
      <c r="C21" s="372" t="s">
        <v>827</v>
      </c>
      <c r="D21" s="196">
        <v>596.77</v>
      </c>
      <c r="E21" s="196">
        <v>0</v>
      </c>
      <c r="F21" s="196">
        <f t="shared" si="2"/>
        <v>596.77</v>
      </c>
      <c r="G21" s="378">
        <v>0</v>
      </c>
      <c r="H21" s="378">
        <f t="shared" si="5"/>
        <v>61.7</v>
      </c>
      <c r="I21" s="378">
        <f>'[2]GERAL 2025'!I15</f>
        <v>1.3720449172576832</v>
      </c>
      <c r="J21" s="378">
        <v>0</v>
      </c>
      <c r="K21" s="374">
        <f t="shared" si="3"/>
        <v>659.84204491725768</v>
      </c>
      <c r="L21" s="378">
        <f t="shared" si="6"/>
        <v>46.188943144208039</v>
      </c>
      <c r="M21" s="378">
        <f t="shared" si="4"/>
        <v>613.65310177304968</v>
      </c>
      <c r="N21" s="372" t="s">
        <v>1249</v>
      </c>
      <c r="O21" s="197">
        <v>10</v>
      </c>
      <c r="P21" s="197">
        <v>11</v>
      </c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</row>
    <row r="22" spans="1:47" s="148" customFormat="1" ht="24.6" customHeight="1" x14ac:dyDescent="0.3">
      <c r="A22" s="197" t="s">
        <v>977</v>
      </c>
      <c r="B22" s="377">
        <v>14</v>
      </c>
      <c r="C22" s="372" t="s">
        <v>827</v>
      </c>
      <c r="D22" s="196">
        <v>657.82</v>
      </c>
      <c r="E22" s="378">
        <v>0</v>
      </c>
      <c r="F22" s="196">
        <f t="shared" si="2"/>
        <v>657.82</v>
      </c>
      <c r="G22" s="378">
        <v>54.25</v>
      </c>
      <c r="H22" s="378">
        <f t="shared" si="5"/>
        <v>61.7</v>
      </c>
      <c r="I22" s="378">
        <f>'[2]GERAL 2025'!I16</f>
        <v>1.3720449172576832</v>
      </c>
      <c r="J22" s="378">
        <v>0</v>
      </c>
      <c r="K22" s="374">
        <f t="shared" si="3"/>
        <v>775.14204491725775</v>
      </c>
      <c r="L22" s="378">
        <f t="shared" si="6"/>
        <v>54.259943144208044</v>
      </c>
      <c r="M22" s="378">
        <f t="shared" si="4"/>
        <v>720.88210177304973</v>
      </c>
      <c r="N22" s="372" t="s">
        <v>1248</v>
      </c>
      <c r="O22" s="197">
        <v>10</v>
      </c>
      <c r="P22" s="377">
        <v>11</v>
      </c>
      <c r="Q22" s="208"/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  <c r="AD22" s="208"/>
      <c r="AE22" s="208"/>
      <c r="AF22" s="208"/>
      <c r="AG22" s="208"/>
      <c r="AH22" s="208"/>
      <c r="AI22" s="208"/>
      <c r="AJ22" s="208"/>
      <c r="AK22" s="208"/>
      <c r="AL22" s="208"/>
      <c r="AM22" s="208"/>
      <c r="AN22" s="208"/>
      <c r="AO22" s="208"/>
      <c r="AP22" s="208"/>
      <c r="AQ22" s="208"/>
      <c r="AR22" s="208"/>
      <c r="AS22" s="208"/>
      <c r="AT22" s="208"/>
      <c r="AU22" s="208"/>
    </row>
    <row r="23" spans="1:47" s="204" customFormat="1" ht="24.6" customHeight="1" x14ac:dyDescent="0.3">
      <c r="A23" s="372" t="s">
        <v>748</v>
      </c>
      <c r="B23" s="372">
        <v>15</v>
      </c>
      <c r="C23" s="372" t="s">
        <v>827</v>
      </c>
      <c r="D23" s="196">
        <v>737.83</v>
      </c>
      <c r="E23" s="378">
        <v>0</v>
      </c>
      <c r="F23" s="196">
        <f t="shared" si="2"/>
        <v>737.83</v>
      </c>
      <c r="G23" s="378">
        <v>27.13</v>
      </c>
      <c r="H23" s="378">
        <f t="shared" si="5"/>
        <v>61.7</v>
      </c>
      <c r="I23" s="378">
        <f>'[2]GERAL 2025'!I17</f>
        <v>1.9208628841607567</v>
      </c>
      <c r="J23" s="378">
        <v>0</v>
      </c>
      <c r="K23" s="374">
        <f t="shared" si="3"/>
        <v>828.58086288416087</v>
      </c>
      <c r="L23" s="378">
        <f t="shared" si="6"/>
        <v>58.000660401891267</v>
      </c>
      <c r="M23" s="378">
        <f t="shared" si="4"/>
        <v>770.58020248226956</v>
      </c>
      <c r="N23" s="372" t="s">
        <v>1250</v>
      </c>
      <c r="O23" s="197">
        <v>10</v>
      </c>
      <c r="P23" s="377">
        <v>11</v>
      </c>
      <c r="Q23" s="200"/>
      <c r="R23" s="200"/>
      <c r="S23" s="200"/>
      <c r="T23" s="200"/>
      <c r="U23" s="200"/>
      <c r="V23" s="200"/>
      <c r="W23" s="200"/>
      <c r="X23" s="200"/>
      <c r="Y23" s="200"/>
    </row>
    <row r="24" spans="1:47" s="206" customFormat="1" ht="24.6" customHeight="1" x14ac:dyDescent="0.3">
      <c r="A24" s="197" t="s">
        <v>1195</v>
      </c>
      <c r="B24" s="197">
        <v>16</v>
      </c>
      <c r="C24" s="377" t="s">
        <v>825</v>
      </c>
      <c r="D24" s="196">
        <f>690</f>
        <v>690</v>
      </c>
      <c r="E24" s="378">
        <v>0</v>
      </c>
      <c r="F24" s="196">
        <f>D24-E24</f>
        <v>690</v>
      </c>
      <c r="G24" s="378">
        <v>0</v>
      </c>
      <c r="H24" s="378">
        <f>(1665.9/27)</f>
        <v>61.7</v>
      </c>
      <c r="I24" s="378">
        <f>'[2]GERAL 2025'!I39</f>
        <v>1.3720449172576832</v>
      </c>
      <c r="J24" s="378">
        <v>0</v>
      </c>
      <c r="K24" s="374">
        <f t="shared" si="3"/>
        <v>753.0720449172577</v>
      </c>
      <c r="L24" s="378">
        <f t="shared" si="6"/>
        <v>52.715043144208046</v>
      </c>
      <c r="M24" s="378">
        <f>K24-L24</f>
        <v>700.35700177304966</v>
      </c>
      <c r="N24" s="196" t="s">
        <v>1249</v>
      </c>
      <c r="O24" s="197">
        <v>10</v>
      </c>
      <c r="P24" s="197">
        <v>11</v>
      </c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  <c r="AP24" s="205"/>
    </row>
    <row r="25" spans="1:47" s="206" customFormat="1" ht="24.6" customHeight="1" x14ac:dyDescent="0.3">
      <c r="A25" s="195" t="s">
        <v>1029</v>
      </c>
      <c r="B25" s="195">
        <v>17</v>
      </c>
      <c r="C25" s="195" t="s">
        <v>824</v>
      </c>
      <c r="D25" s="196">
        <f>628.06</f>
        <v>628.05999999999995</v>
      </c>
      <c r="E25" s="378">
        <v>0</v>
      </c>
      <c r="F25" s="196">
        <f t="shared" si="2"/>
        <v>628.05999999999995</v>
      </c>
      <c r="G25" s="378">
        <v>51.48</v>
      </c>
      <c r="H25" s="378">
        <f t="shared" si="5"/>
        <v>61.7</v>
      </c>
      <c r="I25" s="378">
        <f>'[2]GERAL 2025'!I19</f>
        <v>1.3720449172576832</v>
      </c>
      <c r="J25" s="378">
        <v>0</v>
      </c>
      <c r="K25" s="374">
        <f t="shared" si="3"/>
        <v>742.61204491725766</v>
      </c>
      <c r="L25" s="378">
        <f>7%*K25</f>
        <v>51.98284314420804</v>
      </c>
      <c r="M25" s="378">
        <f>K25-L25</f>
        <v>690.62920177304966</v>
      </c>
      <c r="N25" s="372" t="s">
        <v>1248</v>
      </c>
      <c r="O25" s="197">
        <v>10</v>
      </c>
      <c r="P25" s="197">
        <v>11</v>
      </c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</row>
    <row r="26" spans="1:47" s="206" customFormat="1" ht="24.6" customHeight="1" x14ac:dyDescent="0.3">
      <c r="A26" s="195" t="s">
        <v>1030</v>
      </c>
      <c r="B26" s="372">
        <v>18</v>
      </c>
      <c r="C26" s="195" t="s">
        <v>824</v>
      </c>
      <c r="D26" s="196">
        <v>658.95</v>
      </c>
      <c r="E26" s="378">
        <v>0</v>
      </c>
      <c r="F26" s="196">
        <f>D26-E26</f>
        <v>658.95</v>
      </c>
      <c r="G26" s="378">
        <v>0</v>
      </c>
      <c r="H26" s="378">
        <f t="shared" si="5"/>
        <v>61.7</v>
      </c>
      <c r="I26" s="378">
        <f>'[2]GERAL 2025'!I20</f>
        <v>1.3720449172576832</v>
      </c>
      <c r="J26" s="378">
        <v>0</v>
      </c>
      <c r="K26" s="374">
        <f t="shared" si="3"/>
        <v>722.02204491725774</v>
      </c>
      <c r="L26" s="378">
        <f t="shared" si="6"/>
        <v>50.541543144208049</v>
      </c>
      <c r="M26" s="378">
        <f t="shared" si="4"/>
        <v>671.4805017730497</v>
      </c>
      <c r="N26" s="372" t="s">
        <v>1249</v>
      </c>
      <c r="O26" s="197">
        <v>10</v>
      </c>
      <c r="P26" s="197">
        <v>11</v>
      </c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</row>
    <row r="27" spans="1:47" s="206" customFormat="1" ht="24.6" customHeight="1" x14ac:dyDescent="0.3">
      <c r="A27" s="372" t="s">
        <v>1012</v>
      </c>
      <c r="B27" s="372">
        <v>19</v>
      </c>
      <c r="C27" s="372" t="s">
        <v>822</v>
      </c>
      <c r="D27" s="196">
        <f>605.44</f>
        <v>605.44000000000005</v>
      </c>
      <c r="E27" s="378">
        <v>0</v>
      </c>
      <c r="F27" s="196">
        <f>(D27-E27)</f>
        <v>605.44000000000005</v>
      </c>
      <c r="G27" s="378">
        <v>52.19</v>
      </c>
      <c r="H27" s="378">
        <f t="shared" si="5"/>
        <v>61.7</v>
      </c>
      <c r="I27" s="378">
        <f>'[2]GERAL 2025'!I21</f>
        <v>1.3720449172576832</v>
      </c>
      <c r="J27" s="378">
        <v>0</v>
      </c>
      <c r="K27" s="374">
        <f t="shared" si="3"/>
        <v>720.70204491725781</v>
      </c>
      <c r="L27" s="378">
        <f t="shared" si="6"/>
        <v>50.449143144208051</v>
      </c>
      <c r="M27" s="378">
        <f t="shared" si="4"/>
        <v>670.25290177304976</v>
      </c>
      <c r="N27" s="372" t="s">
        <v>1248</v>
      </c>
      <c r="O27" s="207">
        <v>10</v>
      </c>
      <c r="P27" s="197">
        <v>11</v>
      </c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</row>
    <row r="28" spans="1:47" s="206" customFormat="1" ht="24" customHeight="1" x14ac:dyDescent="0.3">
      <c r="A28" s="195" t="s">
        <v>1214</v>
      </c>
      <c r="B28" s="372">
        <v>20</v>
      </c>
      <c r="C28" s="372" t="s">
        <v>822</v>
      </c>
      <c r="D28" s="196">
        <f>660</f>
        <v>660</v>
      </c>
      <c r="E28" s="378">
        <v>0</v>
      </c>
      <c r="F28" s="196">
        <f t="shared" ref="F28:F35" si="7">D28-E28</f>
        <v>660</v>
      </c>
      <c r="G28" s="378">
        <f>50</f>
        <v>50</v>
      </c>
      <c r="H28" s="378">
        <f t="shared" si="5"/>
        <v>61.7</v>
      </c>
      <c r="I28" s="378">
        <f>'[2]GERAL 2025'!I41</f>
        <v>1.3720449172576832</v>
      </c>
      <c r="J28" s="378">
        <v>0</v>
      </c>
      <c r="K28" s="374">
        <f t="shared" si="3"/>
        <v>773.0720449172577</v>
      </c>
      <c r="L28" s="378">
        <f t="shared" si="6"/>
        <v>54.115043144208045</v>
      </c>
      <c r="M28" s="378">
        <f t="shared" si="4"/>
        <v>718.95700177304968</v>
      </c>
      <c r="N28" s="372" t="s">
        <v>1248</v>
      </c>
      <c r="O28" s="207">
        <v>10</v>
      </c>
      <c r="P28" s="197">
        <v>11</v>
      </c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</row>
    <row r="29" spans="1:47" s="206" customFormat="1" ht="25.2" customHeight="1" x14ac:dyDescent="0.3">
      <c r="A29" s="195" t="s">
        <v>788</v>
      </c>
      <c r="B29" s="372">
        <v>21</v>
      </c>
      <c r="C29" s="372" t="s">
        <v>822</v>
      </c>
      <c r="D29" s="196">
        <f>620.28</f>
        <v>620.28</v>
      </c>
      <c r="E29" s="378">
        <v>0</v>
      </c>
      <c r="F29" s="196">
        <f t="shared" si="7"/>
        <v>620.28</v>
      </c>
      <c r="G29" s="378">
        <v>26.1</v>
      </c>
      <c r="H29" s="378">
        <f t="shared" si="5"/>
        <v>61.7</v>
      </c>
      <c r="I29" s="378">
        <f>'[2]GERAL 2025'!I23</f>
        <v>1.3720449172576832</v>
      </c>
      <c r="J29" s="378">
        <v>0</v>
      </c>
      <c r="K29" s="374">
        <f t="shared" si="3"/>
        <v>709.45204491725769</v>
      </c>
      <c r="L29" s="378">
        <f t="shared" si="6"/>
        <v>49.661643144208043</v>
      </c>
      <c r="M29" s="378">
        <f t="shared" si="4"/>
        <v>659.79040177304967</v>
      </c>
      <c r="N29" s="372" t="s">
        <v>1250</v>
      </c>
      <c r="O29" s="207">
        <v>10</v>
      </c>
      <c r="P29" s="197">
        <v>11</v>
      </c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</row>
    <row r="30" spans="1:47" s="206" customFormat="1" ht="24.6" customHeight="1" x14ac:dyDescent="0.3">
      <c r="A30" s="338" t="s">
        <v>950</v>
      </c>
      <c r="B30" s="216">
        <v>22</v>
      </c>
      <c r="C30" s="216" t="s">
        <v>951</v>
      </c>
      <c r="D30" s="217">
        <v>662.35</v>
      </c>
      <c r="E30" s="210">
        <v>0</v>
      </c>
      <c r="F30" s="217">
        <f t="shared" si="7"/>
        <v>662.35</v>
      </c>
      <c r="G30" s="210">
        <v>0</v>
      </c>
      <c r="H30" s="210">
        <f t="shared" si="5"/>
        <v>61.7</v>
      </c>
      <c r="I30" s="210">
        <f>'[2]GERAL 2025'!I24</f>
        <v>1.3720449172576832</v>
      </c>
      <c r="J30" s="210">
        <v>0</v>
      </c>
      <c r="K30" s="339">
        <f t="shared" si="3"/>
        <v>725.42204491725772</v>
      </c>
      <c r="L30" s="210">
        <f>7%*K30</f>
        <v>50.779543144208048</v>
      </c>
      <c r="M30" s="210">
        <f>K30-L30</f>
        <v>674.64250177304962</v>
      </c>
      <c r="N30" s="216" t="s">
        <v>1249</v>
      </c>
      <c r="O30" s="340">
        <v>10</v>
      </c>
      <c r="P30" s="235">
        <v>11</v>
      </c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</row>
    <row r="31" spans="1:47" s="372" customFormat="1" ht="24.6" customHeight="1" x14ac:dyDescent="0.3">
      <c r="A31" s="195" t="s">
        <v>1169</v>
      </c>
      <c r="B31" s="372">
        <v>23</v>
      </c>
      <c r="C31" s="372" t="s">
        <v>827</v>
      </c>
      <c r="D31" s="196">
        <f>660</f>
        <v>660</v>
      </c>
      <c r="E31" s="378">
        <v>0</v>
      </c>
      <c r="F31" s="196">
        <f t="shared" si="7"/>
        <v>660</v>
      </c>
      <c r="G31" s="378">
        <f>(50+25)</f>
        <v>75</v>
      </c>
      <c r="H31" s="378">
        <f>(1665.9/27)</f>
        <v>61.7</v>
      </c>
      <c r="I31" s="378">
        <f>'[2]GERAL 2025'!I37</f>
        <v>1.3720449172576832</v>
      </c>
      <c r="J31" s="378">
        <v>0</v>
      </c>
      <c r="K31" s="374">
        <f t="shared" si="3"/>
        <v>798.0720449172577</v>
      </c>
      <c r="L31" s="378">
        <f>7%*K31</f>
        <v>55.865043144208045</v>
      </c>
      <c r="M31" s="378">
        <f>K31-L31</f>
        <v>742.20700177304968</v>
      </c>
      <c r="N31" s="372" t="s">
        <v>1251</v>
      </c>
      <c r="O31" s="197">
        <v>10</v>
      </c>
      <c r="P31" s="197">
        <v>11</v>
      </c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</row>
    <row r="32" spans="1:47" s="203" customFormat="1" ht="24.6" customHeight="1" x14ac:dyDescent="0.3">
      <c r="A32" s="372" t="s">
        <v>1171</v>
      </c>
      <c r="B32" s="372">
        <v>24</v>
      </c>
      <c r="C32" s="372" t="s">
        <v>827</v>
      </c>
      <c r="D32" s="196">
        <f>740</f>
        <v>740</v>
      </c>
      <c r="E32" s="378">
        <v>0</v>
      </c>
      <c r="F32" s="196">
        <f>D32-E32</f>
        <v>740</v>
      </c>
      <c r="G32" s="378">
        <f>50</f>
        <v>50</v>
      </c>
      <c r="H32" s="378">
        <f t="shared" ref="H32" si="8">(1665.9/27)</f>
        <v>61.7</v>
      </c>
      <c r="I32" s="378">
        <f>'[2]GERAL 2025'!I36</f>
        <v>1.9208628841607567</v>
      </c>
      <c r="J32" s="378">
        <v>0</v>
      </c>
      <c r="K32" s="374">
        <f t="shared" si="3"/>
        <v>853.62086288416083</v>
      </c>
      <c r="L32" s="378">
        <f>7%*K32</f>
        <v>59.75346040189126</v>
      </c>
      <c r="M32" s="378">
        <f t="shared" si="4"/>
        <v>793.86740248226954</v>
      </c>
      <c r="N32" s="372" t="s">
        <v>1248</v>
      </c>
      <c r="O32" s="197">
        <v>10</v>
      </c>
      <c r="P32" s="197">
        <v>11</v>
      </c>
      <c r="Q32" s="202"/>
      <c r="R32" s="202"/>
      <c r="S32" s="202"/>
      <c r="T32" s="202"/>
      <c r="U32" s="202"/>
      <c r="V32" s="202"/>
      <c r="W32" s="202"/>
      <c r="X32" s="202"/>
      <c r="Y32" s="202"/>
    </row>
    <row r="33" spans="1:47" s="204" customFormat="1" ht="24.6" customHeight="1" x14ac:dyDescent="0.3">
      <c r="A33" s="206" t="s">
        <v>1007</v>
      </c>
      <c r="B33" s="341">
        <v>25</v>
      </c>
      <c r="C33" s="341" t="s">
        <v>822</v>
      </c>
      <c r="D33" s="342">
        <v>668.07</v>
      </c>
      <c r="E33" s="343">
        <v>0</v>
      </c>
      <c r="F33" s="342">
        <f t="shared" si="7"/>
        <v>668.07</v>
      </c>
      <c r="G33" s="343">
        <v>26.1</v>
      </c>
      <c r="H33" s="343">
        <f t="shared" si="5"/>
        <v>61.7</v>
      </c>
      <c r="I33" s="343">
        <f>'[2]GERAL 2025'!I27</f>
        <v>1.3720449172576832</v>
      </c>
      <c r="J33" s="343">
        <v>0</v>
      </c>
      <c r="K33" s="344">
        <f t="shared" si="3"/>
        <v>757.24204491725777</v>
      </c>
      <c r="L33" s="343">
        <f t="shared" si="6"/>
        <v>53.006943144208051</v>
      </c>
      <c r="M33" s="343">
        <f t="shared" si="4"/>
        <v>704.23510177304968</v>
      </c>
      <c r="N33" s="341" t="s">
        <v>1250</v>
      </c>
      <c r="O33" s="345">
        <v>10</v>
      </c>
      <c r="P33" s="346">
        <v>11</v>
      </c>
      <c r="Q33" s="200"/>
      <c r="R33" s="200"/>
      <c r="S33" s="200"/>
      <c r="T33" s="200"/>
      <c r="U33" s="200"/>
      <c r="V33" s="200"/>
      <c r="W33" s="200"/>
      <c r="X33" s="200"/>
      <c r="Y33" s="200"/>
    </row>
    <row r="34" spans="1:47" s="206" customFormat="1" ht="26.4" customHeight="1" x14ac:dyDescent="0.3">
      <c r="A34" s="227" t="s">
        <v>1252</v>
      </c>
      <c r="B34" s="372">
        <v>26</v>
      </c>
      <c r="C34" s="382" t="s">
        <v>1253</v>
      </c>
      <c r="D34" s="196">
        <f>660/30*16</f>
        <v>352</v>
      </c>
      <c r="E34" s="378">
        <v>0</v>
      </c>
      <c r="F34" s="196">
        <f t="shared" si="7"/>
        <v>352</v>
      </c>
      <c r="G34" s="402">
        <v>0</v>
      </c>
      <c r="H34" s="378">
        <f>(1665.9/27)/30*16</f>
        <v>32.906666666666666</v>
      </c>
      <c r="I34" s="378">
        <f>'[2]GERAL 2025'!I28/30*16</f>
        <v>0.73175728920409766</v>
      </c>
      <c r="J34" s="378">
        <v>132.51</v>
      </c>
      <c r="K34" s="374">
        <f t="shared" si="3"/>
        <v>518.14842395587073</v>
      </c>
      <c r="L34" s="378">
        <f t="shared" si="6"/>
        <v>36.270389676910952</v>
      </c>
      <c r="M34" s="378">
        <f t="shared" si="4"/>
        <v>481.87803427895977</v>
      </c>
      <c r="N34" s="372" t="s">
        <v>1254</v>
      </c>
      <c r="O34" s="197">
        <v>10</v>
      </c>
      <c r="P34" s="197">
        <v>11</v>
      </c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</row>
    <row r="35" spans="1:47" s="206" customFormat="1" ht="24.6" customHeight="1" x14ac:dyDescent="0.3">
      <c r="A35" s="195" t="s">
        <v>752</v>
      </c>
      <c r="B35" s="372">
        <v>27</v>
      </c>
      <c r="C35" s="216" t="s">
        <v>827</v>
      </c>
      <c r="D35" s="217">
        <v>629.32000000000005</v>
      </c>
      <c r="E35" s="210">
        <v>0</v>
      </c>
      <c r="F35" s="196">
        <f t="shared" si="7"/>
        <v>629.32000000000005</v>
      </c>
      <c r="G35" s="210">
        <v>0</v>
      </c>
      <c r="H35" s="378">
        <f t="shared" si="5"/>
        <v>61.7</v>
      </c>
      <c r="I35" s="210">
        <f>'[2]GERAL 2025'!I29</f>
        <v>1.3720449172576832</v>
      </c>
      <c r="J35" s="210">
        <v>0</v>
      </c>
      <c r="K35" s="374">
        <f t="shared" si="3"/>
        <v>692.39204491725775</v>
      </c>
      <c r="L35" s="378">
        <f t="shared" si="6"/>
        <v>48.467443144208048</v>
      </c>
      <c r="M35" s="378">
        <f>K35-L35</f>
        <v>643.92460177304974</v>
      </c>
      <c r="N35" s="372" t="s">
        <v>1249</v>
      </c>
      <c r="O35" s="197">
        <v>10</v>
      </c>
      <c r="P35" s="197">
        <v>11</v>
      </c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</row>
    <row r="36" spans="1:47" s="206" customFormat="1" ht="25.05" customHeight="1" x14ac:dyDescent="0.3">
      <c r="A36" s="584" t="s">
        <v>4</v>
      </c>
      <c r="B36" s="584"/>
      <c r="C36" s="382"/>
      <c r="D36" s="374">
        <f>SUM(D9:D35)</f>
        <v>16013.679936</v>
      </c>
      <c r="E36" s="374">
        <f t="shared" ref="E36:M36" si="9">SUM(E9:E35)</f>
        <v>0</v>
      </c>
      <c r="F36" s="374">
        <f t="shared" si="9"/>
        <v>16013.679936</v>
      </c>
      <c r="G36" s="374">
        <f t="shared" si="9"/>
        <v>764.01</v>
      </c>
      <c r="H36" s="374">
        <f>SUM(H9:H35)</f>
        <v>1513.7066666666674</v>
      </c>
      <c r="I36" s="374">
        <f>SUM(I9:I35)</f>
        <v>35.307289204097707</v>
      </c>
      <c r="J36" s="374">
        <f>SUM(J9:J35)</f>
        <v>132.51</v>
      </c>
      <c r="K36" s="374">
        <f>SUM(K9:K35)</f>
        <v>18459.213891870761</v>
      </c>
      <c r="L36" s="374">
        <f t="shared" si="9"/>
        <v>1292.1449724309537</v>
      </c>
      <c r="M36" s="374">
        <f t="shared" si="9"/>
        <v>17167.068919439815</v>
      </c>
      <c r="N36" s="372"/>
      <c r="O36" s="197"/>
      <c r="P36" s="197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</row>
    <row r="37" spans="1:47" s="11" customFormat="1" ht="28.5" customHeight="1" x14ac:dyDescent="0.3">
      <c r="A37" s="521" t="s">
        <v>1255</v>
      </c>
      <c r="B37" s="521"/>
      <c r="C37" s="521"/>
      <c r="D37" s="521"/>
      <c r="E37" s="521"/>
      <c r="F37" s="521"/>
      <c r="G37" s="521"/>
      <c r="H37" s="521"/>
      <c r="I37" s="521"/>
      <c r="J37" s="521"/>
      <c r="K37" s="521"/>
      <c r="L37" s="521"/>
      <c r="M37" s="521"/>
      <c r="N37" s="521"/>
      <c r="O37" s="521"/>
      <c r="P37" s="521"/>
      <c r="Q37" s="10"/>
      <c r="R37" s="10"/>
      <c r="S37" s="10"/>
      <c r="T37" s="10"/>
      <c r="U37" s="10"/>
      <c r="V37" s="10"/>
      <c r="W37" s="10"/>
      <c r="X37" s="10"/>
      <c r="Y37" s="10"/>
    </row>
    <row r="38" spans="1:47" s="11" customFormat="1" ht="27.6" customHeight="1" x14ac:dyDescent="0.3">
      <c r="A38" s="368" t="s">
        <v>3</v>
      </c>
      <c r="B38" s="368" t="s">
        <v>0</v>
      </c>
      <c r="C38" s="368" t="s">
        <v>821</v>
      </c>
      <c r="D38" s="371" t="s">
        <v>174</v>
      </c>
      <c r="E38" s="555" t="s">
        <v>175</v>
      </c>
      <c r="F38" s="556"/>
      <c r="G38" s="556"/>
      <c r="H38" s="556"/>
      <c r="I38" s="556"/>
      <c r="J38" s="557"/>
      <c r="K38" s="371" t="s">
        <v>4</v>
      </c>
      <c r="L38" s="371" t="s">
        <v>5</v>
      </c>
      <c r="M38" s="371" t="s">
        <v>70</v>
      </c>
      <c r="N38" s="368" t="s">
        <v>59</v>
      </c>
      <c r="O38" s="130" t="s">
        <v>8</v>
      </c>
      <c r="P38" s="130" t="s">
        <v>10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47" s="204" customFormat="1" ht="24.6" customHeight="1" x14ac:dyDescent="0.3">
      <c r="A39" s="377" t="s">
        <v>1136</v>
      </c>
      <c r="B39" s="377">
        <v>7</v>
      </c>
      <c r="C39" s="377" t="s">
        <v>829</v>
      </c>
      <c r="D39" s="196">
        <f>690+61.7+1.37</f>
        <v>753.07</v>
      </c>
      <c r="E39" s="551" t="s">
        <v>1242</v>
      </c>
      <c r="F39" s="580"/>
      <c r="G39" s="580"/>
      <c r="H39" s="580"/>
      <c r="I39" s="580"/>
      <c r="J39" s="552"/>
      <c r="K39" s="374">
        <v>835.73</v>
      </c>
      <c r="L39" s="378">
        <f>7%*K39</f>
        <v>58.501100000000008</v>
      </c>
      <c r="M39" s="378">
        <f>K39-L39</f>
        <v>777.22890000000007</v>
      </c>
      <c r="N39" s="372" t="s">
        <v>1256</v>
      </c>
      <c r="O39" s="207">
        <v>10</v>
      </c>
      <c r="P39" s="403">
        <v>11</v>
      </c>
      <c r="Q39" s="200"/>
      <c r="R39" s="200"/>
      <c r="S39" s="200"/>
      <c r="T39" s="200"/>
      <c r="U39" s="200"/>
      <c r="V39" s="200"/>
      <c r="W39" s="200"/>
      <c r="X39" s="200"/>
    </row>
    <row r="40" spans="1:47" s="204" customFormat="1" ht="24.6" customHeight="1" x14ac:dyDescent="0.3">
      <c r="A40" s="377"/>
      <c r="B40" s="377"/>
      <c r="C40" s="377"/>
      <c r="D40" s="196"/>
      <c r="E40" s="551"/>
      <c r="F40" s="580"/>
      <c r="G40" s="580"/>
      <c r="H40" s="580"/>
      <c r="I40" s="580"/>
      <c r="J40" s="552"/>
      <c r="K40" s="374"/>
      <c r="L40" s="378"/>
      <c r="M40" s="378"/>
      <c r="N40" s="372"/>
      <c r="O40" s="207"/>
      <c r="P40" s="197"/>
      <c r="Q40" s="200"/>
      <c r="R40" s="200"/>
      <c r="S40" s="200"/>
      <c r="T40" s="200"/>
      <c r="U40" s="200"/>
      <c r="V40" s="200"/>
      <c r="W40" s="200"/>
      <c r="X40" s="200"/>
      <c r="Y40" s="200"/>
    </row>
    <row r="41" spans="1:47" s="11" customFormat="1" ht="25.05" customHeight="1" x14ac:dyDescent="0.3">
      <c r="A41" s="518" t="s">
        <v>4</v>
      </c>
      <c r="B41" s="518"/>
      <c r="C41" s="518"/>
      <c r="D41" s="518"/>
      <c r="E41" s="518"/>
      <c r="F41" s="518"/>
      <c r="G41" s="518"/>
      <c r="H41" s="518"/>
      <c r="I41" s="518"/>
      <c r="J41" s="518"/>
      <c r="K41" s="369">
        <f>SUM(K39:K40)</f>
        <v>835.73</v>
      </c>
      <c r="L41" s="369">
        <f>SUM(L39:L40)</f>
        <v>58.501100000000008</v>
      </c>
      <c r="M41" s="369">
        <f>SUM(M39:M40)</f>
        <v>777.22890000000007</v>
      </c>
      <c r="N41" s="527"/>
      <c r="O41" s="527"/>
      <c r="P41" s="527"/>
      <c r="Q41" s="10"/>
      <c r="R41" s="10"/>
      <c r="S41" s="10"/>
      <c r="T41" s="10"/>
      <c r="U41" s="10"/>
      <c r="V41" s="10"/>
      <c r="W41" s="10"/>
      <c r="X41" s="10"/>
      <c r="Y41" s="10"/>
    </row>
    <row r="42" spans="1:47" s="11" customFormat="1" x14ac:dyDescent="0.3">
      <c r="A42" s="518"/>
      <c r="B42" s="518"/>
      <c r="C42" s="518"/>
      <c r="D42" s="518"/>
      <c r="E42" s="518"/>
      <c r="F42" s="518"/>
      <c r="G42" s="518"/>
      <c r="H42" s="518"/>
      <c r="I42" s="518"/>
      <c r="J42" s="518"/>
      <c r="K42" s="518"/>
      <c r="L42" s="518"/>
      <c r="M42" s="518"/>
      <c r="N42" s="518"/>
      <c r="O42" s="369"/>
      <c r="P42" s="369"/>
      <c r="Q42" s="10"/>
      <c r="R42" s="10"/>
      <c r="S42" s="10"/>
      <c r="T42" s="10"/>
      <c r="U42" s="10"/>
      <c r="V42" s="10"/>
      <c r="W42" s="10"/>
      <c r="X42" s="10"/>
      <c r="Y42" s="10"/>
    </row>
    <row r="43" spans="1:47" s="11" customFormat="1" ht="28.5" customHeight="1" x14ac:dyDescent="0.3">
      <c r="A43" s="521" t="s">
        <v>177</v>
      </c>
      <c r="B43" s="521"/>
      <c r="C43" s="521"/>
      <c r="D43" s="521"/>
      <c r="E43" s="521"/>
      <c r="F43" s="521"/>
      <c r="G43" s="521"/>
      <c r="H43" s="521"/>
      <c r="I43" s="521"/>
      <c r="J43" s="521"/>
      <c r="K43" s="521"/>
      <c r="L43" s="521"/>
      <c r="M43" s="521"/>
      <c r="N43" s="521"/>
      <c r="O43" s="521"/>
      <c r="P43" s="521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47" s="11" customFormat="1" ht="25.5" customHeight="1" x14ac:dyDescent="0.3">
      <c r="A44" s="366" t="s">
        <v>173</v>
      </c>
      <c r="B44" s="366" t="s">
        <v>0</v>
      </c>
      <c r="C44" s="368" t="s">
        <v>821</v>
      </c>
      <c r="D44" s="366" t="s">
        <v>174</v>
      </c>
      <c r="E44" s="521" t="s">
        <v>175</v>
      </c>
      <c r="F44" s="521"/>
      <c r="G44" s="521"/>
      <c r="H44" s="521"/>
      <c r="I44" s="521"/>
      <c r="J44" s="521"/>
      <c r="K44" s="380" t="s">
        <v>4</v>
      </c>
      <c r="L44" s="371"/>
      <c r="M44" s="371"/>
      <c r="N44" s="368" t="s">
        <v>59</v>
      </c>
      <c r="O44" s="130" t="s">
        <v>8</v>
      </c>
      <c r="P44" s="130" t="s">
        <v>10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47" s="11" customFormat="1" ht="18.600000000000001" customHeight="1" x14ac:dyDescent="0.3">
      <c r="A45" s="372" t="s">
        <v>965</v>
      </c>
      <c r="B45" s="377">
        <v>11</v>
      </c>
      <c r="C45" s="372" t="s">
        <v>827</v>
      </c>
      <c r="D45" s="378">
        <v>1191.3800000000001</v>
      </c>
      <c r="E45" s="551" t="s">
        <v>715</v>
      </c>
      <c r="F45" s="580"/>
      <c r="G45" s="580"/>
      <c r="H45" s="580"/>
      <c r="I45" s="580"/>
      <c r="J45" s="552"/>
      <c r="K45" s="378">
        <f>1191.38/4</f>
        <v>297.84500000000003</v>
      </c>
      <c r="L45" s="274"/>
      <c r="M45" s="274"/>
      <c r="N45" s="372" t="s">
        <v>1257</v>
      </c>
      <c r="O45" s="140">
        <v>10</v>
      </c>
      <c r="P45" s="379">
        <v>11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47" s="11" customFormat="1" ht="18.600000000000001" customHeight="1" x14ac:dyDescent="0.3">
      <c r="A46" s="372" t="s">
        <v>965</v>
      </c>
      <c r="B46" s="377">
        <v>11</v>
      </c>
      <c r="C46" s="372" t="s">
        <v>827</v>
      </c>
      <c r="D46" s="378">
        <v>1191.3800000000001</v>
      </c>
      <c r="E46" s="551" t="s">
        <v>715</v>
      </c>
      <c r="F46" s="580"/>
      <c r="G46" s="580"/>
      <c r="H46" s="580"/>
      <c r="I46" s="580"/>
      <c r="J46" s="552"/>
      <c r="K46" s="378">
        <f>1191.38/4</f>
        <v>297.84500000000003</v>
      </c>
      <c r="L46" s="274"/>
      <c r="M46" s="274"/>
      <c r="N46" s="372" t="s">
        <v>1241</v>
      </c>
      <c r="O46" s="140">
        <v>10</v>
      </c>
      <c r="P46" s="379">
        <v>11</v>
      </c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47" s="11" customFormat="1" ht="16.8" customHeight="1" x14ac:dyDescent="0.3">
      <c r="A47" s="372" t="s">
        <v>965</v>
      </c>
      <c r="B47" s="377">
        <v>11</v>
      </c>
      <c r="C47" s="372" t="s">
        <v>827</v>
      </c>
      <c r="D47" s="378">
        <v>1191.3800000000001</v>
      </c>
      <c r="E47" s="551" t="s">
        <v>715</v>
      </c>
      <c r="F47" s="580"/>
      <c r="G47" s="580"/>
      <c r="H47" s="580"/>
      <c r="I47" s="580"/>
      <c r="J47" s="552"/>
      <c r="K47" s="378">
        <f>1191.38/4</f>
        <v>297.84500000000003</v>
      </c>
      <c r="L47" s="274"/>
      <c r="M47" s="274"/>
      <c r="N47" s="372" t="s">
        <v>1220</v>
      </c>
      <c r="O47" s="140">
        <v>10</v>
      </c>
      <c r="P47" s="379">
        <v>11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47" s="148" customFormat="1" ht="18" customHeight="1" x14ac:dyDescent="0.3">
      <c r="A48" s="377" t="s">
        <v>1136</v>
      </c>
      <c r="B48" s="377">
        <v>7</v>
      </c>
      <c r="C48" s="377" t="s">
        <v>829</v>
      </c>
      <c r="D48" s="196">
        <f>690+61.7+1.37</f>
        <v>753.07</v>
      </c>
      <c r="E48" s="542" t="s">
        <v>1221</v>
      </c>
      <c r="F48" s="542"/>
      <c r="G48" s="542"/>
      <c r="H48" s="542"/>
      <c r="I48" s="542"/>
      <c r="J48" s="542"/>
      <c r="K48" s="196">
        <f>690+61.7+1.37</f>
        <v>753.07</v>
      </c>
      <c r="L48" s="196"/>
      <c r="M48" s="196"/>
      <c r="N48" s="196" t="s">
        <v>1258</v>
      </c>
      <c r="O48" s="384">
        <v>10</v>
      </c>
      <c r="P48" s="377">
        <v>11</v>
      </c>
      <c r="Q48" s="208"/>
      <c r="R48" s="208"/>
      <c r="S48" s="208"/>
      <c r="T48" s="208"/>
      <c r="U48" s="208"/>
      <c r="V48" s="208"/>
      <c r="W48" s="208"/>
      <c r="X48" s="208"/>
      <c r="Y48" s="208"/>
      <c r="Z48" s="208"/>
      <c r="AA48" s="208"/>
      <c r="AB48" s="208"/>
      <c r="AC48" s="208"/>
      <c r="AD48" s="208"/>
      <c r="AE48" s="208"/>
      <c r="AF48" s="208"/>
      <c r="AG48" s="208"/>
      <c r="AH48" s="208"/>
      <c r="AI48" s="208"/>
      <c r="AJ48" s="208"/>
      <c r="AK48" s="208"/>
      <c r="AL48" s="208"/>
      <c r="AM48" s="208"/>
      <c r="AN48" s="208"/>
      <c r="AO48" s="208"/>
      <c r="AP48" s="208"/>
      <c r="AQ48" s="208"/>
      <c r="AR48" s="208"/>
      <c r="AS48" s="208"/>
      <c r="AT48" s="208"/>
      <c r="AU48" s="208"/>
    </row>
    <row r="49" spans="1:60" ht="15.6" customHeight="1" x14ac:dyDescent="0.3">
      <c r="A49" s="372" t="s">
        <v>1005</v>
      </c>
      <c r="B49" s="377">
        <v>3</v>
      </c>
      <c r="C49" s="372" t="s">
        <v>822</v>
      </c>
      <c r="D49" s="196">
        <f>636.76+61.7+1.37</f>
        <v>699.83</v>
      </c>
      <c r="E49" s="542" t="s">
        <v>1259</v>
      </c>
      <c r="F49" s="542"/>
      <c r="G49" s="542"/>
      <c r="H49" s="542"/>
      <c r="I49" s="542"/>
      <c r="J49" s="542"/>
      <c r="K49" s="196">
        <f>636.76+61.7+1.37</f>
        <v>699.83</v>
      </c>
      <c r="L49" s="196"/>
      <c r="M49" s="196"/>
      <c r="N49" s="196" t="s">
        <v>1242</v>
      </c>
      <c r="O49" s="384">
        <v>10</v>
      </c>
      <c r="P49" s="377">
        <v>11</v>
      </c>
      <c r="Q49" s="208"/>
      <c r="R49" s="208"/>
      <c r="S49" s="208"/>
      <c r="T49" s="208"/>
      <c r="U49" s="208"/>
      <c r="V49" s="208"/>
      <c r="W49" s="208"/>
      <c r="X49" s="208"/>
      <c r="Y49" s="208"/>
      <c r="Z49" s="208"/>
      <c r="AA49" s="208"/>
      <c r="AB49" s="208"/>
      <c r="AC49" s="208"/>
      <c r="AD49" s="208"/>
      <c r="AE49" s="208"/>
      <c r="AF49" s="208"/>
      <c r="AG49" s="208"/>
      <c r="AH49" s="208"/>
      <c r="AI49" s="208"/>
      <c r="AJ49" s="208"/>
      <c r="AK49" s="208"/>
      <c r="AL49" s="208"/>
      <c r="AM49" s="208"/>
      <c r="AN49" s="208"/>
      <c r="AO49" s="208"/>
      <c r="AP49" s="208"/>
      <c r="AQ49" s="208"/>
      <c r="AR49" s="208"/>
      <c r="AS49" s="208"/>
      <c r="AT49" s="208"/>
      <c r="AU49" s="208"/>
      <c r="AV49" s="148"/>
      <c r="AW49" s="148"/>
    </row>
    <row r="50" spans="1:60" ht="15.6" customHeight="1" x14ac:dyDescent="0.3">
      <c r="A50" s="372" t="s">
        <v>1005</v>
      </c>
      <c r="B50" s="377">
        <v>3</v>
      </c>
      <c r="C50" s="372" t="s">
        <v>822</v>
      </c>
      <c r="D50" s="196">
        <f>636.76+61.7+1.37</f>
        <v>699.83</v>
      </c>
      <c r="E50" s="542" t="s">
        <v>1260</v>
      </c>
      <c r="F50" s="542"/>
      <c r="G50" s="542"/>
      <c r="H50" s="542"/>
      <c r="I50" s="542"/>
      <c r="J50" s="542"/>
      <c r="K50" s="196">
        <f>636.76+61.7+1.37</f>
        <v>699.83</v>
      </c>
      <c r="L50" s="196"/>
      <c r="M50" s="196"/>
      <c r="N50" s="196" t="s">
        <v>1258</v>
      </c>
      <c r="O50" s="384">
        <v>10</v>
      </c>
      <c r="P50" s="377">
        <v>11</v>
      </c>
      <c r="Q50" s="208"/>
      <c r="R50" s="208"/>
      <c r="S50" s="208"/>
      <c r="T50" s="208"/>
      <c r="U50" s="208"/>
      <c r="V50" s="208"/>
      <c r="W50" s="208"/>
      <c r="X50" s="208"/>
      <c r="Y50" s="208"/>
      <c r="Z50" s="208"/>
      <c r="AA50" s="208"/>
      <c r="AB50" s="208"/>
      <c r="AC50" s="208"/>
      <c r="AD50" s="208"/>
      <c r="AE50" s="208"/>
      <c r="AF50" s="208"/>
      <c r="AG50" s="208"/>
      <c r="AH50" s="208"/>
      <c r="AI50" s="208"/>
      <c r="AJ50" s="208"/>
      <c r="AK50" s="208"/>
      <c r="AL50" s="208"/>
      <c r="AM50" s="208"/>
      <c r="AN50" s="208"/>
      <c r="AO50" s="208"/>
      <c r="AP50" s="208"/>
      <c r="AQ50" s="208"/>
      <c r="AR50" s="208"/>
      <c r="AS50" s="208"/>
      <c r="AT50" s="208"/>
      <c r="AU50" s="208"/>
      <c r="AV50" s="148"/>
      <c r="AW50" s="148"/>
    </row>
    <row r="51" spans="1:60" s="69" customFormat="1" ht="19.8" customHeight="1" x14ac:dyDescent="0.3">
      <c r="A51" s="379" t="s">
        <v>132</v>
      </c>
      <c r="B51" s="379">
        <v>1</v>
      </c>
      <c r="C51" s="379"/>
      <c r="D51" s="5">
        <f>4977.59-1520</f>
        <v>3457.59</v>
      </c>
      <c r="E51" s="595" t="s">
        <v>284</v>
      </c>
      <c r="F51" s="595"/>
      <c r="G51" s="595"/>
      <c r="H51" s="595"/>
      <c r="I51" s="595"/>
      <c r="J51" s="595"/>
      <c r="K51" s="5">
        <f>4977.59-1520</f>
        <v>3457.59</v>
      </c>
      <c r="L51" s="5"/>
      <c r="M51" s="5"/>
      <c r="N51" s="5" t="s">
        <v>510</v>
      </c>
      <c r="O51" s="140">
        <v>10</v>
      </c>
      <c r="P51" s="379">
        <v>11</v>
      </c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</row>
    <row r="52" spans="1:60" s="11" customFormat="1" x14ac:dyDescent="0.3">
      <c r="A52" s="370" t="s">
        <v>87</v>
      </c>
      <c r="B52" s="370">
        <v>25</v>
      </c>
      <c r="C52" s="370"/>
      <c r="D52" s="5">
        <v>3013.33</v>
      </c>
      <c r="E52" s="595" t="s">
        <v>543</v>
      </c>
      <c r="F52" s="595"/>
      <c r="G52" s="595"/>
      <c r="H52" s="595"/>
      <c r="I52" s="595"/>
      <c r="J52" s="595"/>
      <c r="K52" s="275">
        <v>3040.58</v>
      </c>
      <c r="L52" s="383"/>
      <c r="M52" s="383"/>
      <c r="N52" s="5" t="s">
        <v>545</v>
      </c>
      <c r="O52" s="98">
        <v>10</v>
      </c>
      <c r="P52" s="3">
        <v>11</v>
      </c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 spans="1:60" s="11" customFormat="1" x14ac:dyDescent="0.3">
      <c r="A53" s="3" t="s">
        <v>894</v>
      </c>
      <c r="B53" s="370">
        <v>16</v>
      </c>
      <c r="C53" s="370" t="s">
        <v>823</v>
      </c>
      <c r="D53" s="5">
        <f>144.52+11.29+12.89+0.3+0.18+1664</f>
        <v>1833.18</v>
      </c>
      <c r="E53" s="595" t="s">
        <v>1158</v>
      </c>
      <c r="F53" s="595"/>
      <c r="G53" s="595"/>
      <c r="H53" s="595"/>
      <c r="I53" s="595"/>
      <c r="J53" s="595"/>
      <c r="K53" s="275">
        <f>144.52+11.29+12.89+0.3+0.18+1664</f>
        <v>1833.18</v>
      </c>
      <c r="L53" s="383"/>
      <c r="M53" s="383"/>
      <c r="N53" s="375" t="s">
        <v>969</v>
      </c>
      <c r="O53" s="98">
        <v>10</v>
      </c>
      <c r="P53" s="3">
        <v>11</v>
      </c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spans="1:60" s="206" customFormat="1" ht="19.2" customHeight="1" x14ac:dyDescent="0.3">
      <c r="A54" s="237" t="s">
        <v>902</v>
      </c>
      <c r="B54" s="195">
        <v>17</v>
      </c>
      <c r="C54" s="195" t="s">
        <v>823</v>
      </c>
      <c r="D54" s="196">
        <v>2080.41</v>
      </c>
      <c r="E54" s="551" t="s">
        <v>1011</v>
      </c>
      <c r="F54" s="580"/>
      <c r="G54" s="580"/>
      <c r="H54" s="580"/>
      <c r="I54" s="580"/>
      <c r="J54" s="552"/>
      <c r="K54" s="196">
        <v>300</v>
      </c>
      <c r="L54" s="378"/>
      <c r="M54" s="378"/>
      <c r="N54" s="372" t="s">
        <v>1039</v>
      </c>
      <c r="O54" s="235">
        <v>10</v>
      </c>
      <c r="P54" s="197">
        <v>11</v>
      </c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  <c r="AJ54" s="205"/>
      <c r="AK54" s="205"/>
      <c r="AL54" s="205"/>
      <c r="AM54" s="205"/>
      <c r="AN54" s="205"/>
      <c r="AO54" s="205"/>
      <c r="AP54" s="205"/>
    </row>
    <row r="55" spans="1:60" s="206" customFormat="1" ht="19.2" customHeight="1" x14ac:dyDescent="0.3">
      <c r="A55" s="237" t="s">
        <v>902</v>
      </c>
      <c r="B55" s="195">
        <v>17</v>
      </c>
      <c r="C55" s="195" t="s">
        <v>823</v>
      </c>
      <c r="D55" s="196">
        <v>2080.41</v>
      </c>
      <c r="E55" s="551" t="s">
        <v>1011</v>
      </c>
      <c r="F55" s="580"/>
      <c r="G55" s="580"/>
      <c r="H55" s="580"/>
      <c r="I55" s="580"/>
      <c r="J55" s="552"/>
      <c r="K55" s="196">
        <v>300</v>
      </c>
      <c r="L55" s="378"/>
      <c r="M55" s="378"/>
      <c r="N55" s="372" t="s">
        <v>1049</v>
      </c>
      <c r="O55" s="235">
        <v>10</v>
      </c>
      <c r="P55" s="197">
        <v>11</v>
      </c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205"/>
      <c r="AG55" s="205"/>
      <c r="AH55" s="205"/>
      <c r="AI55" s="205"/>
      <c r="AJ55" s="205"/>
      <c r="AK55" s="205"/>
      <c r="AL55" s="205"/>
      <c r="AM55" s="205"/>
      <c r="AN55" s="205"/>
      <c r="AO55" s="205"/>
      <c r="AP55" s="205"/>
    </row>
    <row r="56" spans="1:60" s="40" customFormat="1" ht="15" customHeight="1" thickBot="1" x14ac:dyDescent="0.35">
      <c r="A56" s="534" t="s">
        <v>4</v>
      </c>
      <c r="B56" s="549"/>
      <c r="C56" s="549"/>
      <c r="D56" s="549"/>
      <c r="E56" s="549"/>
      <c r="F56" s="549"/>
      <c r="G56" s="549"/>
      <c r="H56" s="549"/>
      <c r="I56" s="549"/>
      <c r="J56" s="535"/>
      <c r="K56" s="373">
        <f>SUM(K45:K55)</f>
        <v>11977.615</v>
      </c>
      <c r="L56" s="370"/>
      <c r="M56" s="370"/>
      <c r="N56" s="370"/>
      <c r="O56" s="370"/>
      <c r="P56" s="37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1"/>
      <c r="AU56" s="11"/>
      <c r="AV56" s="11"/>
      <c r="AW56" s="11"/>
    </row>
    <row r="57" spans="1:60" s="19" customFormat="1" x14ac:dyDescent="0.3">
      <c r="A57" s="179"/>
      <c r="B57" s="180"/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1"/>
      <c r="P57" s="182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</row>
    <row r="58" spans="1:60" s="40" customFormat="1" x14ac:dyDescent="0.3">
      <c r="A58" s="585"/>
      <c r="B58" s="585"/>
      <c r="C58" s="585"/>
      <c r="D58" s="585"/>
      <c r="E58" s="585"/>
      <c r="F58" s="46"/>
      <c r="G58" s="46"/>
      <c r="H58" s="295"/>
      <c r="I58" s="46"/>
      <c r="J58" s="46"/>
      <c r="K58" s="46"/>
      <c r="L58" s="46"/>
      <c r="M58" s="46"/>
      <c r="N58" s="544" t="s">
        <v>315</v>
      </c>
      <c r="O58" s="544"/>
      <c r="P58" s="545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1"/>
      <c r="AU58" s="11"/>
      <c r="AV58" s="11"/>
      <c r="AW58" s="11"/>
    </row>
    <row r="59" spans="1:60" s="40" customFormat="1" x14ac:dyDescent="0.3">
      <c r="A59" s="206"/>
      <c r="B59" s="223"/>
      <c r="C59" s="223"/>
      <c r="D59" s="224"/>
      <c r="E59" s="223"/>
      <c r="F59" s="46"/>
      <c r="G59" s="46"/>
      <c r="H59" s="295"/>
      <c r="I59" s="11"/>
      <c r="J59" s="11"/>
      <c r="K59" s="87"/>
      <c r="L59" s="87"/>
      <c r="M59" s="87"/>
      <c r="N59" s="527" t="s">
        <v>94</v>
      </c>
      <c r="O59" s="527"/>
      <c r="P59" s="373">
        <f>L36+L41</f>
        <v>1350.6460724309536</v>
      </c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1"/>
      <c r="AU59" s="11"/>
      <c r="AV59" s="11"/>
      <c r="AW59" s="11"/>
    </row>
    <row r="60" spans="1:60" s="40" customFormat="1" x14ac:dyDescent="0.3">
      <c r="A60" s="206"/>
      <c r="B60" s="223"/>
      <c r="C60" s="223"/>
      <c r="D60" s="224"/>
      <c r="E60" s="223"/>
      <c r="F60" s="46"/>
      <c r="G60" s="46"/>
      <c r="H60" s="295"/>
      <c r="I60" s="11"/>
      <c r="J60" s="11"/>
      <c r="K60" s="14"/>
      <c r="L60" s="14"/>
      <c r="M60" s="14"/>
      <c r="N60" s="518" t="s">
        <v>260</v>
      </c>
      <c r="O60" s="518"/>
      <c r="P60" s="373">
        <f>L6</f>
        <v>0</v>
      </c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1"/>
      <c r="AU60" s="11"/>
      <c r="AV60" s="11"/>
      <c r="AW60" s="11"/>
    </row>
    <row r="61" spans="1:60" s="40" customFormat="1" x14ac:dyDescent="0.3">
      <c r="A61" s="206"/>
      <c r="B61" s="223"/>
      <c r="C61" s="223"/>
      <c r="D61" s="224"/>
      <c r="E61" s="223"/>
      <c r="F61" s="46"/>
      <c r="G61" s="46"/>
      <c r="H61" s="295"/>
      <c r="I61" s="11"/>
      <c r="J61" s="11"/>
      <c r="K61" s="14"/>
      <c r="L61" s="14"/>
      <c r="M61" s="14"/>
      <c r="N61" s="520"/>
      <c r="O61" s="520"/>
      <c r="P61" s="52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1"/>
      <c r="AU61" s="11"/>
      <c r="AV61" s="11"/>
      <c r="AW61" s="11"/>
    </row>
    <row r="62" spans="1:60" s="40" customFormat="1" x14ac:dyDescent="0.3">
      <c r="A62" s="206"/>
      <c r="B62" s="223"/>
      <c r="C62" s="223"/>
      <c r="D62" s="224"/>
      <c r="E62" s="223"/>
      <c r="F62" s="46"/>
      <c r="G62" s="46"/>
      <c r="H62" s="295"/>
      <c r="I62" s="11"/>
      <c r="J62" s="11"/>
      <c r="K62" s="62"/>
      <c r="L62" s="62"/>
      <c r="M62" s="62"/>
      <c r="N62" s="520"/>
      <c r="O62" s="520"/>
      <c r="P62" s="52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1"/>
      <c r="AU62" s="11"/>
      <c r="AV62" s="11"/>
      <c r="AW62" s="11"/>
    </row>
    <row r="63" spans="1:60" s="40" customFormat="1" ht="14.4" x14ac:dyDescent="0.3">
      <c r="A63" s="206"/>
      <c r="B63" s="223"/>
      <c r="C63" s="223"/>
      <c r="D63" s="224"/>
      <c r="E63" s="223"/>
      <c r="F63" s="46"/>
      <c r="G63" s="46"/>
      <c r="H63" s="295"/>
      <c r="I63" s="11"/>
      <c r="J63" s="11"/>
      <c r="K63" s="14"/>
      <c r="L63" s="14"/>
      <c r="M63" s="14"/>
      <c r="N63" s="529" t="s">
        <v>12</v>
      </c>
      <c r="O63" s="529"/>
      <c r="P63" s="529"/>
      <c r="Q63" s="175"/>
      <c r="R63" s="178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1"/>
      <c r="AU63" s="11"/>
      <c r="AV63" s="11"/>
      <c r="AW63" s="11"/>
    </row>
    <row r="64" spans="1:60" s="11" customFormat="1" ht="15" customHeight="1" x14ac:dyDescent="0.3">
      <c r="A64" s="206"/>
      <c r="B64" s="223"/>
      <c r="C64" s="223"/>
      <c r="D64" s="224"/>
      <c r="E64" s="223"/>
      <c r="F64" s="46"/>
      <c r="G64" s="46"/>
      <c r="H64" s="295"/>
      <c r="K64" s="63"/>
      <c r="L64" s="63"/>
      <c r="M64" s="63"/>
      <c r="N64" s="592" t="s">
        <v>126</v>
      </c>
      <c r="O64" s="592"/>
      <c r="P64" s="240">
        <v>106.65</v>
      </c>
      <c r="Q64" s="190"/>
      <c r="R64" s="178"/>
    </row>
    <row r="65" spans="1:48" s="11" customFormat="1" ht="15.6" x14ac:dyDescent="0.3">
      <c r="A65" s="206"/>
      <c r="B65" s="223"/>
      <c r="C65" s="223"/>
      <c r="D65" s="224"/>
      <c r="E65" s="223"/>
      <c r="F65" s="46"/>
      <c r="G65" s="46"/>
      <c r="H65" s="295"/>
      <c r="K65" s="14"/>
      <c r="L65" s="14"/>
      <c r="M65" s="14"/>
      <c r="N65" s="592" t="s">
        <v>126</v>
      </c>
      <c r="O65" s="592"/>
      <c r="P65" s="240">
        <v>116.18</v>
      </c>
      <c r="Q65" s="175"/>
      <c r="R65" s="178"/>
    </row>
    <row r="66" spans="1:48" s="11" customFormat="1" ht="15" customHeight="1" x14ac:dyDescent="0.3">
      <c r="A66" s="206"/>
      <c r="B66" s="223"/>
      <c r="C66" s="223"/>
      <c r="D66" s="224"/>
      <c r="E66" s="223"/>
      <c r="F66" s="46"/>
      <c r="G66" s="46"/>
      <c r="H66" s="295"/>
      <c r="K66" s="63"/>
      <c r="L66" s="63"/>
      <c r="M66" s="63"/>
      <c r="N66" s="593" t="s">
        <v>127</v>
      </c>
      <c r="O66" s="593"/>
      <c r="P66" s="240">
        <v>1665.9</v>
      </c>
      <c r="Q66" s="190"/>
      <c r="R66" s="178"/>
    </row>
    <row r="67" spans="1:48" s="11" customFormat="1" ht="15.6" x14ac:dyDescent="0.3">
      <c r="A67" s="206"/>
      <c r="B67" s="223"/>
      <c r="C67" s="223"/>
      <c r="D67" s="224"/>
      <c r="E67" s="223"/>
      <c r="F67" s="46"/>
      <c r="G67" s="46"/>
      <c r="H67" s="295"/>
      <c r="K67" s="14"/>
      <c r="L67" s="14"/>
      <c r="M67" s="14"/>
      <c r="N67" s="594" t="s">
        <v>1183</v>
      </c>
      <c r="O67" s="594"/>
      <c r="P67" s="239">
        <v>132.51</v>
      </c>
      <c r="Q67" s="222"/>
      <c r="R67" s="178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</row>
    <row r="68" spans="1:48" s="11" customFormat="1" ht="15.6" x14ac:dyDescent="0.3">
      <c r="A68" s="206"/>
      <c r="B68" s="223"/>
      <c r="C68" s="223"/>
      <c r="D68" s="224"/>
      <c r="E68" s="223"/>
      <c r="F68" s="46"/>
      <c r="G68" s="46"/>
      <c r="H68" s="295"/>
      <c r="K68" s="63"/>
      <c r="L68" s="63"/>
      <c r="M68" s="63"/>
      <c r="N68" s="594"/>
      <c r="O68" s="594"/>
      <c r="P68" s="251"/>
      <c r="Q68" s="175"/>
      <c r="R68" s="178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</row>
    <row r="69" spans="1:48" s="11" customFormat="1" ht="18.600000000000001" customHeight="1" x14ac:dyDescent="0.3">
      <c r="A69" s="206"/>
      <c r="B69" s="223"/>
      <c r="C69" s="223"/>
      <c r="D69" s="224"/>
      <c r="E69" s="223"/>
      <c r="F69" s="46"/>
      <c r="G69" s="46"/>
      <c r="H69" s="295"/>
      <c r="K69" s="63"/>
      <c r="L69" s="63"/>
      <c r="M69" s="63"/>
      <c r="N69" s="594"/>
      <c r="O69" s="594"/>
      <c r="P69" s="42"/>
      <c r="Q69" s="175"/>
      <c r="R69" s="178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</row>
    <row r="70" spans="1:48" s="11" customFormat="1" ht="15.6" x14ac:dyDescent="0.3">
      <c r="A70" s="206"/>
      <c r="B70" s="223"/>
      <c r="C70" s="223"/>
      <c r="D70" s="224"/>
      <c r="E70" s="223"/>
      <c r="F70" s="46"/>
      <c r="G70" s="46"/>
      <c r="H70" s="295"/>
      <c r="N70" s="586" t="s">
        <v>26</v>
      </c>
      <c r="O70" s="586"/>
      <c r="P70" s="241">
        <f>SUM(P59:P69)</f>
        <v>3371.8860724309543</v>
      </c>
      <c r="Q70" s="175"/>
      <c r="R70" s="178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</row>
    <row r="71" spans="1:48" s="11" customFormat="1" ht="15.6" x14ac:dyDescent="0.3">
      <c r="A71" s="206"/>
      <c r="B71" s="223"/>
      <c r="C71" s="223"/>
      <c r="D71" s="224"/>
      <c r="E71" s="223"/>
      <c r="F71" s="46"/>
      <c r="G71" s="46"/>
      <c r="H71" s="295"/>
      <c r="K71" s="63"/>
      <c r="L71" s="63"/>
      <c r="M71" s="63"/>
      <c r="N71" s="587"/>
      <c r="O71" s="587"/>
      <c r="P71" s="242"/>
      <c r="Q71" s="175"/>
      <c r="R71" s="178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</row>
    <row r="72" spans="1:48" s="11" customFormat="1" ht="14.4" x14ac:dyDescent="0.3">
      <c r="A72" s="206"/>
      <c r="B72" s="223"/>
      <c r="C72" s="223"/>
      <c r="D72" s="224"/>
      <c r="E72" s="223"/>
      <c r="F72" s="46"/>
      <c r="G72" s="46"/>
      <c r="H72" s="295"/>
      <c r="K72" s="14"/>
      <c r="L72" s="14"/>
      <c r="M72" s="14"/>
      <c r="N72" s="564" t="s">
        <v>11</v>
      </c>
      <c r="O72" s="565"/>
      <c r="P72" s="153">
        <f>K6+K36+K41</f>
        <v>19294.94389187076</v>
      </c>
      <c r="Q72" s="175"/>
      <c r="R72" s="185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</row>
    <row r="73" spans="1:48" s="11" customFormat="1" ht="14.4" x14ac:dyDescent="0.3">
      <c r="A73" s="206"/>
      <c r="B73" s="223"/>
      <c r="C73" s="223"/>
      <c r="D73" s="224"/>
      <c r="E73" s="223"/>
      <c r="F73" s="46"/>
      <c r="G73" s="46"/>
      <c r="H73" s="295"/>
      <c r="N73" s="518"/>
      <c r="O73" s="518"/>
      <c r="P73" s="519"/>
      <c r="Q73" s="175"/>
      <c r="R73" s="176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</row>
    <row r="74" spans="1:48" s="11" customFormat="1" ht="14.4" x14ac:dyDescent="0.3">
      <c r="A74" s="206"/>
      <c r="B74" s="223"/>
      <c r="C74" s="223"/>
      <c r="D74" s="224"/>
      <c r="E74" s="223"/>
      <c r="F74" s="46"/>
      <c r="G74" s="46"/>
      <c r="H74" s="295"/>
      <c r="N74" s="513" t="s">
        <v>13</v>
      </c>
      <c r="O74" s="513"/>
      <c r="P74" s="151">
        <f>P72-P70</f>
        <v>15923.057819439806</v>
      </c>
      <c r="Q74" s="175"/>
      <c r="R74" s="176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</row>
    <row r="75" spans="1:48" s="11" customFormat="1" ht="14.4" x14ac:dyDescent="0.3">
      <c r="A75" s="206"/>
      <c r="B75" s="223"/>
      <c r="C75" s="223"/>
      <c r="D75" s="224"/>
      <c r="E75" s="223"/>
      <c r="F75" s="46"/>
      <c r="G75" s="46"/>
      <c r="H75" s="295"/>
      <c r="N75" s="124"/>
      <c r="O75" s="124"/>
      <c r="P75" s="57"/>
      <c r="Q75" s="175"/>
      <c r="R75" s="178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</row>
    <row r="76" spans="1:48" s="11" customFormat="1" ht="14.4" x14ac:dyDescent="0.3">
      <c r="A76" s="206"/>
      <c r="B76" s="223"/>
      <c r="C76" s="223"/>
      <c r="D76" s="224"/>
      <c r="E76" s="223"/>
      <c r="F76" s="46"/>
      <c r="G76" s="46"/>
      <c r="H76" s="295"/>
      <c r="K76" s="14"/>
      <c r="L76" s="14"/>
      <c r="M76" s="14"/>
      <c r="N76" s="124"/>
      <c r="O76" s="124"/>
      <c r="P76" s="57"/>
      <c r="Q76" s="175"/>
      <c r="R76" s="178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</row>
    <row r="77" spans="1:48" s="11" customFormat="1" ht="14.4" x14ac:dyDescent="0.3">
      <c r="A77" s="206"/>
      <c r="B77" s="223"/>
      <c r="C77" s="223"/>
      <c r="D77" s="224"/>
      <c r="E77" s="223"/>
      <c r="F77" s="46"/>
      <c r="G77" s="46"/>
      <c r="H77" s="295"/>
      <c r="K77" s="376"/>
      <c r="L77" s="376"/>
      <c r="M77" s="376"/>
      <c r="N77" s="124"/>
      <c r="O77" s="124"/>
      <c r="P77" s="57"/>
      <c r="Q77" s="175"/>
      <c r="R77" s="178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</row>
    <row r="78" spans="1:48" s="11" customFormat="1" ht="14.4" x14ac:dyDescent="0.3">
      <c r="A78" s="206"/>
      <c r="B78" s="223"/>
      <c r="C78" s="223"/>
      <c r="D78" s="224"/>
      <c r="E78" s="223"/>
      <c r="F78" s="46"/>
      <c r="G78" s="46"/>
      <c r="H78" s="295"/>
      <c r="K78" s="14"/>
      <c r="L78" s="14"/>
      <c r="M78" s="14"/>
      <c r="Q78" s="175"/>
      <c r="R78" s="178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</row>
    <row r="79" spans="1:48" s="11" customFormat="1" ht="14.4" x14ac:dyDescent="0.3">
      <c r="A79" s="206"/>
      <c r="B79" s="223"/>
      <c r="C79" s="223"/>
      <c r="D79" s="224"/>
      <c r="E79" s="223"/>
      <c r="F79" s="46"/>
      <c r="G79" s="46"/>
      <c r="H79" s="295"/>
      <c r="K79" s="14"/>
      <c r="L79" s="14"/>
      <c r="M79" s="14"/>
      <c r="N79" s="376"/>
      <c r="O79" s="14"/>
      <c r="P79" s="57"/>
      <c r="Q79" s="175"/>
      <c r="R79" s="178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</row>
    <row r="80" spans="1:48" s="11" customFormat="1" ht="14.4" x14ac:dyDescent="0.3">
      <c r="A80" s="206"/>
      <c r="B80" s="223"/>
      <c r="C80" s="223"/>
      <c r="D80" s="224"/>
      <c r="E80" s="223"/>
      <c r="F80" s="46"/>
      <c r="G80" s="46"/>
      <c r="H80" s="295"/>
      <c r="K80" s="14"/>
      <c r="L80" s="14"/>
      <c r="M80" s="14"/>
      <c r="O80" s="376"/>
      <c r="P80" s="57"/>
      <c r="Q80" s="175"/>
      <c r="R80" s="178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</row>
    <row r="81" spans="1:48" s="11" customFormat="1" x14ac:dyDescent="0.3">
      <c r="A81" s="206"/>
      <c r="B81" s="223"/>
      <c r="C81" s="223"/>
      <c r="D81" s="224"/>
      <c r="E81" s="223"/>
      <c r="F81" s="46"/>
      <c r="G81" s="46"/>
      <c r="H81" s="295"/>
      <c r="K81" s="14"/>
      <c r="L81" s="14"/>
      <c r="M81" s="14"/>
      <c r="P81" s="57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</row>
    <row r="82" spans="1:48" s="69" customFormat="1" x14ac:dyDescent="0.3">
      <c r="A82" s="206"/>
      <c r="B82" s="223"/>
      <c r="C82" s="223"/>
      <c r="D82" s="224"/>
      <c r="E82" s="223"/>
      <c r="F82" s="46"/>
      <c r="G82" s="46"/>
      <c r="H82" s="295"/>
      <c r="I82" s="11"/>
      <c r="J82" s="11"/>
      <c r="K82" s="14"/>
      <c r="L82" s="14"/>
      <c r="M82" s="14"/>
      <c r="N82" s="14"/>
      <c r="O82" s="14"/>
      <c r="P82" s="57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</row>
    <row r="83" spans="1:48" s="69" customFormat="1" x14ac:dyDescent="0.3">
      <c r="A83" s="206"/>
      <c r="B83" s="223"/>
      <c r="C83" s="223"/>
      <c r="D83" s="224"/>
      <c r="E83" s="223"/>
      <c r="F83" s="46"/>
      <c r="G83" s="46"/>
      <c r="H83" s="295"/>
      <c r="I83" s="11"/>
      <c r="J83" s="11"/>
      <c r="K83" s="14"/>
      <c r="L83" s="14"/>
      <c r="M83" s="14"/>
      <c r="N83" s="14"/>
      <c r="O83" s="376"/>
      <c r="P83" s="57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</row>
    <row r="84" spans="1:48" s="69" customFormat="1" x14ac:dyDescent="0.3">
      <c r="A84" s="206"/>
      <c r="B84" s="223"/>
      <c r="C84" s="223"/>
      <c r="D84" s="224"/>
      <c r="E84" s="223"/>
      <c r="F84" s="46"/>
      <c r="G84" s="46"/>
      <c r="H84" s="295"/>
      <c r="I84" s="11"/>
      <c r="J84" s="11"/>
      <c r="K84" s="14"/>
      <c r="L84" s="14"/>
      <c r="M84" s="14"/>
      <c r="N84" s="14"/>
      <c r="O84" s="11"/>
      <c r="P84" s="57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</row>
    <row r="85" spans="1:48" s="69" customFormat="1" x14ac:dyDescent="0.3">
      <c r="A85" s="206"/>
      <c r="B85" s="223"/>
      <c r="C85" s="223"/>
      <c r="D85" s="224"/>
      <c r="E85" s="223"/>
      <c r="F85" s="46"/>
      <c r="G85" s="46"/>
      <c r="H85" s="295"/>
      <c r="I85" s="11"/>
      <c r="J85" s="11"/>
      <c r="K85" s="14"/>
      <c r="L85" s="14"/>
      <c r="M85" s="14"/>
      <c r="N85" s="14"/>
      <c r="O85" s="11"/>
      <c r="P85" s="57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</row>
    <row r="86" spans="1:48" s="69" customFormat="1" x14ac:dyDescent="0.3">
      <c r="A86" s="206"/>
      <c r="B86" s="223"/>
      <c r="C86" s="223"/>
      <c r="D86" s="224"/>
      <c r="E86" s="223"/>
      <c r="F86" s="46"/>
      <c r="G86" s="46"/>
      <c r="H86" s="295"/>
      <c r="I86" s="11"/>
      <c r="J86" s="11"/>
      <c r="K86" s="14"/>
      <c r="L86" s="14"/>
      <c r="M86" s="14"/>
      <c r="N86" s="11"/>
      <c r="O86" s="11"/>
      <c r="P86" s="57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</row>
    <row r="87" spans="1:48" s="69" customFormat="1" x14ac:dyDescent="0.3">
      <c r="A87" s="206"/>
      <c r="B87" s="223"/>
      <c r="C87" s="223"/>
      <c r="D87" s="224"/>
      <c r="E87" s="223"/>
      <c r="F87" s="46"/>
      <c r="G87" s="46"/>
      <c r="H87" s="295"/>
      <c r="I87" s="11"/>
      <c r="J87" s="11"/>
      <c r="K87" s="14"/>
      <c r="L87" s="14"/>
      <c r="M87" s="14"/>
      <c r="N87" s="11"/>
      <c r="O87" s="14"/>
      <c r="P87" s="57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</row>
    <row r="88" spans="1:48" s="69" customFormat="1" x14ac:dyDescent="0.3">
      <c r="A88" s="206"/>
      <c r="B88" s="223"/>
      <c r="C88" s="223"/>
      <c r="D88" s="224"/>
      <c r="E88" s="223"/>
      <c r="F88" s="46"/>
      <c r="G88" s="46"/>
      <c r="H88" s="295"/>
      <c r="I88" s="11"/>
      <c r="J88" s="11"/>
      <c r="K88" s="14"/>
      <c r="L88" s="14"/>
      <c r="M88" s="14"/>
      <c r="N88" s="11"/>
      <c r="O88" s="14"/>
      <c r="P88" s="57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</row>
    <row r="89" spans="1:48" s="69" customFormat="1" x14ac:dyDescent="0.3">
      <c r="A89" s="206"/>
      <c r="B89" s="223"/>
      <c r="C89" s="223"/>
      <c r="D89" s="224"/>
      <c r="E89" s="223"/>
      <c r="F89" s="46"/>
      <c r="G89" s="46"/>
      <c r="H89" s="295"/>
      <c r="I89" s="11"/>
      <c r="J89" s="11"/>
      <c r="K89" s="14"/>
      <c r="L89" s="14"/>
      <c r="M89" s="14"/>
      <c r="N89" s="11"/>
      <c r="O89" s="14"/>
      <c r="P89" s="57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</row>
    <row r="90" spans="1:48" s="69" customFormat="1" x14ac:dyDescent="0.3">
      <c r="A90" s="206"/>
      <c r="B90" s="223"/>
      <c r="C90" s="223"/>
      <c r="D90" s="224"/>
      <c r="E90" s="223"/>
      <c r="F90" s="46"/>
      <c r="G90" s="46"/>
      <c r="H90" s="295"/>
      <c r="I90" s="11"/>
      <c r="J90" s="11"/>
      <c r="K90" s="14"/>
      <c r="L90" s="14"/>
      <c r="M90" s="14"/>
      <c r="N90" s="11"/>
      <c r="O90" s="14"/>
      <c r="P90" s="57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</row>
    <row r="91" spans="1:48" s="69" customFormat="1" x14ac:dyDescent="0.3">
      <c r="A91" s="206"/>
      <c r="B91" s="223"/>
      <c r="C91" s="223"/>
      <c r="D91" s="224"/>
      <c r="E91" s="223"/>
      <c r="F91" s="46"/>
      <c r="G91" s="46"/>
      <c r="H91" s="296"/>
      <c r="I91" s="11"/>
      <c r="J91" s="11"/>
      <c r="K91" s="14"/>
      <c r="L91" s="14"/>
      <c r="M91" s="14"/>
      <c r="N91" s="11"/>
      <c r="O91" s="11"/>
      <c r="P91" s="57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</row>
    <row r="92" spans="1:48" s="69" customFormat="1" x14ac:dyDescent="0.3">
      <c r="A92" s="206"/>
      <c r="B92" s="223"/>
      <c r="C92" s="223"/>
      <c r="D92" s="224"/>
      <c r="E92" s="223"/>
      <c r="F92" s="46"/>
      <c r="G92" s="46"/>
      <c r="H92" s="296"/>
      <c r="I92" s="11"/>
      <c r="J92" s="11"/>
      <c r="K92" s="14"/>
      <c r="L92" s="14"/>
      <c r="M92" s="14"/>
      <c r="N92" s="11"/>
      <c r="O92" s="11"/>
      <c r="P92" s="57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</row>
    <row r="93" spans="1:48" s="69" customFormat="1" x14ac:dyDescent="0.3">
      <c r="A93" s="206"/>
      <c r="B93" s="223"/>
      <c r="C93" s="223"/>
      <c r="D93" s="224"/>
      <c r="E93" s="223"/>
      <c r="F93" s="46"/>
      <c r="G93" s="46"/>
      <c r="H93" s="296"/>
      <c r="K93" s="142"/>
      <c r="L93" s="142"/>
      <c r="M93" s="142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</row>
    <row r="94" spans="1:48" s="70" customFormat="1" x14ac:dyDescent="0.3">
      <c r="A94" s="206"/>
      <c r="B94" s="223"/>
      <c r="C94" s="223"/>
      <c r="D94" s="224"/>
      <c r="E94" s="223"/>
      <c r="F94" s="46"/>
      <c r="G94" s="46"/>
      <c r="H94" s="296"/>
      <c r="I94" s="63"/>
      <c r="J94" s="63"/>
      <c r="K94" s="69"/>
      <c r="L94" s="69"/>
      <c r="M94" s="69"/>
      <c r="N94" s="69"/>
      <c r="O94" s="69"/>
      <c r="P94" s="69"/>
    </row>
    <row r="95" spans="1:48" s="70" customFormat="1" ht="15" customHeight="1" x14ac:dyDescent="0.3">
      <c r="A95" s="206"/>
      <c r="B95" s="223"/>
      <c r="C95" s="223"/>
      <c r="D95" s="224"/>
      <c r="E95" s="223"/>
      <c r="F95" s="46"/>
      <c r="G95" s="46"/>
      <c r="H95" s="296"/>
      <c r="I95" s="11"/>
      <c r="J95" s="63"/>
      <c r="K95" s="142"/>
      <c r="L95" s="142"/>
      <c r="M95" s="142"/>
      <c r="N95" s="69"/>
      <c r="O95" s="69"/>
      <c r="P95" s="69"/>
      <c r="AV95" s="69"/>
    </row>
    <row r="96" spans="1:48" s="70" customFormat="1" x14ac:dyDescent="0.3">
      <c r="A96" s="206"/>
      <c r="B96" s="223"/>
      <c r="C96" s="223"/>
      <c r="D96" s="224"/>
      <c r="E96" s="223"/>
      <c r="F96" s="46"/>
      <c r="G96" s="46"/>
      <c r="H96" s="296"/>
      <c r="I96" s="142"/>
      <c r="J96" s="142"/>
      <c r="K96" s="142"/>
      <c r="L96" s="142"/>
      <c r="M96" s="142"/>
      <c r="N96" s="69"/>
      <c r="O96" s="69"/>
      <c r="P96" s="69"/>
      <c r="AV96" s="69"/>
    </row>
    <row r="97" spans="1:48" s="70" customFormat="1" x14ac:dyDescent="0.3">
      <c r="A97" s="206"/>
      <c r="B97" s="223"/>
      <c r="C97" s="223"/>
      <c r="D97" s="224"/>
      <c r="E97" s="223"/>
      <c r="F97" s="46"/>
      <c r="G97" s="46"/>
      <c r="H97" s="296"/>
      <c r="I97" s="11"/>
      <c r="J97" s="63"/>
      <c r="K97" s="142"/>
      <c r="L97" s="142"/>
      <c r="M97" s="142"/>
      <c r="N97" s="69"/>
      <c r="O97" s="69"/>
      <c r="P97" s="69"/>
      <c r="AV97" s="69"/>
    </row>
    <row r="98" spans="1:48" s="70" customFormat="1" x14ac:dyDescent="0.3">
      <c r="A98" s="206"/>
      <c r="B98" s="223"/>
      <c r="C98" s="223"/>
      <c r="D98" s="224"/>
      <c r="E98" s="223"/>
      <c r="F98" s="46"/>
      <c r="G98" s="46"/>
      <c r="H98" s="296"/>
      <c r="I98" s="142"/>
      <c r="J98" s="142"/>
      <c r="K98" s="142"/>
      <c r="L98" s="142"/>
      <c r="M98" s="142"/>
      <c r="N98" s="69"/>
      <c r="O98" s="69"/>
      <c r="P98" s="69"/>
      <c r="AV98" s="69"/>
    </row>
    <row r="99" spans="1:48" s="70" customFormat="1" x14ac:dyDescent="0.3">
      <c r="A99" s="206"/>
      <c r="B99" s="223"/>
      <c r="C99" s="223"/>
      <c r="D99" s="224"/>
      <c r="E99" s="223"/>
      <c r="F99" s="46"/>
      <c r="G99" s="46"/>
      <c r="H99" s="296"/>
      <c r="I99" s="11"/>
      <c r="J99" s="63"/>
      <c r="K99" s="142"/>
      <c r="L99" s="142"/>
      <c r="M99" s="142"/>
      <c r="N99" s="69"/>
      <c r="O99" s="69"/>
      <c r="P99" s="69"/>
      <c r="AV99" s="69"/>
    </row>
    <row r="100" spans="1:48" s="70" customFormat="1" x14ac:dyDescent="0.3">
      <c r="A100" s="206"/>
      <c r="B100" s="223"/>
      <c r="C100" s="223"/>
      <c r="D100" s="224"/>
      <c r="E100" s="223"/>
      <c r="F100" s="46"/>
      <c r="G100" s="46"/>
      <c r="H100" s="296"/>
      <c r="I100" s="142"/>
      <c r="J100" s="142"/>
      <c r="K100" s="142"/>
      <c r="L100" s="142"/>
      <c r="M100" s="142"/>
      <c r="N100" s="144"/>
      <c r="O100" s="69"/>
      <c r="P100" s="69"/>
      <c r="AV100" s="69"/>
    </row>
    <row r="101" spans="1:48" s="70" customFormat="1" x14ac:dyDescent="0.3">
      <c r="A101" s="206"/>
      <c r="B101" s="223"/>
      <c r="C101" s="223"/>
      <c r="D101" s="224"/>
      <c r="E101" s="223"/>
      <c r="F101" s="46"/>
      <c r="G101" s="46"/>
      <c r="H101" s="296"/>
      <c r="I101" s="11"/>
      <c r="J101" s="63"/>
      <c r="K101" s="142"/>
      <c r="L101" s="142"/>
      <c r="M101" s="142"/>
      <c r="N101" s="144"/>
      <c r="O101" s="69"/>
      <c r="P101" s="69"/>
      <c r="AV101" s="69"/>
    </row>
    <row r="102" spans="1:48" s="70" customFormat="1" x14ac:dyDescent="0.3">
      <c r="A102" s="206"/>
      <c r="B102" s="223"/>
      <c r="C102" s="223"/>
      <c r="D102" s="224"/>
      <c r="E102" s="223"/>
      <c r="F102" s="46"/>
      <c r="G102" s="46"/>
      <c r="H102" s="296"/>
      <c r="I102" s="142"/>
      <c r="J102" s="142"/>
      <c r="K102" s="142"/>
      <c r="L102" s="142"/>
      <c r="M102" s="142"/>
      <c r="N102" s="144"/>
      <c r="O102" s="69"/>
      <c r="AV102" s="69"/>
    </row>
    <row r="103" spans="1:48" s="70" customFormat="1" x14ac:dyDescent="0.3">
      <c r="A103" s="206"/>
      <c r="B103" s="223"/>
      <c r="C103" s="223"/>
      <c r="D103" s="224"/>
      <c r="E103" s="223"/>
      <c r="F103" s="46"/>
      <c r="G103" s="46"/>
      <c r="H103" s="296"/>
      <c r="I103" s="11"/>
      <c r="J103" s="63"/>
      <c r="K103" s="142"/>
      <c r="L103" s="142"/>
      <c r="M103" s="142"/>
      <c r="N103" s="144"/>
      <c r="O103" s="69"/>
      <c r="AV103" s="69"/>
    </row>
    <row r="104" spans="1:48" s="70" customFormat="1" x14ac:dyDescent="0.3">
      <c r="A104" s="148"/>
      <c r="B104" s="225"/>
      <c r="C104" s="225"/>
      <c r="D104" s="225"/>
      <c r="E104" s="225"/>
      <c r="F104" s="46"/>
      <c r="G104" s="46"/>
      <c r="H104" s="296"/>
      <c r="I104" s="142"/>
      <c r="J104" s="142"/>
      <c r="K104" s="142"/>
      <c r="L104" s="142"/>
      <c r="M104" s="142"/>
      <c r="N104" s="144"/>
      <c r="O104" s="69"/>
      <c r="AV104" s="69"/>
    </row>
    <row r="105" spans="1:48" s="70" customFormat="1" x14ac:dyDescent="0.3">
      <c r="A105" s="69"/>
      <c r="B105" s="69"/>
      <c r="C105" s="69"/>
      <c r="D105" s="69"/>
      <c r="E105" s="69"/>
      <c r="F105" s="69"/>
      <c r="G105" s="69"/>
      <c r="H105" s="297"/>
      <c r="I105" s="142"/>
      <c r="J105" s="142"/>
      <c r="K105" s="142"/>
      <c r="L105" s="142"/>
      <c r="M105" s="142"/>
      <c r="N105" s="144"/>
      <c r="O105" s="144"/>
      <c r="AV105" s="69"/>
    </row>
    <row r="106" spans="1:48" s="70" customFormat="1" x14ac:dyDescent="0.3">
      <c r="A106" s="69"/>
      <c r="B106" s="69"/>
      <c r="C106" s="69"/>
      <c r="D106" s="69"/>
      <c r="E106" s="69"/>
      <c r="F106" s="69"/>
      <c r="G106" s="69"/>
      <c r="H106" s="297"/>
      <c r="I106" s="69"/>
      <c r="J106" s="69"/>
      <c r="K106" s="142"/>
      <c r="L106" s="142"/>
      <c r="M106" s="142"/>
      <c r="N106" s="144"/>
      <c r="O106" s="144"/>
      <c r="AV106" s="69"/>
    </row>
    <row r="107" spans="1:48" s="70" customFormat="1" x14ac:dyDescent="0.3">
      <c r="A107" s="69"/>
      <c r="B107" s="69"/>
      <c r="C107" s="69"/>
      <c r="D107" s="69"/>
      <c r="E107" s="69"/>
      <c r="F107" s="69"/>
      <c r="G107" s="69"/>
      <c r="H107" s="297"/>
      <c r="I107" s="69"/>
      <c r="J107" s="69"/>
      <c r="K107" s="142"/>
      <c r="L107" s="142"/>
      <c r="M107" s="142"/>
      <c r="N107" s="144"/>
      <c r="O107" s="144"/>
      <c r="AV107" s="69"/>
    </row>
    <row r="108" spans="1:48" s="70" customFormat="1" x14ac:dyDescent="0.3">
      <c r="A108" s="69"/>
      <c r="B108" s="69"/>
      <c r="C108" s="69"/>
      <c r="D108" s="69"/>
      <c r="E108" s="69"/>
      <c r="F108" s="69"/>
      <c r="G108" s="69"/>
      <c r="H108" s="297"/>
      <c r="I108" s="69"/>
      <c r="J108" s="69"/>
      <c r="K108" s="142"/>
      <c r="L108" s="142"/>
      <c r="M108" s="142"/>
      <c r="N108" s="144"/>
      <c r="O108" s="144"/>
      <c r="AV108" s="69"/>
    </row>
    <row r="109" spans="1:48" s="70" customFormat="1" x14ac:dyDescent="0.3">
      <c r="A109" s="69"/>
      <c r="B109" s="69"/>
      <c r="C109" s="69"/>
      <c r="D109" s="69"/>
      <c r="E109" s="69"/>
      <c r="F109" s="69"/>
      <c r="G109" s="69"/>
      <c r="H109" s="297"/>
      <c r="I109" s="69"/>
      <c r="J109" s="69"/>
      <c r="K109" s="142"/>
      <c r="L109" s="142"/>
      <c r="M109" s="142"/>
      <c r="N109" s="144"/>
      <c r="O109" s="144"/>
      <c r="AV109" s="69"/>
    </row>
    <row r="110" spans="1:48" s="70" customFormat="1" x14ac:dyDescent="0.3">
      <c r="A110" s="69"/>
      <c r="B110" s="69"/>
      <c r="C110" s="69"/>
      <c r="D110" s="69"/>
      <c r="E110" s="69"/>
      <c r="F110" s="69"/>
      <c r="G110" s="69"/>
      <c r="H110" s="297"/>
      <c r="I110" s="69"/>
      <c r="J110" s="69"/>
      <c r="K110" s="142"/>
      <c r="L110" s="142"/>
      <c r="M110" s="142"/>
      <c r="N110" s="144"/>
      <c r="O110" s="144"/>
      <c r="AV110" s="69"/>
    </row>
    <row r="111" spans="1:48" s="70" customFormat="1" x14ac:dyDescent="0.3">
      <c r="A111" s="69"/>
      <c r="B111" s="69"/>
      <c r="C111" s="69"/>
      <c r="D111" s="69"/>
      <c r="E111" s="69"/>
      <c r="F111" s="69"/>
      <c r="G111" s="69"/>
      <c r="H111" s="297"/>
      <c r="I111" s="69"/>
      <c r="J111" s="69"/>
      <c r="K111" s="142"/>
      <c r="L111" s="142"/>
      <c r="M111" s="142"/>
      <c r="N111" s="144"/>
      <c r="O111" s="144"/>
      <c r="AV111" s="69"/>
    </row>
    <row r="112" spans="1:48" s="70" customFormat="1" x14ac:dyDescent="0.3">
      <c r="F112" s="69"/>
      <c r="G112" s="69"/>
      <c r="H112" s="297"/>
      <c r="I112" s="69"/>
      <c r="J112" s="69"/>
      <c r="K112" s="142"/>
      <c r="L112" s="142"/>
      <c r="M112" s="142"/>
      <c r="N112" s="144"/>
      <c r="O112" s="144"/>
      <c r="AV112" s="69"/>
    </row>
    <row r="113" spans="8:48" s="70" customFormat="1" x14ac:dyDescent="0.3">
      <c r="H113" s="298"/>
      <c r="I113" s="69"/>
      <c r="J113" s="69"/>
      <c r="K113" s="142"/>
      <c r="L113" s="142"/>
      <c r="M113" s="142"/>
      <c r="N113" s="144"/>
      <c r="O113" s="144"/>
      <c r="AV113" s="69"/>
    </row>
    <row r="114" spans="8:48" s="70" customFormat="1" x14ac:dyDescent="0.3">
      <c r="H114" s="298"/>
      <c r="K114" s="142"/>
      <c r="L114" s="142"/>
      <c r="M114" s="142"/>
      <c r="N114" s="144"/>
      <c r="O114" s="144"/>
      <c r="AV114" s="69"/>
    </row>
    <row r="115" spans="8:48" s="70" customFormat="1" x14ac:dyDescent="0.3">
      <c r="H115" s="298"/>
      <c r="K115" s="142"/>
      <c r="L115" s="142"/>
      <c r="M115" s="142"/>
      <c r="N115" s="144"/>
      <c r="O115" s="144"/>
      <c r="AV115" s="69"/>
    </row>
    <row r="116" spans="8:48" s="70" customFormat="1" x14ac:dyDescent="0.3">
      <c r="H116" s="298"/>
      <c r="K116" s="142"/>
      <c r="L116" s="142"/>
      <c r="M116" s="142"/>
      <c r="N116" s="144"/>
      <c r="O116" s="144"/>
      <c r="AV116" s="69"/>
    </row>
    <row r="117" spans="8:48" s="70" customFormat="1" x14ac:dyDescent="0.3">
      <c r="H117" s="298"/>
      <c r="K117" s="142"/>
      <c r="L117" s="142"/>
      <c r="M117" s="142"/>
      <c r="N117" s="144"/>
      <c r="O117" s="144"/>
      <c r="AV117" s="69"/>
    </row>
    <row r="118" spans="8:48" s="70" customFormat="1" x14ac:dyDescent="0.3">
      <c r="H118" s="298"/>
      <c r="K118" s="142"/>
      <c r="L118" s="142"/>
      <c r="M118" s="142"/>
      <c r="N118" s="144"/>
      <c r="O118" s="144"/>
      <c r="AV118" s="69"/>
    </row>
    <row r="119" spans="8:48" s="70" customFormat="1" x14ac:dyDescent="0.3">
      <c r="H119" s="298"/>
      <c r="K119" s="142"/>
      <c r="L119" s="142"/>
      <c r="M119" s="142"/>
      <c r="N119" s="144"/>
      <c r="O119" s="144"/>
      <c r="AV119" s="69"/>
    </row>
    <row r="120" spans="8:48" s="70" customFormat="1" x14ac:dyDescent="0.3">
      <c r="H120" s="298"/>
      <c r="K120" s="142"/>
      <c r="L120" s="142"/>
      <c r="M120" s="142"/>
      <c r="N120" s="144"/>
      <c r="O120" s="144"/>
      <c r="AV120" s="69"/>
    </row>
    <row r="121" spans="8:48" s="70" customFormat="1" x14ac:dyDescent="0.3">
      <c r="H121" s="298"/>
      <c r="K121" s="142"/>
      <c r="L121" s="142"/>
      <c r="M121" s="142"/>
      <c r="N121" s="144"/>
      <c r="O121" s="144"/>
      <c r="AV121" s="69"/>
    </row>
    <row r="122" spans="8:48" s="70" customFormat="1" x14ac:dyDescent="0.3">
      <c r="H122" s="298"/>
      <c r="K122" s="142"/>
      <c r="L122" s="142"/>
      <c r="M122" s="142"/>
      <c r="N122" s="144"/>
      <c r="O122" s="144"/>
      <c r="AV122" s="69"/>
    </row>
    <row r="123" spans="8:48" s="70" customFormat="1" x14ac:dyDescent="0.3">
      <c r="H123" s="298"/>
      <c r="K123" s="142"/>
      <c r="L123" s="142"/>
      <c r="M123" s="142"/>
      <c r="N123" s="144"/>
      <c r="O123" s="144"/>
      <c r="AV123" s="69"/>
    </row>
    <row r="124" spans="8:48" s="70" customFormat="1" x14ac:dyDescent="0.3">
      <c r="H124" s="298"/>
      <c r="K124" s="142"/>
      <c r="L124" s="142"/>
      <c r="M124" s="142"/>
      <c r="N124" s="144"/>
      <c r="O124" s="144"/>
      <c r="AV124" s="69"/>
    </row>
    <row r="125" spans="8:48" s="70" customFormat="1" x14ac:dyDescent="0.3">
      <c r="H125" s="298"/>
      <c r="K125" s="142"/>
      <c r="L125" s="142"/>
      <c r="M125" s="142"/>
      <c r="N125" s="144"/>
      <c r="O125" s="144"/>
      <c r="AV125" s="69"/>
    </row>
    <row r="126" spans="8:48" s="70" customFormat="1" x14ac:dyDescent="0.3">
      <c r="H126" s="298"/>
      <c r="K126" s="142"/>
      <c r="L126" s="142"/>
      <c r="M126" s="142"/>
      <c r="N126" s="144"/>
      <c r="O126" s="144"/>
      <c r="AV126" s="69"/>
    </row>
    <row r="127" spans="8:48" s="70" customFormat="1" x14ac:dyDescent="0.3">
      <c r="H127" s="298"/>
      <c r="K127" s="142"/>
      <c r="L127" s="142"/>
      <c r="M127" s="142"/>
      <c r="N127" s="144"/>
      <c r="O127" s="144"/>
      <c r="AV127" s="69"/>
    </row>
    <row r="128" spans="8:48" s="70" customFormat="1" x14ac:dyDescent="0.3">
      <c r="H128" s="298"/>
      <c r="K128" s="142"/>
      <c r="L128" s="142"/>
      <c r="M128" s="142"/>
      <c r="N128" s="144"/>
      <c r="O128" s="144"/>
      <c r="AV128" s="69"/>
    </row>
    <row r="129" spans="8:48" s="70" customFormat="1" x14ac:dyDescent="0.3">
      <c r="H129" s="298"/>
      <c r="K129" s="142"/>
      <c r="L129" s="142"/>
      <c r="M129" s="142"/>
      <c r="N129" s="144"/>
      <c r="O129" s="144"/>
      <c r="AV129" s="69"/>
    </row>
    <row r="130" spans="8:48" s="70" customFormat="1" x14ac:dyDescent="0.3">
      <c r="H130" s="298"/>
      <c r="K130" s="142"/>
      <c r="L130" s="142"/>
      <c r="M130" s="142"/>
      <c r="N130" s="144"/>
      <c r="O130" s="144"/>
      <c r="AV130" s="69"/>
    </row>
    <row r="131" spans="8:48" s="70" customFormat="1" x14ac:dyDescent="0.3">
      <c r="H131" s="298"/>
      <c r="K131" s="142"/>
      <c r="L131" s="142"/>
      <c r="M131" s="142"/>
      <c r="N131" s="144"/>
      <c r="O131" s="144"/>
      <c r="AV131" s="69"/>
    </row>
    <row r="132" spans="8:48" s="70" customFormat="1" x14ac:dyDescent="0.3">
      <c r="H132" s="298"/>
      <c r="K132" s="142"/>
      <c r="L132" s="142"/>
      <c r="M132" s="142"/>
      <c r="N132" s="144"/>
      <c r="O132" s="144"/>
      <c r="AV132" s="69"/>
    </row>
    <row r="133" spans="8:48" s="70" customFormat="1" x14ac:dyDescent="0.3">
      <c r="H133" s="298"/>
      <c r="K133" s="142"/>
      <c r="L133" s="142"/>
      <c r="M133" s="142"/>
      <c r="N133" s="144"/>
      <c r="O133" s="144"/>
      <c r="AV133" s="69"/>
    </row>
    <row r="134" spans="8:48" s="70" customFormat="1" x14ac:dyDescent="0.3">
      <c r="H134" s="298"/>
      <c r="K134" s="142"/>
      <c r="L134" s="142"/>
      <c r="M134" s="142"/>
      <c r="N134" s="144"/>
      <c r="O134" s="144"/>
      <c r="AV134" s="69"/>
    </row>
    <row r="135" spans="8:48" s="70" customFormat="1" x14ac:dyDescent="0.3">
      <c r="H135" s="298"/>
      <c r="K135" s="142"/>
      <c r="L135" s="142"/>
      <c r="M135" s="142"/>
      <c r="N135" s="144"/>
      <c r="O135" s="144"/>
      <c r="AV135" s="69"/>
    </row>
    <row r="136" spans="8:48" s="70" customFormat="1" x14ac:dyDescent="0.3">
      <c r="H136" s="298"/>
      <c r="K136" s="142"/>
      <c r="L136" s="142"/>
      <c r="M136" s="142"/>
      <c r="N136" s="144"/>
      <c r="O136" s="144"/>
      <c r="AV136" s="69"/>
    </row>
    <row r="137" spans="8:48" s="70" customFormat="1" x14ac:dyDescent="0.3">
      <c r="H137" s="298"/>
      <c r="K137" s="142"/>
      <c r="L137" s="142"/>
      <c r="M137" s="142"/>
      <c r="N137" s="144"/>
      <c r="O137" s="144"/>
      <c r="AV137" s="69"/>
    </row>
    <row r="138" spans="8:48" s="70" customFormat="1" x14ac:dyDescent="0.3">
      <c r="H138" s="298"/>
      <c r="K138" s="142"/>
      <c r="L138" s="142"/>
      <c r="M138" s="142"/>
      <c r="N138" s="144"/>
      <c r="O138" s="144"/>
      <c r="AV138" s="69"/>
    </row>
    <row r="139" spans="8:48" s="70" customFormat="1" x14ac:dyDescent="0.3">
      <c r="H139" s="298"/>
      <c r="K139" s="142"/>
      <c r="L139" s="142"/>
      <c r="M139" s="142"/>
      <c r="N139" s="144"/>
      <c r="O139" s="144"/>
      <c r="AV139" s="69"/>
    </row>
    <row r="140" spans="8:48" s="70" customFormat="1" x14ac:dyDescent="0.3">
      <c r="H140" s="298"/>
      <c r="K140" s="142"/>
      <c r="L140" s="142"/>
      <c r="M140" s="142"/>
      <c r="N140" s="144"/>
      <c r="O140" s="144"/>
      <c r="AV140" s="69"/>
    </row>
    <row r="141" spans="8:48" s="70" customFormat="1" x14ac:dyDescent="0.3">
      <c r="H141" s="298"/>
      <c r="K141" s="142"/>
      <c r="L141" s="142"/>
      <c r="M141" s="142"/>
      <c r="N141" s="144"/>
      <c r="O141" s="144"/>
      <c r="AV141" s="69"/>
    </row>
    <row r="142" spans="8:48" s="70" customFormat="1" x14ac:dyDescent="0.3">
      <c r="H142" s="298"/>
      <c r="K142" s="142"/>
      <c r="L142" s="142"/>
      <c r="M142" s="142"/>
      <c r="N142" s="144"/>
      <c r="O142" s="144"/>
      <c r="AV142" s="69"/>
    </row>
    <row r="143" spans="8:48" s="70" customFormat="1" x14ac:dyDescent="0.3">
      <c r="H143" s="298"/>
      <c r="K143" s="142"/>
      <c r="L143" s="142"/>
      <c r="M143" s="142"/>
      <c r="N143" s="144"/>
      <c r="O143" s="144"/>
      <c r="AV143" s="69"/>
    </row>
    <row r="144" spans="8:48" s="70" customFormat="1" x14ac:dyDescent="0.3">
      <c r="H144" s="298"/>
      <c r="K144" s="142"/>
      <c r="L144" s="142"/>
      <c r="M144" s="142"/>
      <c r="N144" s="144"/>
      <c r="O144" s="144"/>
      <c r="AV144" s="69"/>
    </row>
    <row r="145" spans="8:48" s="70" customFormat="1" x14ac:dyDescent="0.3">
      <c r="H145" s="298"/>
      <c r="K145" s="142"/>
      <c r="L145" s="142"/>
      <c r="M145" s="142"/>
      <c r="N145" s="144"/>
      <c r="O145" s="144"/>
      <c r="AV145" s="69"/>
    </row>
    <row r="146" spans="8:48" s="70" customFormat="1" x14ac:dyDescent="0.3">
      <c r="H146" s="298"/>
      <c r="K146" s="142"/>
      <c r="L146" s="142"/>
      <c r="M146" s="142"/>
      <c r="N146" s="144"/>
      <c r="O146" s="144"/>
      <c r="AV146" s="69"/>
    </row>
    <row r="147" spans="8:48" s="70" customFormat="1" x14ac:dyDescent="0.3">
      <c r="H147" s="298"/>
      <c r="K147" s="142"/>
      <c r="L147" s="142"/>
      <c r="M147" s="142"/>
      <c r="N147" s="144"/>
      <c r="O147" s="144"/>
      <c r="AV147" s="69"/>
    </row>
    <row r="148" spans="8:48" s="70" customFormat="1" x14ac:dyDescent="0.3">
      <c r="H148" s="298"/>
      <c r="K148" s="142"/>
      <c r="L148" s="142"/>
      <c r="M148" s="142"/>
      <c r="N148" s="144"/>
      <c r="O148" s="144"/>
      <c r="AV148" s="69"/>
    </row>
    <row r="149" spans="8:48" s="70" customFormat="1" x14ac:dyDescent="0.3">
      <c r="H149" s="298"/>
      <c r="K149" s="142"/>
      <c r="L149" s="142"/>
      <c r="M149" s="142"/>
      <c r="N149" s="144"/>
      <c r="O149" s="144"/>
      <c r="AV149" s="69"/>
    </row>
    <row r="150" spans="8:48" s="70" customFormat="1" x14ac:dyDescent="0.3">
      <c r="H150" s="298"/>
      <c r="K150" s="142"/>
      <c r="L150" s="142"/>
      <c r="M150" s="142"/>
      <c r="N150" s="144"/>
      <c r="O150" s="144"/>
      <c r="AV150" s="69"/>
    </row>
    <row r="151" spans="8:48" s="70" customFormat="1" x14ac:dyDescent="0.3">
      <c r="H151" s="298"/>
      <c r="K151" s="142"/>
      <c r="L151" s="142"/>
      <c r="M151" s="142"/>
      <c r="N151" s="144"/>
      <c r="O151" s="144"/>
      <c r="AV151" s="69"/>
    </row>
    <row r="152" spans="8:48" s="70" customFormat="1" x14ac:dyDescent="0.3">
      <c r="H152" s="298"/>
      <c r="K152" s="142"/>
      <c r="L152" s="142"/>
      <c r="M152" s="142"/>
      <c r="N152" s="144"/>
      <c r="O152" s="144"/>
      <c r="AV152" s="69"/>
    </row>
    <row r="153" spans="8:48" s="70" customFormat="1" x14ac:dyDescent="0.3">
      <c r="H153" s="298"/>
      <c r="K153" s="142"/>
      <c r="L153" s="142"/>
      <c r="M153" s="142"/>
      <c r="N153" s="144"/>
      <c r="O153" s="144"/>
      <c r="AV153" s="69"/>
    </row>
    <row r="154" spans="8:48" s="70" customFormat="1" x14ac:dyDescent="0.3">
      <c r="H154" s="298"/>
      <c r="K154" s="142"/>
      <c r="L154" s="142"/>
      <c r="M154" s="142"/>
      <c r="N154" s="144"/>
      <c r="O154" s="144"/>
      <c r="AV154" s="69"/>
    </row>
    <row r="155" spans="8:48" s="70" customFormat="1" x14ac:dyDescent="0.3">
      <c r="H155" s="298"/>
      <c r="K155" s="142"/>
      <c r="L155" s="142"/>
      <c r="M155" s="142"/>
      <c r="N155" s="144"/>
      <c r="O155" s="144"/>
      <c r="AV155" s="69"/>
    </row>
    <row r="156" spans="8:48" s="70" customFormat="1" x14ac:dyDescent="0.3">
      <c r="H156" s="298"/>
      <c r="K156" s="142"/>
      <c r="L156" s="142"/>
      <c r="M156" s="142"/>
      <c r="N156" s="144"/>
      <c r="O156" s="144"/>
      <c r="AV156" s="69"/>
    </row>
    <row r="157" spans="8:48" s="70" customFormat="1" x14ac:dyDescent="0.3">
      <c r="H157" s="298"/>
      <c r="K157" s="142"/>
      <c r="L157" s="142"/>
      <c r="M157" s="142"/>
      <c r="N157" s="144"/>
      <c r="O157" s="144"/>
      <c r="AV157" s="69"/>
    </row>
    <row r="158" spans="8:48" s="70" customFormat="1" x14ac:dyDescent="0.3">
      <c r="H158" s="298"/>
      <c r="K158" s="142"/>
      <c r="L158" s="142"/>
      <c r="M158" s="142"/>
      <c r="N158" s="144"/>
      <c r="O158" s="144"/>
      <c r="AV158" s="69"/>
    </row>
    <row r="159" spans="8:48" s="70" customFormat="1" x14ac:dyDescent="0.3">
      <c r="H159" s="298"/>
      <c r="K159" s="142"/>
      <c r="L159" s="142"/>
      <c r="M159" s="142"/>
      <c r="N159" s="144"/>
      <c r="O159" s="144"/>
      <c r="AV159" s="69"/>
    </row>
    <row r="160" spans="8:48" s="70" customFormat="1" x14ac:dyDescent="0.3">
      <c r="H160" s="298"/>
      <c r="K160" s="142"/>
      <c r="L160" s="142"/>
      <c r="M160" s="142"/>
      <c r="N160" s="144"/>
      <c r="O160" s="144"/>
      <c r="AV160" s="69"/>
    </row>
    <row r="161" spans="1:49" s="70" customFormat="1" x14ac:dyDescent="0.3">
      <c r="H161" s="298"/>
      <c r="K161" s="142"/>
      <c r="L161" s="142"/>
      <c r="M161" s="142"/>
      <c r="N161" s="144"/>
      <c r="O161" s="144"/>
      <c r="AV161" s="69"/>
    </row>
    <row r="162" spans="1:49" s="70" customFormat="1" x14ac:dyDescent="0.3">
      <c r="H162" s="298"/>
      <c r="K162" s="142"/>
      <c r="L162" s="142"/>
      <c r="M162" s="142"/>
      <c r="N162" s="144"/>
      <c r="O162" s="144"/>
      <c r="AV162" s="69"/>
    </row>
    <row r="163" spans="1:49" s="70" customFormat="1" x14ac:dyDescent="0.3">
      <c r="H163" s="298"/>
      <c r="K163" s="142"/>
      <c r="L163" s="142"/>
      <c r="M163" s="142"/>
      <c r="N163" s="144"/>
      <c r="O163" s="144"/>
      <c r="AV163" s="69"/>
    </row>
    <row r="164" spans="1:49" s="70" customFormat="1" x14ac:dyDescent="0.3">
      <c r="H164" s="298"/>
      <c r="K164" s="142"/>
      <c r="L164" s="142"/>
      <c r="M164" s="142"/>
      <c r="N164" s="144"/>
      <c r="O164" s="144"/>
      <c r="AV164" s="69"/>
    </row>
    <row r="165" spans="1:49" s="70" customFormat="1" x14ac:dyDescent="0.3">
      <c r="H165" s="298"/>
      <c r="K165" s="142"/>
      <c r="L165" s="142"/>
      <c r="M165" s="142"/>
      <c r="N165" s="144"/>
      <c r="O165" s="144"/>
      <c r="AV165" s="69"/>
    </row>
    <row r="166" spans="1:49" s="70" customFormat="1" x14ac:dyDescent="0.3">
      <c r="H166" s="298"/>
      <c r="K166" s="142"/>
      <c r="L166" s="142"/>
      <c r="M166" s="142"/>
      <c r="N166" s="144"/>
      <c r="O166" s="144"/>
      <c r="AV166" s="69"/>
    </row>
    <row r="167" spans="1:49" s="70" customFormat="1" x14ac:dyDescent="0.3">
      <c r="H167" s="298"/>
      <c r="K167" s="142"/>
      <c r="L167" s="142"/>
      <c r="M167" s="142"/>
      <c r="N167" s="144"/>
      <c r="O167" s="144"/>
      <c r="AV167" s="69"/>
    </row>
    <row r="168" spans="1:49" s="70" customFormat="1" x14ac:dyDescent="0.3">
      <c r="H168" s="298"/>
      <c r="K168" s="142"/>
      <c r="L168" s="142"/>
      <c r="M168" s="142"/>
      <c r="N168" s="144"/>
      <c r="O168" s="144"/>
      <c r="AV168" s="69"/>
    </row>
    <row r="169" spans="1:49" s="145" customFormat="1" x14ac:dyDescent="0.3">
      <c r="A169" s="70"/>
      <c r="B169" s="70"/>
      <c r="C169" s="70"/>
      <c r="D169" s="70"/>
      <c r="E169" s="70"/>
      <c r="F169" s="70"/>
      <c r="G169" s="70"/>
      <c r="H169" s="298"/>
      <c r="I169" s="70"/>
      <c r="J169" s="70"/>
      <c r="K169" s="142"/>
      <c r="L169" s="142"/>
      <c r="M169" s="142"/>
      <c r="N169" s="144"/>
      <c r="O169" s="144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69"/>
      <c r="AW169" s="70"/>
    </row>
    <row r="170" spans="1:49" s="145" customFormat="1" x14ac:dyDescent="0.3">
      <c r="A170" s="70"/>
      <c r="B170" s="70"/>
      <c r="C170" s="70"/>
      <c r="D170" s="70"/>
      <c r="E170" s="70"/>
      <c r="F170" s="70"/>
      <c r="G170" s="70"/>
      <c r="H170" s="298"/>
      <c r="I170" s="70"/>
      <c r="J170" s="70"/>
      <c r="K170" s="142"/>
      <c r="L170" s="142"/>
      <c r="M170" s="142"/>
      <c r="N170" s="144"/>
      <c r="O170" s="144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69"/>
      <c r="AW170" s="70"/>
    </row>
    <row r="171" spans="1:49" s="145" customFormat="1" x14ac:dyDescent="0.3">
      <c r="A171" s="70"/>
      <c r="B171" s="70"/>
      <c r="C171" s="70"/>
      <c r="D171" s="70"/>
      <c r="E171" s="70"/>
      <c r="F171" s="70"/>
      <c r="G171" s="70"/>
      <c r="H171" s="298"/>
      <c r="I171" s="70"/>
      <c r="J171" s="70"/>
      <c r="K171" s="142"/>
      <c r="L171" s="142"/>
      <c r="M171" s="142"/>
      <c r="N171" s="144"/>
      <c r="O171" s="144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69"/>
      <c r="AW171" s="70"/>
    </row>
    <row r="172" spans="1:49" s="145" customFormat="1" x14ac:dyDescent="0.3">
      <c r="A172" s="70"/>
      <c r="B172" s="70"/>
      <c r="C172" s="70"/>
      <c r="D172" s="70"/>
      <c r="E172" s="70"/>
      <c r="F172" s="70"/>
      <c r="G172" s="70"/>
      <c r="H172" s="298"/>
      <c r="I172" s="70"/>
      <c r="J172" s="70"/>
      <c r="K172" s="142"/>
      <c r="L172" s="142"/>
      <c r="M172" s="142"/>
      <c r="N172" s="144"/>
      <c r="O172" s="144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69"/>
      <c r="AW172" s="70"/>
    </row>
    <row r="173" spans="1:49" s="145" customFormat="1" x14ac:dyDescent="0.3">
      <c r="A173" s="70"/>
      <c r="B173" s="70"/>
      <c r="C173" s="70"/>
      <c r="D173" s="70"/>
      <c r="E173" s="70"/>
      <c r="F173" s="70"/>
      <c r="G173" s="70"/>
      <c r="H173" s="298"/>
      <c r="I173" s="70"/>
      <c r="J173" s="70"/>
      <c r="K173" s="142"/>
      <c r="L173" s="142"/>
      <c r="M173" s="142"/>
      <c r="N173" s="144"/>
      <c r="O173" s="144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69"/>
      <c r="AW173" s="70"/>
    </row>
    <row r="174" spans="1:49" s="145" customFormat="1" x14ac:dyDescent="0.3">
      <c r="A174" s="70"/>
      <c r="B174" s="70"/>
      <c r="C174" s="70"/>
      <c r="D174" s="70"/>
      <c r="E174" s="70"/>
      <c r="F174" s="70"/>
      <c r="G174" s="70"/>
      <c r="H174" s="298"/>
      <c r="I174" s="70"/>
      <c r="J174" s="70"/>
      <c r="K174" s="142"/>
      <c r="L174" s="142"/>
      <c r="M174" s="142"/>
      <c r="N174" s="144"/>
      <c r="O174" s="144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69"/>
      <c r="AW174" s="70"/>
    </row>
    <row r="175" spans="1:49" s="145" customFormat="1" x14ac:dyDescent="0.3">
      <c r="A175" s="70"/>
      <c r="B175" s="70"/>
      <c r="C175" s="70"/>
      <c r="D175" s="70"/>
      <c r="E175" s="70"/>
      <c r="F175" s="70"/>
      <c r="G175" s="70"/>
      <c r="H175" s="298"/>
      <c r="I175" s="70"/>
      <c r="J175" s="70"/>
      <c r="K175" s="142"/>
      <c r="L175" s="142"/>
      <c r="M175" s="142"/>
      <c r="N175" s="144"/>
      <c r="O175" s="144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69"/>
      <c r="AW175" s="70"/>
    </row>
    <row r="176" spans="1:49" s="145" customFormat="1" x14ac:dyDescent="0.3">
      <c r="A176" s="70"/>
      <c r="B176" s="70"/>
      <c r="C176" s="70"/>
      <c r="D176" s="70"/>
      <c r="E176" s="70"/>
      <c r="F176" s="70"/>
      <c r="G176" s="70"/>
      <c r="H176" s="298"/>
      <c r="I176" s="70"/>
      <c r="J176" s="70"/>
      <c r="K176" s="142"/>
      <c r="L176" s="142"/>
      <c r="M176" s="142"/>
      <c r="N176" s="144"/>
      <c r="O176" s="144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69"/>
      <c r="AW176" s="70"/>
    </row>
    <row r="177" spans="1:49" s="145" customFormat="1" x14ac:dyDescent="0.3">
      <c r="A177" s="70"/>
      <c r="B177" s="70"/>
      <c r="C177" s="70"/>
      <c r="D177" s="70"/>
      <c r="E177" s="70"/>
      <c r="F177" s="70"/>
      <c r="G177" s="70"/>
      <c r="H177" s="298"/>
      <c r="I177" s="70"/>
      <c r="J177" s="70"/>
      <c r="K177" s="142"/>
      <c r="L177" s="142"/>
      <c r="M177" s="142"/>
      <c r="N177" s="147"/>
      <c r="O177" s="144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69"/>
      <c r="AW177" s="70"/>
    </row>
    <row r="178" spans="1:49" s="145" customFormat="1" x14ac:dyDescent="0.3">
      <c r="A178" s="70"/>
      <c r="B178" s="70"/>
      <c r="C178" s="70"/>
      <c r="D178" s="70"/>
      <c r="E178" s="70"/>
      <c r="F178" s="70"/>
      <c r="G178" s="70"/>
      <c r="H178" s="298"/>
      <c r="I178" s="70"/>
      <c r="J178" s="70"/>
      <c r="K178" s="142"/>
      <c r="L178" s="142"/>
      <c r="M178" s="142"/>
      <c r="N178" s="147"/>
      <c r="O178" s="144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69"/>
      <c r="AW178" s="70"/>
    </row>
    <row r="179" spans="1:49" s="145" customFormat="1" x14ac:dyDescent="0.3">
      <c r="A179" s="70"/>
      <c r="B179" s="70"/>
      <c r="C179" s="70"/>
      <c r="D179" s="70"/>
      <c r="E179" s="70"/>
      <c r="F179" s="70"/>
      <c r="G179" s="70"/>
      <c r="H179" s="298"/>
      <c r="I179" s="70"/>
      <c r="J179" s="70"/>
      <c r="K179" s="142"/>
      <c r="L179" s="142"/>
      <c r="M179" s="142"/>
      <c r="N179" s="147"/>
      <c r="O179" s="144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69"/>
      <c r="AW179" s="70"/>
    </row>
    <row r="180" spans="1:49" s="145" customFormat="1" x14ac:dyDescent="0.3">
      <c r="A180" s="70"/>
      <c r="B180" s="70"/>
      <c r="C180" s="70"/>
      <c r="D180" s="70"/>
      <c r="E180" s="70"/>
      <c r="F180" s="70"/>
      <c r="G180" s="70"/>
      <c r="H180" s="298"/>
      <c r="I180" s="70"/>
      <c r="J180" s="70"/>
      <c r="K180" s="142"/>
      <c r="L180" s="142"/>
      <c r="M180" s="142"/>
      <c r="N180" s="147"/>
      <c r="O180" s="144"/>
      <c r="P180" s="149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69"/>
      <c r="AW180" s="70"/>
    </row>
    <row r="181" spans="1:49" s="145" customFormat="1" x14ac:dyDescent="0.3">
      <c r="A181" s="70"/>
      <c r="B181" s="70"/>
      <c r="C181" s="70"/>
      <c r="D181" s="70"/>
      <c r="E181" s="70"/>
      <c r="F181" s="70"/>
      <c r="G181" s="70"/>
      <c r="H181" s="298"/>
      <c r="I181" s="70"/>
      <c r="J181" s="70"/>
      <c r="K181" s="146"/>
      <c r="L181" s="146"/>
      <c r="M181" s="146"/>
      <c r="N181" s="147"/>
      <c r="O181" s="144"/>
      <c r="P181" s="149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69"/>
      <c r="AW181" s="70"/>
    </row>
    <row r="182" spans="1:49" s="145" customFormat="1" x14ac:dyDescent="0.3">
      <c r="A182" s="70"/>
      <c r="B182" s="70"/>
      <c r="C182" s="70"/>
      <c r="D182" s="70"/>
      <c r="E182" s="70"/>
      <c r="F182" s="70"/>
      <c r="G182" s="70"/>
      <c r="H182" s="298"/>
      <c r="I182" s="70"/>
      <c r="J182" s="70"/>
      <c r="K182" s="146"/>
      <c r="L182" s="146"/>
      <c r="M182" s="146"/>
      <c r="N182" s="147"/>
      <c r="O182" s="147"/>
      <c r="P182" s="149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69"/>
      <c r="AW182" s="70"/>
    </row>
    <row r="183" spans="1:49" s="145" customFormat="1" x14ac:dyDescent="0.3">
      <c r="A183" s="70"/>
      <c r="B183" s="70"/>
      <c r="C183" s="70"/>
      <c r="D183" s="70"/>
      <c r="E183" s="70"/>
      <c r="F183" s="70"/>
      <c r="G183" s="70"/>
      <c r="H183" s="298"/>
      <c r="I183" s="70"/>
      <c r="J183" s="70"/>
      <c r="K183" s="146"/>
      <c r="L183" s="146"/>
      <c r="M183" s="146"/>
      <c r="N183" s="147"/>
      <c r="O183" s="147"/>
      <c r="P183" s="149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69"/>
      <c r="AW183" s="70"/>
    </row>
    <row r="184" spans="1:49" s="145" customFormat="1" x14ac:dyDescent="0.3">
      <c r="A184" s="70"/>
      <c r="B184" s="70"/>
      <c r="C184" s="70"/>
      <c r="D184" s="70"/>
      <c r="E184" s="70"/>
      <c r="F184" s="70"/>
      <c r="G184" s="70"/>
      <c r="H184" s="298"/>
      <c r="I184" s="70"/>
      <c r="J184" s="70"/>
      <c r="K184" s="146"/>
      <c r="L184" s="146"/>
      <c r="M184" s="146"/>
      <c r="N184" s="147"/>
      <c r="O184" s="147"/>
      <c r="P184" s="149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69"/>
      <c r="AW184" s="70"/>
    </row>
    <row r="185" spans="1:49" s="145" customFormat="1" x14ac:dyDescent="0.3">
      <c r="A185" s="70"/>
      <c r="B185" s="70"/>
      <c r="C185" s="70"/>
      <c r="D185" s="70"/>
      <c r="E185" s="70"/>
      <c r="F185" s="70"/>
      <c r="G185" s="70"/>
      <c r="H185" s="298"/>
      <c r="I185" s="70"/>
      <c r="J185" s="70"/>
      <c r="K185" s="146"/>
      <c r="L185" s="146"/>
      <c r="M185" s="146"/>
      <c r="N185" s="147"/>
      <c r="O185" s="147"/>
      <c r="P185" s="149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69"/>
      <c r="AW185" s="70"/>
    </row>
    <row r="186" spans="1:49" x14ac:dyDescent="0.3">
      <c r="A186" s="70"/>
      <c r="B186" s="70"/>
      <c r="C186" s="70"/>
      <c r="D186" s="70"/>
      <c r="E186" s="70"/>
      <c r="F186" s="70"/>
      <c r="G186" s="70"/>
      <c r="H186" s="298"/>
      <c r="I186" s="70"/>
      <c r="J186" s="70"/>
      <c r="K186" s="146"/>
      <c r="L186" s="146"/>
      <c r="M186" s="146"/>
      <c r="N186" s="147"/>
      <c r="O186" s="147"/>
      <c r="P186" s="149"/>
      <c r="AV186" s="148"/>
      <c r="AW186" s="148"/>
    </row>
    <row r="187" spans="1:49" x14ac:dyDescent="0.3">
      <c r="A187" s="70"/>
      <c r="B187" s="70"/>
      <c r="C187" s="70"/>
      <c r="D187" s="70"/>
      <c r="E187" s="70"/>
      <c r="F187" s="70"/>
      <c r="G187" s="70"/>
      <c r="H187" s="298"/>
      <c r="I187" s="70"/>
      <c r="J187" s="70"/>
      <c r="K187" s="146"/>
      <c r="L187" s="146"/>
      <c r="M187" s="146"/>
      <c r="N187" s="147"/>
      <c r="O187" s="147"/>
      <c r="P187" s="149"/>
      <c r="AV187" s="148"/>
      <c r="AW187" s="148"/>
    </row>
    <row r="188" spans="1:49" x14ac:dyDescent="0.3">
      <c r="A188" s="70"/>
      <c r="B188" s="70"/>
      <c r="C188" s="70"/>
      <c r="D188" s="70"/>
      <c r="E188" s="70"/>
      <c r="F188" s="70"/>
      <c r="G188" s="70"/>
      <c r="H188" s="298"/>
      <c r="I188" s="70"/>
      <c r="J188" s="70"/>
      <c r="K188" s="146"/>
      <c r="L188" s="146"/>
      <c r="M188" s="146"/>
      <c r="N188" s="147"/>
      <c r="O188" s="147"/>
      <c r="P188" s="149"/>
      <c r="AV188" s="148"/>
      <c r="AW188" s="148"/>
    </row>
    <row r="189" spans="1:49" x14ac:dyDescent="0.3">
      <c r="A189" s="149"/>
      <c r="B189" s="149"/>
      <c r="C189" s="149"/>
      <c r="D189" s="149"/>
      <c r="E189" s="149"/>
      <c r="F189" s="70"/>
      <c r="G189" s="70"/>
      <c r="H189" s="298"/>
      <c r="I189" s="70"/>
      <c r="J189" s="70"/>
      <c r="K189" s="146"/>
      <c r="L189" s="146"/>
      <c r="M189" s="146"/>
      <c r="N189" s="147"/>
      <c r="O189" s="147"/>
      <c r="P189" s="149"/>
      <c r="AV189" s="148"/>
      <c r="AW189" s="148"/>
    </row>
    <row r="190" spans="1:49" x14ac:dyDescent="0.3">
      <c r="A190" s="149"/>
      <c r="B190" s="149"/>
      <c r="C190" s="149"/>
      <c r="D190" s="149"/>
      <c r="E190" s="149"/>
      <c r="F190" s="149"/>
      <c r="G190" s="149"/>
      <c r="H190" s="299"/>
      <c r="I190" s="70"/>
      <c r="J190" s="70"/>
      <c r="K190" s="146"/>
      <c r="L190" s="146"/>
      <c r="M190" s="146"/>
      <c r="N190" s="147"/>
      <c r="O190" s="147"/>
      <c r="P190" s="149"/>
      <c r="AV190" s="148"/>
      <c r="AW190" s="148"/>
    </row>
    <row r="191" spans="1:49" x14ac:dyDescent="0.3">
      <c r="A191" s="149"/>
      <c r="B191" s="149"/>
      <c r="C191" s="149"/>
      <c r="D191" s="149"/>
      <c r="E191" s="149"/>
      <c r="F191" s="149"/>
      <c r="G191" s="149"/>
      <c r="H191" s="299"/>
      <c r="I191" s="149"/>
      <c r="J191" s="149"/>
      <c r="K191" s="146"/>
      <c r="L191" s="146"/>
      <c r="M191" s="146"/>
      <c r="N191" s="147"/>
      <c r="O191" s="147"/>
      <c r="P191" s="149"/>
      <c r="AV191" s="148"/>
      <c r="AW191" s="148"/>
    </row>
    <row r="192" spans="1:49" x14ac:dyDescent="0.3">
      <c r="A192" s="149"/>
      <c r="B192" s="149"/>
      <c r="C192" s="149"/>
      <c r="D192" s="149"/>
      <c r="E192" s="149"/>
      <c r="F192" s="149"/>
      <c r="G192" s="149"/>
      <c r="H192" s="299"/>
      <c r="I192" s="149"/>
      <c r="J192" s="149"/>
      <c r="K192" s="146"/>
      <c r="L192" s="146"/>
      <c r="M192" s="146"/>
      <c r="N192" s="147"/>
      <c r="O192" s="147"/>
      <c r="AV192" s="148"/>
      <c r="AW192" s="148"/>
    </row>
    <row r="193" spans="1:49" x14ac:dyDescent="0.3">
      <c r="A193" s="149"/>
      <c r="B193" s="149"/>
      <c r="C193" s="149"/>
      <c r="D193" s="149"/>
      <c r="E193" s="149"/>
      <c r="F193" s="149"/>
      <c r="G193" s="149"/>
      <c r="H193" s="299"/>
      <c r="I193" s="149"/>
      <c r="J193" s="149"/>
      <c r="K193" s="146"/>
      <c r="L193" s="146"/>
      <c r="M193" s="146"/>
      <c r="N193" s="147"/>
      <c r="O193" s="147"/>
      <c r="AV193" s="148"/>
      <c r="AW193" s="148"/>
    </row>
    <row r="194" spans="1:49" x14ac:dyDescent="0.3">
      <c r="A194" s="149"/>
      <c r="B194" s="149"/>
      <c r="C194" s="149"/>
      <c r="D194" s="149"/>
      <c r="E194" s="149"/>
      <c r="F194" s="149"/>
      <c r="G194" s="149"/>
      <c r="H194" s="299"/>
      <c r="I194" s="149"/>
      <c r="J194" s="149"/>
      <c r="K194" s="146"/>
      <c r="L194" s="146"/>
      <c r="M194" s="146"/>
      <c r="O194" s="147"/>
      <c r="AV194" s="148"/>
      <c r="AW194" s="148"/>
    </row>
    <row r="195" spans="1:49" x14ac:dyDescent="0.3">
      <c r="A195" s="149"/>
      <c r="B195" s="149"/>
      <c r="C195" s="149"/>
      <c r="D195" s="149"/>
      <c r="E195" s="149"/>
      <c r="F195" s="149"/>
      <c r="G195" s="149"/>
      <c r="H195" s="299"/>
      <c r="I195" s="149"/>
      <c r="J195" s="149"/>
      <c r="K195" s="146"/>
      <c r="L195" s="146"/>
      <c r="M195" s="146"/>
      <c r="O195" s="147"/>
      <c r="AV195" s="148"/>
      <c r="AW195" s="148"/>
    </row>
    <row r="196" spans="1:49" x14ac:dyDescent="0.3">
      <c r="A196" s="149"/>
      <c r="B196" s="149"/>
      <c r="C196" s="149"/>
      <c r="D196" s="149"/>
      <c r="E196" s="149"/>
      <c r="F196" s="149"/>
      <c r="G196" s="149"/>
      <c r="H196" s="299"/>
      <c r="I196" s="149"/>
      <c r="J196" s="149"/>
      <c r="K196" s="146"/>
      <c r="L196" s="146"/>
      <c r="M196" s="146"/>
      <c r="O196" s="147"/>
      <c r="AV196" s="148"/>
      <c r="AW196" s="148"/>
    </row>
    <row r="197" spans="1:49" x14ac:dyDescent="0.3">
      <c r="A197" s="149"/>
      <c r="B197" s="149"/>
      <c r="C197" s="149"/>
      <c r="D197" s="149"/>
      <c r="E197" s="149"/>
      <c r="F197" s="149"/>
      <c r="G197" s="149"/>
      <c r="H197" s="299"/>
      <c r="I197" s="149"/>
      <c r="J197" s="149"/>
      <c r="K197" s="146"/>
      <c r="L197" s="146"/>
      <c r="M197" s="146"/>
      <c r="O197" s="147"/>
      <c r="AV197" s="148"/>
      <c r="AW197" s="148"/>
    </row>
    <row r="198" spans="1:49" x14ac:dyDescent="0.3">
      <c r="A198" s="149"/>
      <c r="B198" s="149"/>
      <c r="C198" s="149"/>
      <c r="D198" s="149"/>
      <c r="E198" s="149"/>
      <c r="F198" s="149"/>
      <c r="G198" s="149"/>
      <c r="H198" s="299"/>
      <c r="I198" s="149"/>
      <c r="J198" s="149"/>
      <c r="N198" s="148"/>
      <c r="O198" s="147"/>
    </row>
    <row r="199" spans="1:49" x14ac:dyDescent="0.3">
      <c r="A199" s="149"/>
      <c r="B199" s="149"/>
      <c r="C199" s="149"/>
      <c r="D199" s="149"/>
      <c r="E199" s="149"/>
      <c r="F199" s="149"/>
      <c r="G199" s="149"/>
      <c r="H199" s="299"/>
      <c r="I199" s="149"/>
      <c r="J199" s="14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69"/>
      <c r="AJ199" s="69"/>
      <c r="AK199" s="69"/>
      <c r="AL199" s="69"/>
      <c r="AM199" s="69"/>
      <c r="AN199" s="69"/>
      <c r="AO199" s="69"/>
      <c r="AP199" s="69"/>
      <c r="AQ199" s="69"/>
      <c r="AR199" s="69"/>
      <c r="AS199" s="69"/>
      <c r="AT199" s="69"/>
      <c r="AU199" s="69"/>
      <c r="AV199" s="148"/>
      <c r="AW199" s="148"/>
    </row>
    <row r="200" spans="1:49" x14ac:dyDescent="0.3">
      <c r="A200" s="149"/>
      <c r="B200" s="149"/>
      <c r="C200" s="149"/>
      <c r="D200" s="149"/>
      <c r="E200" s="149"/>
      <c r="F200" s="149"/>
      <c r="G200" s="149"/>
      <c r="H200" s="299"/>
      <c r="I200" s="149"/>
      <c r="J200" s="149"/>
    </row>
    <row r="201" spans="1:49" x14ac:dyDescent="0.3">
      <c r="A201" s="149"/>
      <c r="B201" s="149"/>
      <c r="C201" s="149"/>
      <c r="D201" s="149"/>
      <c r="E201" s="149"/>
      <c r="F201" s="149"/>
      <c r="G201" s="149"/>
      <c r="H201" s="299"/>
      <c r="I201" s="149"/>
      <c r="J201" s="149"/>
    </row>
    <row r="202" spans="1:49" x14ac:dyDescent="0.3">
      <c r="A202" s="149"/>
      <c r="B202" s="149"/>
      <c r="C202" s="149"/>
      <c r="D202" s="149"/>
      <c r="E202" s="149"/>
      <c r="F202" s="149"/>
      <c r="G202" s="149"/>
      <c r="H202" s="299"/>
      <c r="I202" s="149"/>
      <c r="J202" s="149"/>
    </row>
    <row r="203" spans="1:49" x14ac:dyDescent="0.3">
      <c r="A203" s="149"/>
      <c r="B203" s="149"/>
      <c r="C203" s="149"/>
      <c r="D203" s="149"/>
      <c r="E203" s="149"/>
      <c r="F203" s="149"/>
      <c r="G203" s="149"/>
      <c r="H203" s="299"/>
      <c r="I203" s="149"/>
      <c r="J203" s="149"/>
    </row>
    <row r="204" spans="1:49" x14ac:dyDescent="0.3">
      <c r="A204" s="149"/>
      <c r="B204" s="149"/>
      <c r="C204" s="149"/>
      <c r="D204" s="149"/>
      <c r="E204" s="149"/>
      <c r="F204" s="149"/>
      <c r="G204" s="149"/>
      <c r="H204" s="299"/>
      <c r="I204" s="149"/>
      <c r="J204" s="149"/>
    </row>
    <row r="205" spans="1:49" x14ac:dyDescent="0.3">
      <c r="A205" s="149"/>
      <c r="B205" s="149"/>
      <c r="C205" s="149"/>
      <c r="D205" s="149"/>
      <c r="E205" s="149"/>
      <c r="F205" s="149"/>
      <c r="G205" s="149"/>
      <c r="H205" s="299"/>
      <c r="I205" s="149"/>
      <c r="J205" s="149"/>
    </row>
    <row r="206" spans="1:49" x14ac:dyDescent="0.3">
      <c r="F206" s="149"/>
      <c r="G206" s="149"/>
      <c r="H206" s="299"/>
      <c r="I206" s="149"/>
      <c r="J206" s="149"/>
    </row>
    <row r="207" spans="1:49" x14ac:dyDescent="0.3">
      <c r="I207" s="149"/>
      <c r="J207" s="149"/>
    </row>
    <row r="211" spans="11:13" x14ac:dyDescent="0.3">
      <c r="K211" s="148"/>
      <c r="L211" s="148"/>
      <c r="M211" s="148"/>
    </row>
    <row r="1048536" spans="1:60" x14ac:dyDescent="0.3">
      <c r="P1048536" s="57"/>
    </row>
    <row r="1048543" spans="1:60" s="70" customFormat="1" x14ac:dyDescent="0.3">
      <c r="A1048543" s="148"/>
      <c r="B1048543" s="148"/>
      <c r="C1048543" s="148"/>
      <c r="D1048543" s="148"/>
      <c r="E1048543" s="148"/>
      <c r="F1048543" s="148"/>
      <c r="G1048543" s="148"/>
      <c r="H1048543" s="297"/>
      <c r="I1048543" s="148"/>
      <c r="J1048543" s="148"/>
      <c r="K1048543" s="150"/>
      <c r="L1048543" s="150"/>
      <c r="M1048543" s="150"/>
      <c r="N1048543" s="150"/>
      <c r="O1048543" s="150"/>
      <c r="P1048543" s="148"/>
      <c r="AV1048543" s="69"/>
      <c r="AW1048543" s="69"/>
      <c r="AX1048543" s="148"/>
      <c r="AY1048543" s="148"/>
      <c r="AZ1048543" s="148"/>
      <c r="BA1048543" s="148"/>
      <c r="BB1048543" s="148"/>
      <c r="BC1048543" s="148"/>
      <c r="BD1048543" s="148"/>
      <c r="BE1048543" s="148"/>
      <c r="BF1048543" s="148"/>
      <c r="BG1048543" s="148"/>
      <c r="BH1048543" s="148"/>
    </row>
  </sheetData>
  <mergeCells count="43">
    <mergeCell ref="N74:O74"/>
    <mergeCell ref="N68:O68"/>
    <mergeCell ref="N69:O69"/>
    <mergeCell ref="N70:O70"/>
    <mergeCell ref="N71:O71"/>
    <mergeCell ref="N72:O72"/>
    <mergeCell ref="N73:P73"/>
    <mergeCell ref="N67:O67"/>
    <mergeCell ref="E55:J55"/>
    <mergeCell ref="A56:J56"/>
    <mergeCell ref="A58:E58"/>
    <mergeCell ref="N58:P58"/>
    <mergeCell ref="N59:O59"/>
    <mergeCell ref="N60:O60"/>
    <mergeCell ref="N61:P62"/>
    <mergeCell ref="N63:P63"/>
    <mergeCell ref="N64:O64"/>
    <mergeCell ref="N65:O65"/>
    <mergeCell ref="N66:O66"/>
    <mergeCell ref="E54:J54"/>
    <mergeCell ref="A43:P43"/>
    <mergeCell ref="E44:J44"/>
    <mergeCell ref="E45:J45"/>
    <mergeCell ref="E46:J46"/>
    <mergeCell ref="E47:J47"/>
    <mergeCell ref="E48:J48"/>
    <mergeCell ref="E49:J49"/>
    <mergeCell ref="E50:J50"/>
    <mergeCell ref="E51:J51"/>
    <mergeCell ref="E52:J52"/>
    <mergeCell ref="E53:J53"/>
    <mergeCell ref="A42:N42"/>
    <mergeCell ref="A1:P1"/>
    <mergeCell ref="A2:P2"/>
    <mergeCell ref="A6:B6"/>
    <mergeCell ref="A7:P7"/>
    <mergeCell ref="A36:B36"/>
    <mergeCell ref="A37:P37"/>
    <mergeCell ref="E38:J38"/>
    <mergeCell ref="E39:J39"/>
    <mergeCell ref="E40:J40"/>
    <mergeCell ref="A41:J41"/>
    <mergeCell ref="N41:P41"/>
  </mergeCells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8831B-2E55-41D9-84BA-CE8FB4D4CF7F}">
  <dimension ref="A1:BH1048544"/>
  <sheetViews>
    <sheetView zoomScale="60" zoomScaleNormal="60" workbookViewId="0">
      <selection activeCell="F12" sqref="F12"/>
    </sheetView>
  </sheetViews>
  <sheetFormatPr defaultColWidth="9.109375" defaultRowHeight="13.8" x14ac:dyDescent="0.3"/>
  <cols>
    <col min="1" max="1" width="50.6640625" style="148" bestFit="1" customWidth="1"/>
    <col min="2" max="2" width="8.33203125" style="148" bestFit="1" customWidth="1"/>
    <col min="3" max="3" width="17.33203125" style="148" customWidth="1"/>
    <col min="4" max="4" width="17.109375" style="148" bestFit="1" customWidth="1"/>
    <col min="5" max="5" width="18.33203125" style="148" customWidth="1"/>
    <col min="6" max="6" width="17.109375" style="148" bestFit="1" customWidth="1"/>
    <col min="7" max="7" width="16" style="148" bestFit="1" customWidth="1"/>
    <col min="8" max="8" width="15.88671875" style="297" bestFit="1" customWidth="1"/>
    <col min="9" max="9" width="12.6640625" style="148" customWidth="1"/>
    <col min="10" max="10" width="15.77734375" style="148" customWidth="1"/>
    <col min="11" max="11" width="16.77734375" style="150" bestFit="1" customWidth="1"/>
    <col min="12" max="12" width="15.88671875" style="150" bestFit="1" customWidth="1"/>
    <col min="13" max="13" width="17.109375" style="150" bestFit="1" customWidth="1"/>
    <col min="14" max="14" width="130.5546875" style="150" customWidth="1"/>
    <col min="15" max="15" width="8.6640625" style="150" customWidth="1"/>
    <col min="16" max="16" width="16.77734375" style="148" bestFit="1" customWidth="1"/>
    <col min="17" max="18" width="13.109375" style="70" bestFit="1" customWidth="1"/>
    <col min="19" max="47" width="9.109375" style="70"/>
    <col min="48" max="49" width="9.109375" style="69"/>
    <col min="50" max="16384" width="9.109375" style="148"/>
  </cols>
  <sheetData>
    <row r="1" spans="1:42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</row>
    <row r="2" spans="1:42" s="10" customFormat="1" ht="28.5" customHeight="1" x14ac:dyDescent="0.3">
      <c r="A2" s="571" t="s">
        <v>1261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3"/>
    </row>
    <row r="3" spans="1:42" s="10" customFormat="1" ht="33.6" customHeight="1" x14ac:dyDescent="0.3">
      <c r="A3" s="83" t="s">
        <v>3</v>
      </c>
      <c r="B3" s="83" t="s">
        <v>0</v>
      </c>
      <c r="C3" s="83" t="s">
        <v>821</v>
      </c>
      <c r="D3" s="84" t="s">
        <v>1</v>
      </c>
      <c r="E3" s="84" t="s">
        <v>68</v>
      </c>
      <c r="F3" s="84" t="s">
        <v>69</v>
      </c>
      <c r="G3" s="85" t="s">
        <v>2</v>
      </c>
      <c r="H3" s="85" t="s">
        <v>592</v>
      </c>
      <c r="I3" s="84" t="s">
        <v>6</v>
      </c>
      <c r="J3" s="84" t="s">
        <v>7</v>
      </c>
      <c r="K3" s="84" t="s">
        <v>4</v>
      </c>
      <c r="L3" s="84" t="s">
        <v>5</v>
      </c>
      <c r="M3" s="84" t="s">
        <v>70</v>
      </c>
      <c r="N3" s="83" t="s">
        <v>59</v>
      </c>
      <c r="O3" s="86" t="s">
        <v>8</v>
      </c>
      <c r="P3" s="86" t="s">
        <v>10</v>
      </c>
    </row>
    <row r="4" spans="1:42" s="398" customFormat="1" ht="24.6" customHeight="1" x14ac:dyDescent="0.3">
      <c r="A4" s="88" t="s">
        <v>1252</v>
      </c>
      <c r="B4" s="390">
        <v>26</v>
      </c>
      <c r="C4" s="390" t="s">
        <v>1253</v>
      </c>
      <c r="D4" s="5">
        <f>660</f>
        <v>660</v>
      </c>
      <c r="E4" s="401">
        <v>0</v>
      </c>
      <c r="F4" s="5">
        <f t="shared" ref="F4" si="0">D4-E4</f>
        <v>660</v>
      </c>
      <c r="G4" s="421">
        <v>0</v>
      </c>
      <c r="H4" s="401">
        <f>(1665.9/27)</f>
        <v>61.7</v>
      </c>
      <c r="I4" s="401">
        <f>'[2]GERAL 2025'!I42</f>
        <v>1.3720449172576832</v>
      </c>
      <c r="J4" s="401">
        <v>0</v>
      </c>
      <c r="K4" s="392">
        <f>SUM(F4:J4)</f>
        <v>723.0720449172577</v>
      </c>
      <c r="L4" s="401">
        <f>60%*(D4+G4)</f>
        <v>396</v>
      </c>
      <c r="M4" s="401">
        <f>K4-L4</f>
        <v>327.0720449172577</v>
      </c>
      <c r="N4" s="390" t="s">
        <v>1262</v>
      </c>
      <c r="O4" s="3">
        <v>10</v>
      </c>
      <c r="P4" s="3">
        <v>11</v>
      </c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422"/>
      <c r="AM4" s="423"/>
      <c r="AN4" s="423"/>
      <c r="AO4" s="423"/>
      <c r="AP4" s="423"/>
    </row>
    <row r="5" spans="1:42" s="206" customFormat="1" ht="24.6" customHeight="1" x14ac:dyDescent="0.3">
      <c r="A5" s="195"/>
      <c r="B5" s="386"/>
      <c r="C5" s="386"/>
      <c r="D5" s="196">
        <v>0</v>
      </c>
      <c r="E5" s="397">
        <v>0</v>
      </c>
      <c r="F5" s="196">
        <f>D5-E5</f>
        <v>0</v>
      </c>
      <c r="G5" s="397">
        <v>0</v>
      </c>
      <c r="H5" s="397">
        <v>0</v>
      </c>
      <c r="I5" s="397">
        <v>0</v>
      </c>
      <c r="J5" s="397">
        <v>0</v>
      </c>
      <c r="K5" s="387">
        <f>SUM(F5:J5)</f>
        <v>0</v>
      </c>
      <c r="L5" s="397">
        <f>60%*(D5+G5)</f>
        <v>0</v>
      </c>
      <c r="M5" s="397">
        <f>K5-L5</f>
        <v>0</v>
      </c>
      <c r="N5" s="386"/>
      <c r="O5" s="197"/>
      <c r="P5" s="197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</row>
    <row r="6" spans="1:42" s="10" customFormat="1" ht="25.05" customHeight="1" x14ac:dyDescent="0.3">
      <c r="A6" s="518" t="s">
        <v>4</v>
      </c>
      <c r="B6" s="518"/>
      <c r="C6" s="389"/>
      <c r="D6" s="392">
        <f>SUM(D4:D5)</f>
        <v>660</v>
      </c>
      <c r="E6" s="392">
        <f t="shared" ref="E6:J6" si="1">SUM(E4:E5)</f>
        <v>0</v>
      </c>
      <c r="F6" s="392">
        <f t="shared" si="1"/>
        <v>660</v>
      </c>
      <c r="G6" s="392">
        <f t="shared" si="1"/>
        <v>0</v>
      </c>
      <c r="H6" s="392">
        <f t="shared" si="1"/>
        <v>61.7</v>
      </c>
      <c r="I6" s="392">
        <f t="shared" si="1"/>
        <v>1.3720449172576832</v>
      </c>
      <c r="J6" s="392">
        <f t="shared" si="1"/>
        <v>0</v>
      </c>
      <c r="K6" s="392">
        <f>SUM(K4:K5)</f>
        <v>723.0720449172577</v>
      </c>
      <c r="L6" s="392">
        <f>SUM(L4:L5)</f>
        <v>396</v>
      </c>
      <c r="M6" s="392">
        <f>SUM(M4:M5)</f>
        <v>327.0720449172577</v>
      </c>
      <c r="N6" s="390"/>
      <c r="O6" s="3"/>
      <c r="P6" s="3"/>
    </row>
    <row r="7" spans="1:42" s="10" customFormat="1" ht="25.05" customHeight="1" x14ac:dyDescent="0.3">
      <c r="A7" s="571" t="s">
        <v>1263</v>
      </c>
      <c r="B7" s="572"/>
      <c r="C7" s="572"/>
      <c r="D7" s="572"/>
      <c r="E7" s="572"/>
      <c r="F7" s="572"/>
      <c r="G7" s="572"/>
      <c r="H7" s="572"/>
      <c r="I7" s="572"/>
      <c r="J7" s="572"/>
      <c r="K7" s="572"/>
      <c r="L7" s="572"/>
      <c r="M7" s="572"/>
      <c r="N7" s="572"/>
      <c r="O7" s="572"/>
      <c r="P7" s="573"/>
    </row>
    <row r="8" spans="1:42" s="11" customFormat="1" ht="34.799999999999997" customHeight="1" x14ac:dyDescent="0.3">
      <c r="A8" s="83" t="s">
        <v>3</v>
      </c>
      <c r="B8" s="83" t="s">
        <v>0</v>
      </c>
      <c r="C8" s="83" t="s">
        <v>821</v>
      </c>
      <c r="D8" s="84" t="s">
        <v>1</v>
      </c>
      <c r="E8" s="84" t="s">
        <v>68</v>
      </c>
      <c r="F8" s="84" t="s">
        <v>69</v>
      </c>
      <c r="G8" s="85" t="s">
        <v>2</v>
      </c>
      <c r="H8" s="85" t="s">
        <v>592</v>
      </c>
      <c r="I8" s="84" t="s">
        <v>6</v>
      </c>
      <c r="J8" s="84" t="s">
        <v>7</v>
      </c>
      <c r="K8" s="84" t="s">
        <v>4</v>
      </c>
      <c r="L8" s="84" t="s">
        <v>5</v>
      </c>
      <c r="M8" s="84" t="s">
        <v>70</v>
      </c>
      <c r="N8" s="83" t="s">
        <v>59</v>
      </c>
      <c r="O8" s="86" t="s">
        <v>8</v>
      </c>
      <c r="P8" s="86" t="s">
        <v>10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</row>
    <row r="9" spans="1:42" s="395" customFormat="1" ht="24.6" customHeight="1" x14ac:dyDescent="0.3">
      <c r="A9" s="88" t="s">
        <v>1079</v>
      </c>
      <c r="B9" s="390">
        <v>1</v>
      </c>
      <c r="C9" s="390" t="s">
        <v>830</v>
      </c>
      <c r="D9" s="5">
        <f>'[2]GERAL 2025'!G3</f>
        <v>610</v>
      </c>
      <c r="E9" s="401">
        <v>0</v>
      </c>
      <c r="F9" s="401">
        <f t="shared" ref="F9:F25" si="2">D9-E9</f>
        <v>610</v>
      </c>
      <c r="G9" s="5">
        <v>50</v>
      </c>
      <c r="H9" s="401">
        <f>(1665.9/27)</f>
        <v>61.7</v>
      </c>
      <c r="I9" s="401">
        <f>'[2]GERAL 2025'!I3</f>
        <v>1.3720449172576832</v>
      </c>
      <c r="J9" s="401">
        <v>0</v>
      </c>
      <c r="K9" s="392">
        <f t="shared" ref="K9:K35" si="3">SUM(F9:J9)</f>
        <v>723.0720449172577</v>
      </c>
      <c r="L9" s="401">
        <f>7%*K9</f>
        <v>50.615043144208045</v>
      </c>
      <c r="M9" s="401">
        <f>K9-L9</f>
        <v>672.45700177304968</v>
      </c>
      <c r="N9" s="5" t="s">
        <v>1264</v>
      </c>
      <c r="O9" s="3">
        <v>10</v>
      </c>
      <c r="P9" s="3">
        <v>11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s="96" customFormat="1" ht="26.4" customHeight="1" x14ac:dyDescent="0.3">
      <c r="A10" s="390" t="s">
        <v>1210</v>
      </c>
      <c r="B10" s="398">
        <v>2</v>
      </c>
      <c r="C10" s="390" t="s">
        <v>822</v>
      </c>
      <c r="D10" s="5">
        <f>660</f>
        <v>660</v>
      </c>
      <c r="E10" s="5">
        <v>0</v>
      </c>
      <c r="F10" s="5">
        <f t="shared" si="2"/>
        <v>660</v>
      </c>
      <c r="G10" s="5">
        <f>50</f>
        <v>50</v>
      </c>
      <c r="H10" s="401">
        <f>(1665.9/27)</f>
        <v>61.7</v>
      </c>
      <c r="I10" s="401">
        <f>'[2]GERAL 2025'!I40</f>
        <v>1.3720449172576832</v>
      </c>
      <c r="J10" s="5">
        <v>0</v>
      </c>
      <c r="K10" s="392">
        <f t="shared" si="3"/>
        <v>773.0720449172577</v>
      </c>
      <c r="L10" s="401">
        <f>7%*K10</f>
        <v>54.115043144208045</v>
      </c>
      <c r="M10" s="401">
        <f t="shared" ref="M10:M34" si="4">K10-L10</f>
        <v>718.95700177304968</v>
      </c>
      <c r="N10" s="390" t="s">
        <v>1265</v>
      </c>
      <c r="O10" s="3">
        <v>10</v>
      </c>
      <c r="P10" s="3">
        <v>11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16"/>
      <c r="AM10" s="17"/>
      <c r="AN10" s="17"/>
      <c r="AO10" s="17"/>
      <c r="AP10" s="17"/>
    </row>
    <row r="11" spans="1:42" s="6" customFormat="1" ht="24.6" customHeight="1" x14ac:dyDescent="0.3">
      <c r="A11" s="390" t="s">
        <v>1005</v>
      </c>
      <c r="B11" s="398">
        <v>3</v>
      </c>
      <c r="C11" s="390" t="s">
        <v>822</v>
      </c>
      <c r="D11" s="5">
        <v>0</v>
      </c>
      <c r="E11" s="5">
        <v>0</v>
      </c>
      <c r="F11" s="5">
        <f t="shared" si="2"/>
        <v>0</v>
      </c>
      <c r="G11" s="5"/>
      <c r="H11" s="401">
        <v>0</v>
      </c>
      <c r="I11" s="401">
        <v>0</v>
      </c>
      <c r="J11" s="5">
        <v>0</v>
      </c>
      <c r="K11" s="392">
        <f t="shared" si="3"/>
        <v>0</v>
      </c>
      <c r="L11" s="401">
        <f>7%*K11</f>
        <v>0</v>
      </c>
      <c r="M11" s="401">
        <f>K11-L11</f>
        <v>0</v>
      </c>
      <c r="N11" s="5" t="s">
        <v>179</v>
      </c>
      <c r="O11" s="3">
        <v>10</v>
      </c>
      <c r="P11" s="3">
        <v>11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</row>
    <row r="12" spans="1:42" s="395" customFormat="1" ht="24.6" customHeight="1" x14ac:dyDescent="0.3">
      <c r="A12" s="390" t="s">
        <v>1133</v>
      </c>
      <c r="B12" s="390">
        <v>4</v>
      </c>
      <c r="C12" s="390" t="s">
        <v>829</v>
      </c>
      <c r="D12" s="5">
        <f>660</f>
        <v>660</v>
      </c>
      <c r="E12" s="5">
        <v>0</v>
      </c>
      <c r="F12" s="5">
        <f t="shared" si="2"/>
        <v>660</v>
      </c>
      <c r="G12" s="401">
        <f>50</f>
        <v>50</v>
      </c>
      <c r="H12" s="401">
        <f t="shared" ref="H12:H35" si="5">(1665.9/27)</f>
        <v>61.7</v>
      </c>
      <c r="I12" s="401">
        <f>'[2]GERAL 2025'!I34</f>
        <v>1.3720449172576832</v>
      </c>
      <c r="J12" s="401">
        <v>0</v>
      </c>
      <c r="K12" s="392">
        <f t="shared" si="3"/>
        <v>773.0720449172577</v>
      </c>
      <c r="L12" s="401">
        <f>7%*K12</f>
        <v>54.115043144208045</v>
      </c>
      <c r="M12" s="401">
        <f t="shared" si="4"/>
        <v>718.95700177304968</v>
      </c>
      <c r="N12" s="390" t="s">
        <v>1265</v>
      </c>
      <c r="O12" s="3">
        <v>10</v>
      </c>
      <c r="P12" s="398">
        <v>11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s="395" customFormat="1" ht="24.6" customHeight="1" x14ac:dyDescent="0.3">
      <c r="A13" s="390" t="s">
        <v>744</v>
      </c>
      <c r="B13" s="390">
        <v>5</v>
      </c>
      <c r="C13" s="390" t="s">
        <v>823</v>
      </c>
      <c r="D13" s="5">
        <f>'[2]GERAL 2023'!G7+(6.53784 %*580)</f>
        <v>617.91947200000004</v>
      </c>
      <c r="E13" s="401">
        <v>0</v>
      </c>
      <c r="F13" s="401">
        <f t="shared" si="2"/>
        <v>617.91947200000004</v>
      </c>
      <c r="G13" s="401">
        <f>50</f>
        <v>50</v>
      </c>
      <c r="H13" s="401">
        <f t="shared" si="5"/>
        <v>61.7</v>
      </c>
      <c r="I13" s="401">
        <f>'[2]GERAL 2025'!I7</f>
        <v>1.3720449172576832</v>
      </c>
      <c r="J13" s="401">
        <v>0</v>
      </c>
      <c r="K13" s="392">
        <f t="shared" si="3"/>
        <v>730.99151691725774</v>
      </c>
      <c r="L13" s="401">
        <f>7%*K13</f>
        <v>51.16940618420805</v>
      </c>
      <c r="M13" s="401">
        <f t="shared" si="4"/>
        <v>679.82211073304973</v>
      </c>
      <c r="N13" s="390" t="s">
        <v>1265</v>
      </c>
      <c r="O13" s="3">
        <v>10</v>
      </c>
      <c r="P13" s="3">
        <v>11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s="11" customFormat="1" ht="24.6" customHeight="1" x14ac:dyDescent="0.3">
      <c r="A14" s="390" t="s">
        <v>745</v>
      </c>
      <c r="B14" s="390">
        <v>6</v>
      </c>
      <c r="C14" s="390" t="s">
        <v>823</v>
      </c>
      <c r="D14" s="5">
        <f>'[2]GERAL 2023'!G8+(6.53784%*680)</f>
        <v>724.457312</v>
      </c>
      <c r="E14" s="5">
        <v>0</v>
      </c>
      <c r="F14" s="401">
        <f t="shared" si="2"/>
        <v>724.457312</v>
      </c>
      <c r="G14" s="401">
        <v>50</v>
      </c>
      <c r="H14" s="401">
        <f t="shared" si="5"/>
        <v>61.7</v>
      </c>
      <c r="I14" s="401">
        <f>'[2]GERAL 2025'!I8</f>
        <v>1.9208628841607567</v>
      </c>
      <c r="J14" s="401">
        <v>0</v>
      </c>
      <c r="K14" s="392">
        <f t="shared" si="3"/>
        <v>838.07817488416083</v>
      </c>
      <c r="L14" s="401">
        <f t="shared" ref="L14:L35" si="6">7%*K14</f>
        <v>58.665472241891266</v>
      </c>
      <c r="M14" s="401">
        <f>K14-L14</f>
        <v>779.41270264226955</v>
      </c>
      <c r="N14" s="390" t="s">
        <v>1265</v>
      </c>
      <c r="O14" s="3">
        <v>10</v>
      </c>
      <c r="P14" s="3">
        <v>11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</row>
    <row r="15" spans="1:42" s="395" customFormat="1" ht="24.6" customHeight="1" x14ac:dyDescent="0.3">
      <c r="A15" s="390" t="s">
        <v>1136</v>
      </c>
      <c r="B15" s="390">
        <v>7</v>
      </c>
      <c r="C15" s="390" t="s">
        <v>829</v>
      </c>
      <c r="D15" s="5">
        <v>0</v>
      </c>
      <c r="E15" s="5">
        <v>0</v>
      </c>
      <c r="F15" s="5">
        <f t="shared" si="2"/>
        <v>0</v>
      </c>
      <c r="G15" s="5">
        <v>0</v>
      </c>
      <c r="H15" s="401">
        <v>0</v>
      </c>
      <c r="I15" s="401">
        <v>0</v>
      </c>
      <c r="J15" s="5">
        <v>0</v>
      </c>
      <c r="K15" s="392">
        <f t="shared" si="3"/>
        <v>0</v>
      </c>
      <c r="L15" s="401">
        <f>7%*K15</f>
        <v>0</v>
      </c>
      <c r="M15" s="401">
        <f>K15-L15</f>
        <v>0</v>
      </c>
      <c r="N15" s="5" t="s">
        <v>179</v>
      </c>
      <c r="O15" s="3">
        <v>10</v>
      </c>
      <c r="P15" s="3">
        <v>11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s="395" customFormat="1" ht="24.6" customHeight="1" x14ac:dyDescent="0.3">
      <c r="A16" s="390" t="s">
        <v>1085</v>
      </c>
      <c r="B16" s="390">
        <v>8</v>
      </c>
      <c r="C16" s="390" t="s">
        <v>830</v>
      </c>
      <c r="D16" s="5">
        <f>'[2]GERAL 2025'!G10</f>
        <v>640</v>
      </c>
      <c r="E16" s="401">
        <v>0</v>
      </c>
      <c r="F16" s="5">
        <f t="shared" si="2"/>
        <v>640</v>
      </c>
      <c r="G16" s="401">
        <v>0</v>
      </c>
      <c r="H16" s="401">
        <f t="shared" si="5"/>
        <v>61.7</v>
      </c>
      <c r="I16" s="401">
        <f>'[2]GERAL 2025'!I10</f>
        <v>1.3720449172576832</v>
      </c>
      <c r="J16" s="401">
        <v>0</v>
      </c>
      <c r="K16" s="392">
        <f t="shared" si="3"/>
        <v>703.0720449172577</v>
      </c>
      <c r="L16" s="401">
        <f>7%*K16</f>
        <v>49.215043144208046</v>
      </c>
      <c r="M16" s="401">
        <f>K16-L16</f>
        <v>653.85700177304966</v>
      </c>
      <c r="N16" s="5" t="s">
        <v>1262</v>
      </c>
      <c r="O16" s="3">
        <v>10</v>
      </c>
      <c r="P16" s="3">
        <v>11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7" s="395" customFormat="1" ht="24.6" customHeight="1" x14ac:dyDescent="0.3">
      <c r="A17" s="390" t="s">
        <v>852</v>
      </c>
      <c r="B17" s="390">
        <v>9</v>
      </c>
      <c r="C17" s="390" t="s">
        <v>828</v>
      </c>
      <c r="D17" s="5">
        <f>640+(5.59268%*640)</f>
        <v>675.79315199999996</v>
      </c>
      <c r="E17" s="401">
        <v>0</v>
      </c>
      <c r="F17" s="5">
        <f t="shared" si="2"/>
        <v>675.79315199999996</v>
      </c>
      <c r="G17" s="401">
        <v>0</v>
      </c>
      <c r="H17" s="401">
        <f t="shared" si="5"/>
        <v>61.7</v>
      </c>
      <c r="I17" s="401">
        <f>'[2]GERAL 2025'!I11</f>
        <v>1.3720449172576832</v>
      </c>
      <c r="J17" s="401">
        <v>0</v>
      </c>
      <c r="K17" s="392">
        <f t="shared" si="3"/>
        <v>738.86519691725766</v>
      </c>
      <c r="L17" s="401">
        <f>7%*K17</f>
        <v>51.720563784208039</v>
      </c>
      <c r="M17" s="401">
        <f>K17-L17</f>
        <v>687.14463313304964</v>
      </c>
      <c r="N17" s="390" t="s">
        <v>1262</v>
      </c>
      <c r="O17" s="125">
        <v>10</v>
      </c>
      <c r="P17" s="3">
        <v>11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7" s="69" customFormat="1" ht="24.6" customHeight="1" x14ac:dyDescent="0.3">
      <c r="A18" s="398" t="s">
        <v>739</v>
      </c>
      <c r="B18" s="398">
        <v>10</v>
      </c>
      <c r="C18" s="398" t="s">
        <v>825</v>
      </c>
      <c r="D18" s="5">
        <f>588.62</f>
        <v>588.62</v>
      </c>
      <c r="E18" s="401">
        <v>0</v>
      </c>
      <c r="F18" s="5">
        <f t="shared" si="2"/>
        <v>588.62</v>
      </c>
      <c r="G18" s="401">
        <v>26.76</v>
      </c>
      <c r="H18" s="401">
        <f t="shared" si="5"/>
        <v>61.7</v>
      </c>
      <c r="I18" s="401">
        <f>'[2]GERAL 2025'!I12</f>
        <v>1.3720449172576832</v>
      </c>
      <c r="J18" s="401">
        <v>0</v>
      </c>
      <c r="K18" s="392">
        <f t="shared" si="3"/>
        <v>678.45204491725769</v>
      </c>
      <c r="L18" s="401">
        <f t="shared" si="6"/>
        <v>47.491643144208041</v>
      </c>
      <c r="M18" s="401">
        <f t="shared" si="4"/>
        <v>630.96040177304963</v>
      </c>
      <c r="N18" s="5" t="s">
        <v>1266</v>
      </c>
      <c r="O18" s="3">
        <v>10</v>
      </c>
      <c r="P18" s="398">
        <v>11</v>
      </c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</row>
    <row r="19" spans="1:47" s="69" customFormat="1" ht="24.6" customHeight="1" x14ac:dyDescent="0.3">
      <c r="A19" s="398" t="s">
        <v>1192</v>
      </c>
      <c r="B19" s="398">
        <v>11</v>
      </c>
      <c r="C19" s="398" t="s">
        <v>825</v>
      </c>
      <c r="D19" s="401">
        <f>660</f>
        <v>660</v>
      </c>
      <c r="E19" s="401">
        <v>0</v>
      </c>
      <c r="F19" s="5">
        <f t="shared" si="2"/>
        <v>660</v>
      </c>
      <c r="G19" s="401">
        <f>25</f>
        <v>25</v>
      </c>
      <c r="H19" s="401">
        <f>(1665.9/27)</f>
        <v>61.7</v>
      </c>
      <c r="I19" s="401">
        <f>'[2]GERAL 2025'!I38</f>
        <v>1.3720449172576832</v>
      </c>
      <c r="J19" s="401">
        <v>0</v>
      </c>
      <c r="K19" s="392">
        <f t="shared" si="3"/>
        <v>748.0720449172577</v>
      </c>
      <c r="L19" s="401">
        <f>7%*K19</f>
        <v>52.365043144208045</v>
      </c>
      <c r="M19" s="401">
        <f>K19-L19</f>
        <v>695.70700177304968</v>
      </c>
      <c r="N19" s="5" t="s">
        <v>1266</v>
      </c>
      <c r="O19" s="3">
        <v>10</v>
      </c>
      <c r="P19" s="398">
        <v>11</v>
      </c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</row>
    <row r="20" spans="1:47" s="395" customFormat="1" ht="24" customHeight="1" x14ac:dyDescent="0.3">
      <c r="A20" s="390" t="s">
        <v>1087</v>
      </c>
      <c r="B20" s="390">
        <v>12</v>
      </c>
      <c r="C20" s="390" t="s">
        <v>830</v>
      </c>
      <c r="D20" s="5">
        <f>'[2]GERAL 2025'!G14</f>
        <v>610</v>
      </c>
      <c r="E20" s="401">
        <v>0</v>
      </c>
      <c r="F20" s="5">
        <f t="shared" si="2"/>
        <v>610</v>
      </c>
      <c r="G20" s="5">
        <v>50</v>
      </c>
      <c r="H20" s="401">
        <f t="shared" si="5"/>
        <v>61.7</v>
      </c>
      <c r="I20" s="401">
        <f>'[2]GERAL 2025'!I14</f>
        <v>1.3720449172576832</v>
      </c>
      <c r="J20" s="5">
        <v>0</v>
      </c>
      <c r="K20" s="392">
        <f t="shared" si="3"/>
        <v>723.0720449172577</v>
      </c>
      <c r="L20" s="401">
        <f t="shared" si="6"/>
        <v>50.615043144208045</v>
      </c>
      <c r="M20" s="401">
        <f t="shared" si="4"/>
        <v>672.45700177304968</v>
      </c>
      <c r="N20" s="5" t="s">
        <v>1265</v>
      </c>
      <c r="O20" s="3">
        <v>10</v>
      </c>
      <c r="P20" s="3">
        <v>11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pans="1:47" s="11" customFormat="1" ht="24.6" customHeight="1" x14ac:dyDescent="0.3">
      <c r="A21" s="390" t="s">
        <v>756</v>
      </c>
      <c r="B21" s="390">
        <v>13</v>
      </c>
      <c r="C21" s="390" t="s">
        <v>827</v>
      </c>
      <c r="D21" s="5">
        <v>596.77</v>
      </c>
      <c r="E21" s="5">
        <v>0</v>
      </c>
      <c r="F21" s="5">
        <f t="shared" si="2"/>
        <v>596.77</v>
      </c>
      <c r="G21" s="401">
        <v>0</v>
      </c>
      <c r="H21" s="401">
        <f t="shared" si="5"/>
        <v>61.7</v>
      </c>
      <c r="I21" s="401">
        <f>'[2]GERAL 2025'!I15</f>
        <v>1.3720449172576832</v>
      </c>
      <c r="J21" s="401">
        <v>0</v>
      </c>
      <c r="K21" s="392">
        <f t="shared" si="3"/>
        <v>659.84204491725768</v>
      </c>
      <c r="L21" s="401">
        <f t="shared" si="6"/>
        <v>46.188943144208039</v>
      </c>
      <c r="M21" s="401">
        <f t="shared" si="4"/>
        <v>613.65310177304968</v>
      </c>
      <c r="N21" s="390" t="s">
        <v>1262</v>
      </c>
      <c r="O21" s="3">
        <v>10</v>
      </c>
      <c r="P21" s="3">
        <v>11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</row>
    <row r="22" spans="1:47" s="69" customFormat="1" ht="24.6" customHeight="1" x14ac:dyDescent="0.3">
      <c r="A22" s="3" t="s">
        <v>977</v>
      </c>
      <c r="B22" s="398">
        <v>14</v>
      </c>
      <c r="C22" s="390" t="s">
        <v>827</v>
      </c>
      <c r="D22" s="5">
        <f>657.82/31*3</f>
        <v>63.660000000000011</v>
      </c>
      <c r="E22" s="401">
        <v>0</v>
      </c>
      <c r="F22" s="5">
        <f t="shared" si="2"/>
        <v>63.660000000000011</v>
      </c>
      <c r="G22" s="401">
        <f>54.25/31*3</f>
        <v>5.25</v>
      </c>
      <c r="H22" s="401">
        <f>(1665.9/27)/31*3</f>
        <v>5.9709677419354845</v>
      </c>
      <c r="I22" s="401">
        <f>'[2]GERAL 2025'!I16/31*3</f>
        <v>0.13277854037977579</v>
      </c>
      <c r="J22" s="401">
        <v>0</v>
      </c>
      <c r="K22" s="392">
        <f t="shared" si="3"/>
        <v>75.013746282315267</v>
      </c>
      <c r="L22" s="401">
        <f t="shared" si="6"/>
        <v>5.2509622397620692</v>
      </c>
      <c r="M22" s="401">
        <f t="shared" si="4"/>
        <v>69.762784042553193</v>
      </c>
      <c r="N22" s="390" t="s">
        <v>1267</v>
      </c>
      <c r="O22" s="3">
        <v>10</v>
      </c>
      <c r="P22" s="398">
        <v>11</v>
      </c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</row>
    <row r="23" spans="1:47" s="6" customFormat="1" ht="24.6" customHeight="1" x14ac:dyDescent="0.3">
      <c r="A23" s="390" t="s">
        <v>748</v>
      </c>
      <c r="B23" s="390">
        <v>15</v>
      </c>
      <c r="C23" s="390" t="s">
        <v>827</v>
      </c>
      <c r="D23" s="5">
        <v>737.83</v>
      </c>
      <c r="E23" s="401">
        <v>0</v>
      </c>
      <c r="F23" s="5">
        <f t="shared" si="2"/>
        <v>737.83</v>
      </c>
      <c r="G23" s="401">
        <v>27.13</v>
      </c>
      <c r="H23" s="401">
        <f t="shared" si="5"/>
        <v>61.7</v>
      </c>
      <c r="I23" s="401">
        <f>'[2]GERAL 2025'!I17</f>
        <v>1.9208628841607567</v>
      </c>
      <c r="J23" s="401">
        <v>0</v>
      </c>
      <c r="K23" s="392">
        <f t="shared" si="3"/>
        <v>828.58086288416087</v>
      </c>
      <c r="L23" s="401">
        <f t="shared" si="6"/>
        <v>58.000660401891267</v>
      </c>
      <c r="M23" s="401">
        <f t="shared" si="4"/>
        <v>770.58020248226956</v>
      </c>
      <c r="N23" s="390" t="s">
        <v>1266</v>
      </c>
      <c r="O23" s="3">
        <v>10</v>
      </c>
      <c r="P23" s="398">
        <v>11</v>
      </c>
      <c r="Q23" s="9"/>
      <c r="R23" s="9"/>
      <c r="S23" s="9"/>
      <c r="T23" s="9"/>
      <c r="U23" s="9"/>
      <c r="V23" s="9"/>
      <c r="W23" s="9"/>
      <c r="X23" s="9"/>
      <c r="Y23" s="9"/>
    </row>
    <row r="24" spans="1:47" s="11" customFormat="1" ht="24.6" customHeight="1" x14ac:dyDescent="0.3">
      <c r="A24" s="3" t="s">
        <v>1195</v>
      </c>
      <c r="B24" s="3">
        <v>16</v>
      </c>
      <c r="C24" s="398" t="s">
        <v>825</v>
      </c>
      <c r="D24" s="5">
        <f>690</f>
        <v>690</v>
      </c>
      <c r="E24" s="401">
        <v>0</v>
      </c>
      <c r="F24" s="5">
        <f>D24-E24</f>
        <v>690</v>
      </c>
      <c r="G24" s="401">
        <v>0</v>
      </c>
      <c r="H24" s="401">
        <f>(1665.9/27)</f>
        <v>61.7</v>
      </c>
      <c r="I24" s="401">
        <f>'[2]GERAL 2025'!I39</f>
        <v>1.3720449172576832</v>
      </c>
      <c r="J24" s="401">
        <v>0</v>
      </c>
      <c r="K24" s="392">
        <f t="shared" si="3"/>
        <v>753.0720449172577</v>
      </c>
      <c r="L24" s="401">
        <f t="shared" si="6"/>
        <v>52.715043144208046</v>
      </c>
      <c r="M24" s="401">
        <f>K24-L24</f>
        <v>700.35700177304966</v>
      </c>
      <c r="N24" s="5" t="s">
        <v>1262</v>
      </c>
      <c r="O24" s="3">
        <v>10</v>
      </c>
      <c r="P24" s="3">
        <v>11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</row>
    <row r="25" spans="1:47" s="11" customFormat="1" ht="24.6" customHeight="1" x14ac:dyDescent="0.3">
      <c r="A25" s="88" t="s">
        <v>1029</v>
      </c>
      <c r="B25" s="88">
        <v>17</v>
      </c>
      <c r="C25" s="88" t="s">
        <v>824</v>
      </c>
      <c r="D25" s="5">
        <f>628.06</f>
        <v>628.05999999999995</v>
      </c>
      <c r="E25" s="401">
        <v>0</v>
      </c>
      <c r="F25" s="5">
        <f t="shared" si="2"/>
        <v>628.05999999999995</v>
      </c>
      <c r="G25" s="401">
        <v>51.48</v>
      </c>
      <c r="H25" s="401">
        <f t="shared" si="5"/>
        <v>61.7</v>
      </c>
      <c r="I25" s="401">
        <f>'[2]GERAL 2025'!I19</f>
        <v>1.3720449172576832</v>
      </c>
      <c r="J25" s="401">
        <v>0</v>
      </c>
      <c r="K25" s="392">
        <f t="shared" si="3"/>
        <v>742.61204491725766</v>
      </c>
      <c r="L25" s="401">
        <f>7%*K25</f>
        <v>51.98284314420804</v>
      </c>
      <c r="M25" s="401">
        <f>K25-L25</f>
        <v>690.62920177304966</v>
      </c>
      <c r="N25" s="390" t="s">
        <v>1265</v>
      </c>
      <c r="O25" s="3">
        <v>10</v>
      </c>
      <c r="P25" s="3">
        <v>11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</row>
    <row r="26" spans="1:47" s="11" customFormat="1" ht="24.6" customHeight="1" x14ac:dyDescent="0.3">
      <c r="A26" s="88" t="s">
        <v>1030</v>
      </c>
      <c r="B26" s="390">
        <v>18</v>
      </c>
      <c r="C26" s="88" t="s">
        <v>824</v>
      </c>
      <c r="D26" s="5">
        <v>658.95</v>
      </c>
      <c r="E26" s="401">
        <v>0</v>
      </c>
      <c r="F26" s="5">
        <f>D26-E26</f>
        <v>658.95</v>
      </c>
      <c r="G26" s="401">
        <v>0</v>
      </c>
      <c r="H26" s="401">
        <f t="shared" si="5"/>
        <v>61.7</v>
      </c>
      <c r="I26" s="401">
        <f>'[2]GERAL 2025'!I20</f>
        <v>1.3720449172576832</v>
      </c>
      <c r="J26" s="401">
        <v>0</v>
      </c>
      <c r="K26" s="392">
        <f t="shared" si="3"/>
        <v>722.02204491725774</v>
      </c>
      <c r="L26" s="401">
        <f t="shared" si="6"/>
        <v>50.541543144208049</v>
      </c>
      <c r="M26" s="401">
        <f t="shared" si="4"/>
        <v>671.4805017730497</v>
      </c>
      <c r="N26" s="390" t="s">
        <v>1262</v>
      </c>
      <c r="O26" s="3">
        <v>10</v>
      </c>
      <c r="P26" s="3">
        <v>11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 spans="1:47" s="11" customFormat="1" ht="24.6" customHeight="1" x14ac:dyDescent="0.3">
      <c r="A27" s="390" t="s">
        <v>1012</v>
      </c>
      <c r="B27" s="390">
        <v>19</v>
      </c>
      <c r="C27" s="390" t="s">
        <v>822</v>
      </c>
      <c r="D27" s="5">
        <f>605.44</f>
        <v>605.44000000000005</v>
      </c>
      <c r="E27" s="401">
        <v>0</v>
      </c>
      <c r="F27" s="5">
        <f>(D27-E27)</f>
        <v>605.44000000000005</v>
      </c>
      <c r="G27" s="401">
        <v>52.19</v>
      </c>
      <c r="H27" s="401">
        <f t="shared" si="5"/>
        <v>61.7</v>
      </c>
      <c r="I27" s="401">
        <f>'[2]GERAL 2025'!I21</f>
        <v>1.3720449172576832</v>
      </c>
      <c r="J27" s="401">
        <v>0</v>
      </c>
      <c r="K27" s="392">
        <f t="shared" si="3"/>
        <v>720.70204491725781</v>
      </c>
      <c r="L27" s="401">
        <f t="shared" si="6"/>
        <v>50.449143144208051</v>
      </c>
      <c r="M27" s="401">
        <f t="shared" si="4"/>
        <v>670.25290177304976</v>
      </c>
      <c r="N27" s="390" t="s">
        <v>1265</v>
      </c>
      <c r="O27" s="125">
        <v>10</v>
      </c>
      <c r="P27" s="3">
        <v>11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 spans="1:47" s="11" customFormat="1" ht="24" customHeight="1" x14ac:dyDescent="0.3">
      <c r="A28" s="88" t="s">
        <v>1214</v>
      </c>
      <c r="B28" s="390">
        <v>20</v>
      </c>
      <c r="C28" s="390" t="s">
        <v>822</v>
      </c>
      <c r="D28" s="5">
        <f>660</f>
        <v>660</v>
      </c>
      <c r="E28" s="401">
        <v>0</v>
      </c>
      <c r="F28" s="5">
        <f t="shared" ref="F28:F35" si="7">D28-E28</f>
        <v>660</v>
      </c>
      <c r="G28" s="401">
        <f>50</f>
        <v>50</v>
      </c>
      <c r="H28" s="401">
        <f t="shared" si="5"/>
        <v>61.7</v>
      </c>
      <c r="I28" s="401">
        <f>'[2]GERAL 2025'!I41</f>
        <v>1.3720449172576832</v>
      </c>
      <c r="J28" s="401">
        <v>0</v>
      </c>
      <c r="K28" s="392">
        <f t="shared" si="3"/>
        <v>773.0720449172577</v>
      </c>
      <c r="L28" s="401">
        <f t="shared" si="6"/>
        <v>54.115043144208045</v>
      </c>
      <c r="M28" s="401">
        <f t="shared" si="4"/>
        <v>718.95700177304968</v>
      </c>
      <c r="N28" s="390" t="s">
        <v>1265</v>
      </c>
      <c r="O28" s="125">
        <v>10</v>
      </c>
      <c r="P28" s="3">
        <v>11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 spans="1:47" s="11" customFormat="1" ht="25.2" customHeight="1" x14ac:dyDescent="0.3">
      <c r="A29" s="88" t="s">
        <v>788</v>
      </c>
      <c r="B29" s="390">
        <v>21</v>
      </c>
      <c r="C29" s="390" t="s">
        <v>822</v>
      </c>
      <c r="D29" s="5">
        <f>620.28</f>
        <v>620.28</v>
      </c>
      <c r="E29" s="401">
        <v>0</v>
      </c>
      <c r="F29" s="5">
        <f t="shared" si="7"/>
        <v>620.28</v>
      </c>
      <c r="G29" s="401">
        <v>26.1</v>
      </c>
      <c r="H29" s="401">
        <f t="shared" si="5"/>
        <v>61.7</v>
      </c>
      <c r="I29" s="401">
        <f>'[2]GERAL 2025'!I23</f>
        <v>1.3720449172576832</v>
      </c>
      <c r="J29" s="401">
        <v>0</v>
      </c>
      <c r="K29" s="392">
        <f t="shared" si="3"/>
        <v>709.45204491725769</v>
      </c>
      <c r="L29" s="401">
        <f t="shared" si="6"/>
        <v>49.661643144208043</v>
      </c>
      <c r="M29" s="401">
        <f t="shared" si="4"/>
        <v>659.79040177304967</v>
      </c>
      <c r="N29" s="390" t="s">
        <v>1266</v>
      </c>
      <c r="O29" s="125">
        <v>10</v>
      </c>
      <c r="P29" s="3">
        <v>11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</row>
    <row r="30" spans="1:47" s="11" customFormat="1" ht="24.6" customHeight="1" x14ac:dyDescent="0.3">
      <c r="A30" s="424" t="s">
        <v>950</v>
      </c>
      <c r="B30" s="71">
        <v>22</v>
      </c>
      <c r="C30" s="71" t="s">
        <v>951</v>
      </c>
      <c r="D30" s="230">
        <v>662.35</v>
      </c>
      <c r="E30" s="72">
        <v>0</v>
      </c>
      <c r="F30" s="230">
        <f t="shared" si="7"/>
        <v>662.35</v>
      </c>
      <c r="G30" s="72">
        <v>0</v>
      </c>
      <c r="H30" s="72">
        <f t="shared" si="5"/>
        <v>61.7</v>
      </c>
      <c r="I30" s="72">
        <f>'[2]GERAL 2025'!I24</f>
        <v>1.3720449172576832</v>
      </c>
      <c r="J30" s="72">
        <v>0</v>
      </c>
      <c r="K30" s="112">
        <f t="shared" si="3"/>
        <v>725.42204491725772</v>
      </c>
      <c r="L30" s="72">
        <f>7%*K30</f>
        <v>50.779543144208048</v>
      </c>
      <c r="M30" s="72">
        <f>K30-L30</f>
        <v>674.64250177304962</v>
      </c>
      <c r="N30" s="71" t="s">
        <v>1262</v>
      </c>
      <c r="O30" s="138">
        <v>10</v>
      </c>
      <c r="P30" s="98">
        <v>11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</row>
    <row r="31" spans="1:47" s="390" customFormat="1" ht="24.6" customHeight="1" x14ac:dyDescent="0.3">
      <c r="A31" s="88" t="s">
        <v>1169</v>
      </c>
      <c r="B31" s="390">
        <v>23</v>
      </c>
      <c r="C31" s="390" t="s">
        <v>827</v>
      </c>
      <c r="D31" s="5">
        <f>660</f>
        <v>660</v>
      </c>
      <c r="E31" s="401">
        <v>0</v>
      </c>
      <c r="F31" s="5">
        <f t="shared" si="7"/>
        <v>660</v>
      </c>
      <c r="G31" s="401">
        <f>(50+25)</f>
        <v>75</v>
      </c>
      <c r="H31" s="401">
        <f>(1665.9/27)</f>
        <v>61.7</v>
      </c>
      <c r="I31" s="401">
        <f>'[2]GERAL 2025'!I37</f>
        <v>1.3720449172576832</v>
      </c>
      <c r="J31" s="401">
        <v>0</v>
      </c>
      <c r="K31" s="392">
        <f t="shared" si="3"/>
        <v>798.0720449172577</v>
      </c>
      <c r="L31" s="401">
        <f>7%*K31</f>
        <v>55.865043144208045</v>
      </c>
      <c r="M31" s="401">
        <f>K31-L31</f>
        <v>742.20700177304968</v>
      </c>
      <c r="N31" s="390" t="s">
        <v>1268</v>
      </c>
      <c r="O31" s="3">
        <v>10</v>
      </c>
      <c r="P31" s="3">
        <v>11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</row>
    <row r="32" spans="1:47" s="96" customFormat="1" ht="24.6" customHeight="1" x14ac:dyDescent="0.3">
      <c r="A32" s="390" t="s">
        <v>1171</v>
      </c>
      <c r="B32" s="390">
        <v>24</v>
      </c>
      <c r="C32" s="390" t="s">
        <v>827</v>
      </c>
      <c r="D32" s="5">
        <f>740</f>
        <v>740</v>
      </c>
      <c r="E32" s="401">
        <v>0</v>
      </c>
      <c r="F32" s="5">
        <f>D32-E32</f>
        <v>740</v>
      </c>
      <c r="G32" s="401">
        <f>50</f>
        <v>50</v>
      </c>
      <c r="H32" s="401">
        <f t="shared" ref="H32" si="8">(1665.9/27)</f>
        <v>61.7</v>
      </c>
      <c r="I32" s="401">
        <f>'[2]GERAL 2025'!I36</f>
        <v>1.9208628841607567</v>
      </c>
      <c r="J32" s="401">
        <v>0</v>
      </c>
      <c r="K32" s="392">
        <f t="shared" si="3"/>
        <v>853.62086288416083</v>
      </c>
      <c r="L32" s="401">
        <f>7%*K32</f>
        <v>59.75346040189126</v>
      </c>
      <c r="M32" s="401">
        <f t="shared" si="4"/>
        <v>793.86740248226954</v>
      </c>
      <c r="N32" s="390" t="s">
        <v>1265</v>
      </c>
      <c r="O32" s="3">
        <v>10</v>
      </c>
      <c r="P32" s="3">
        <v>11</v>
      </c>
      <c r="Q32" s="17"/>
      <c r="R32" s="17"/>
      <c r="S32" s="17"/>
      <c r="T32" s="17"/>
      <c r="U32" s="17"/>
      <c r="V32" s="17"/>
      <c r="W32" s="17"/>
      <c r="X32" s="17"/>
      <c r="Y32" s="17"/>
    </row>
    <row r="33" spans="1:47" s="6" customFormat="1" ht="24.6" customHeight="1" x14ac:dyDescent="0.3">
      <c r="A33" s="11" t="s">
        <v>1007</v>
      </c>
      <c r="B33" s="425">
        <v>25</v>
      </c>
      <c r="C33" s="425" t="s">
        <v>822</v>
      </c>
      <c r="D33" s="426">
        <v>668.07</v>
      </c>
      <c r="E33" s="427">
        <v>0</v>
      </c>
      <c r="F33" s="426">
        <f t="shared" si="7"/>
        <v>668.07</v>
      </c>
      <c r="G33" s="427">
        <v>26.1</v>
      </c>
      <c r="H33" s="427">
        <f t="shared" si="5"/>
        <v>61.7</v>
      </c>
      <c r="I33" s="427">
        <f>'[2]GERAL 2025'!I27</f>
        <v>1.3720449172576832</v>
      </c>
      <c r="J33" s="427">
        <v>0</v>
      </c>
      <c r="K33" s="428">
        <f t="shared" si="3"/>
        <v>757.24204491725777</v>
      </c>
      <c r="L33" s="427">
        <f t="shared" si="6"/>
        <v>53.006943144208051</v>
      </c>
      <c r="M33" s="427">
        <f t="shared" si="4"/>
        <v>704.23510177304968</v>
      </c>
      <c r="N33" s="425" t="s">
        <v>1266</v>
      </c>
      <c r="O33" s="429">
        <v>10</v>
      </c>
      <c r="P33" s="430">
        <v>11</v>
      </c>
      <c r="Q33" s="9"/>
      <c r="R33" s="9"/>
      <c r="S33" s="9"/>
      <c r="T33" s="9"/>
      <c r="U33" s="9"/>
      <c r="V33" s="9"/>
      <c r="W33" s="9"/>
      <c r="X33" s="9"/>
      <c r="Y33" s="9"/>
    </row>
    <row r="34" spans="1:47" s="11" customFormat="1" ht="26.4" customHeight="1" x14ac:dyDescent="0.3">
      <c r="A34" s="88" t="s">
        <v>1252</v>
      </c>
      <c r="B34" s="390">
        <v>26</v>
      </c>
      <c r="C34" s="390" t="s">
        <v>1253</v>
      </c>
      <c r="D34" s="5">
        <v>0</v>
      </c>
      <c r="E34" s="401">
        <v>0</v>
      </c>
      <c r="F34" s="5">
        <f t="shared" si="7"/>
        <v>0</v>
      </c>
      <c r="G34" s="401">
        <v>0</v>
      </c>
      <c r="H34" s="401">
        <v>0</v>
      </c>
      <c r="I34" s="401">
        <v>0</v>
      </c>
      <c r="J34" s="401">
        <v>0</v>
      </c>
      <c r="K34" s="401">
        <f t="shared" si="3"/>
        <v>0</v>
      </c>
      <c r="L34" s="401">
        <f t="shared" si="6"/>
        <v>0</v>
      </c>
      <c r="M34" s="401">
        <f t="shared" si="4"/>
        <v>0</v>
      </c>
      <c r="N34" s="390" t="s">
        <v>108</v>
      </c>
      <c r="O34" s="3">
        <v>10</v>
      </c>
      <c r="P34" s="3">
        <v>11</v>
      </c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 spans="1:47" s="11" customFormat="1" ht="24.6" customHeight="1" x14ac:dyDescent="0.3">
      <c r="A35" s="88" t="s">
        <v>752</v>
      </c>
      <c r="B35" s="390">
        <v>27</v>
      </c>
      <c r="C35" s="71" t="s">
        <v>827</v>
      </c>
      <c r="D35" s="230">
        <v>629.32000000000005</v>
      </c>
      <c r="E35" s="72">
        <v>0</v>
      </c>
      <c r="F35" s="5">
        <f t="shared" si="7"/>
        <v>629.32000000000005</v>
      </c>
      <c r="G35" s="72">
        <v>0</v>
      </c>
      <c r="H35" s="401">
        <f t="shared" si="5"/>
        <v>61.7</v>
      </c>
      <c r="I35" s="72">
        <f>'[2]GERAL 2025'!I29</f>
        <v>1.3720449172576832</v>
      </c>
      <c r="J35" s="72">
        <v>0</v>
      </c>
      <c r="K35" s="392">
        <f t="shared" si="3"/>
        <v>692.39204491725775</v>
      </c>
      <c r="L35" s="401">
        <f t="shared" si="6"/>
        <v>48.467443144208048</v>
      </c>
      <c r="M35" s="401">
        <f>K35-L35</f>
        <v>643.92460177304974</v>
      </c>
      <c r="N35" s="390" t="s">
        <v>1262</v>
      </c>
      <c r="O35" s="3">
        <v>10</v>
      </c>
      <c r="P35" s="3">
        <v>11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 spans="1:47" s="206" customFormat="1" ht="25.05" customHeight="1" x14ac:dyDescent="0.3">
      <c r="A36" s="584" t="s">
        <v>4</v>
      </c>
      <c r="B36" s="584"/>
      <c r="C36" s="400"/>
      <c r="D36" s="387">
        <f>SUM(D9:D35)</f>
        <v>15067.519936000001</v>
      </c>
      <c r="E36" s="387">
        <f t="shared" ref="E36:M36" si="9">SUM(E9:E35)</f>
        <v>0</v>
      </c>
      <c r="F36" s="387">
        <f t="shared" si="9"/>
        <v>15067.519936000001</v>
      </c>
      <c r="G36" s="387">
        <f t="shared" si="9"/>
        <v>715.01</v>
      </c>
      <c r="H36" s="387">
        <f>SUM(H9:H35)</f>
        <v>1425.0709677419361</v>
      </c>
      <c r="I36" s="387">
        <f>SUM(I9:I35)</f>
        <v>33.336265538015702</v>
      </c>
      <c r="J36" s="387">
        <f>SUM(J9:J35)</f>
        <v>0</v>
      </c>
      <c r="K36" s="387">
        <f>SUM(K9:K35)</f>
        <v>17240.93716927995</v>
      </c>
      <c r="L36" s="387">
        <f t="shared" si="9"/>
        <v>1206.8656018495967</v>
      </c>
      <c r="M36" s="387">
        <f t="shared" si="9"/>
        <v>16034.071567430354</v>
      </c>
      <c r="N36" s="386"/>
      <c r="O36" s="197"/>
      <c r="P36" s="197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</row>
    <row r="37" spans="1:47" s="11" customFormat="1" ht="28.5" customHeight="1" x14ac:dyDescent="0.3">
      <c r="A37" s="521" t="s">
        <v>1269</v>
      </c>
      <c r="B37" s="521"/>
      <c r="C37" s="521"/>
      <c r="D37" s="521"/>
      <c r="E37" s="521"/>
      <c r="F37" s="521"/>
      <c r="G37" s="521"/>
      <c r="H37" s="521"/>
      <c r="I37" s="521"/>
      <c r="J37" s="521"/>
      <c r="K37" s="521"/>
      <c r="L37" s="521"/>
      <c r="M37" s="521"/>
      <c r="N37" s="521"/>
      <c r="O37" s="521"/>
      <c r="P37" s="521"/>
      <c r="Q37" s="10"/>
      <c r="R37" s="10"/>
      <c r="S37" s="10"/>
      <c r="T37" s="10"/>
      <c r="U37" s="10"/>
      <c r="V37" s="10"/>
      <c r="W37" s="10"/>
      <c r="X37" s="10"/>
      <c r="Y37" s="10"/>
    </row>
    <row r="38" spans="1:47" s="11" customFormat="1" ht="27.6" customHeight="1" x14ac:dyDescent="0.3">
      <c r="A38" s="385" t="s">
        <v>3</v>
      </c>
      <c r="B38" s="385" t="s">
        <v>0</v>
      </c>
      <c r="C38" s="385" t="s">
        <v>821</v>
      </c>
      <c r="D38" s="393" t="s">
        <v>174</v>
      </c>
      <c r="E38" s="555" t="s">
        <v>175</v>
      </c>
      <c r="F38" s="556"/>
      <c r="G38" s="556"/>
      <c r="H38" s="556"/>
      <c r="I38" s="556"/>
      <c r="J38" s="557"/>
      <c r="K38" s="393" t="s">
        <v>4</v>
      </c>
      <c r="L38" s="393" t="s">
        <v>5</v>
      </c>
      <c r="M38" s="393" t="s">
        <v>70</v>
      </c>
      <c r="N38" s="385" t="s">
        <v>59</v>
      </c>
      <c r="O38" s="130" t="s">
        <v>8</v>
      </c>
      <c r="P38" s="130" t="s">
        <v>10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47" s="6" customFormat="1" ht="24.6" customHeight="1" x14ac:dyDescent="0.3">
      <c r="A39" s="3" t="s">
        <v>977</v>
      </c>
      <c r="B39" s="398">
        <v>14</v>
      </c>
      <c r="C39" s="390" t="s">
        <v>827</v>
      </c>
      <c r="D39" s="5">
        <v>855.17</v>
      </c>
      <c r="E39" s="546" t="s">
        <v>1270</v>
      </c>
      <c r="F39" s="547"/>
      <c r="G39" s="547"/>
      <c r="H39" s="547"/>
      <c r="I39" s="547"/>
      <c r="J39" s="548"/>
      <c r="K39" s="74">
        <v>855.17</v>
      </c>
      <c r="L39" s="401">
        <f>7%*K39</f>
        <v>59.861900000000006</v>
      </c>
      <c r="M39" s="401">
        <f>K39-L39</f>
        <v>795.30809999999997</v>
      </c>
      <c r="N39" s="390" t="s">
        <v>1271</v>
      </c>
      <c r="O39" s="125">
        <v>10</v>
      </c>
      <c r="P39" s="423">
        <v>11</v>
      </c>
      <c r="Q39" s="9"/>
      <c r="R39" s="9"/>
      <c r="S39" s="9"/>
      <c r="T39" s="9"/>
      <c r="U39" s="9"/>
      <c r="V39" s="9"/>
      <c r="W39" s="9"/>
      <c r="X39" s="9"/>
    </row>
    <row r="40" spans="1:47" s="6" customFormat="1" ht="24.6" customHeight="1" x14ac:dyDescent="0.3">
      <c r="A40" s="398" t="s">
        <v>1136</v>
      </c>
      <c r="B40" s="398">
        <v>7</v>
      </c>
      <c r="C40" s="398" t="s">
        <v>829</v>
      </c>
      <c r="D40" s="5">
        <f>690+61.7+1.37</f>
        <v>753.07</v>
      </c>
      <c r="E40" s="546" t="s">
        <v>1272</v>
      </c>
      <c r="F40" s="547"/>
      <c r="G40" s="547"/>
      <c r="H40" s="547"/>
      <c r="I40" s="547"/>
      <c r="J40" s="548"/>
      <c r="K40" s="392">
        <v>832.15</v>
      </c>
      <c r="L40" s="401">
        <f>7%*K40</f>
        <v>58.250500000000002</v>
      </c>
      <c r="M40" s="401">
        <f>K40-L40</f>
        <v>773.89949999999999</v>
      </c>
      <c r="N40" s="390" t="s">
        <v>1273</v>
      </c>
      <c r="O40" s="125">
        <v>10</v>
      </c>
      <c r="P40" s="423">
        <v>11</v>
      </c>
      <c r="Q40" s="9"/>
      <c r="R40" s="9"/>
      <c r="S40" s="9"/>
      <c r="T40" s="9"/>
      <c r="U40" s="9"/>
      <c r="V40" s="9"/>
      <c r="W40" s="9"/>
      <c r="X40" s="9"/>
    </row>
    <row r="41" spans="1:47" s="11" customFormat="1" ht="25.05" customHeight="1" x14ac:dyDescent="0.3">
      <c r="A41" s="518" t="s">
        <v>4</v>
      </c>
      <c r="B41" s="518"/>
      <c r="C41" s="518"/>
      <c r="D41" s="518"/>
      <c r="E41" s="518"/>
      <c r="F41" s="518"/>
      <c r="G41" s="518"/>
      <c r="H41" s="518"/>
      <c r="I41" s="518"/>
      <c r="J41" s="518"/>
      <c r="K41" s="392">
        <f>SUM(K39:K40)</f>
        <v>1687.32</v>
      </c>
      <c r="L41" s="392">
        <f>SUM(L39:L40)</f>
        <v>118.11240000000001</v>
      </c>
      <c r="M41" s="392">
        <f>SUM(M39:M40)</f>
        <v>1569.2076</v>
      </c>
      <c r="N41" s="527"/>
      <c r="O41" s="527"/>
      <c r="P41" s="527"/>
      <c r="Q41" s="10"/>
      <c r="R41" s="10"/>
      <c r="S41" s="10"/>
      <c r="T41" s="10"/>
      <c r="U41" s="10"/>
      <c r="V41" s="10"/>
      <c r="W41" s="10"/>
      <c r="X41" s="10"/>
      <c r="Y41" s="10"/>
    </row>
    <row r="42" spans="1:47" s="11" customFormat="1" x14ac:dyDescent="0.3">
      <c r="A42" s="518"/>
      <c r="B42" s="518"/>
      <c r="C42" s="518"/>
      <c r="D42" s="518"/>
      <c r="E42" s="518"/>
      <c r="F42" s="518"/>
      <c r="G42" s="518"/>
      <c r="H42" s="518"/>
      <c r="I42" s="518"/>
      <c r="J42" s="518"/>
      <c r="K42" s="518"/>
      <c r="L42" s="518"/>
      <c r="M42" s="518"/>
      <c r="N42" s="518"/>
      <c r="O42" s="392"/>
      <c r="P42" s="392"/>
      <c r="Q42" s="10"/>
      <c r="R42" s="10"/>
      <c r="S42" s="10"/>
      <c r="T42" s="10"/>
      <c r="U42" s="10"/>
      <c r="V42" s="10"/>
      <c r="W42" s="10"/>
      <c r="X42" s="10"/>
      <c r="Y42" s="10"/>
    </row>
    <row r="43" spans="1:47" s="11" customFormat="1" ht="28.5" customHeight="1" x14ac:dyDescent="0.3">
      <c r="A43" s="521" t="s">
        <v>177</v>
      </c>
      <c r="B43" s="521"/>
      <c r="C43" s="521"/>
      <c r="D43" s="521"/>
      <c r="E43" s="521"/>
      <c r="F43" s="521"/>
      <c r="G43" s="521"/>
      <c r="H43" s="521"/>
      <c r="I43" s="521"/>
      <c r="J43" s="521"/>
      <c r="K43" s="521"/>
      <c r="L43" s="521"/>
      <c r="M43" s="521"/>
      <c r="N43" s="521"/>
      <c r="O43" s="521"/>
      <c r="P43" s="521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47" s="11" customFormat="1" ht="25.5" customHeight="1" x14ac:dyDescent="0.3">
      <c r="A44" s="391" t="s">
        <v>173</v>
      </c>
      <c r="B44" s="391" t="s">
        <v>0</v>
      </c>
      <c r="C44" s="385" t="s">
        <v>821</v>
      </c>
      <c r="D44" s="391" t="s">
        <v>174</v>
      </c>
      <c r="E44" s="521" t="s">
        <v>175</v>
      </c>
      <c r="F44" s="521"/>
      <c r="G44" s="521"/>
      <c r="H44" s="521"/>
      <c r="I44" s="521"/>
      <c r="J44" s="521"/>
      <c r="K44" s="399" t="s">
        <v>4</v>
      </c>
      <c r="L44" s="393"/>
      <c r="M44" s="393"/>
      <c r="N44" s="385" t="s">
        <v>59</v>
      </c>
      <c r="O44" s="130" t="s">
        <v>8</v>
      </c>
      <c r="P44" s="130" t="s">
        <v>10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47" s="11" customFormat="1" ht="18.600000000000001" customHeight="1" x14ac:dyDescent="0.3">
      <c r="A45" s="386" t="s">
        <v>965</v>
      </c>
      <c r="B45" s="396">
        <v>11</v>
      </c>
      <c r="C45" s="386" t="s">
        <v>827</v>
      </c>
      <c r="D45" s="397">
        <v>1191.3800000000001</v>
      </c>
      <c r="E45" s="551" t="s">
        <v>715</v>
      </c>
      <c r="F45" s="580"/>
      <c r="G45" s="580"/>
      <c r="H45" s="580"/>
      <c r="I45" s="580"/>
      <c r="J45" s="552"/>
      <c r="K45" s="397">
        <f>1191.38/4</f>
        <v>297.84500000000003</v>
      </c>
      <c r="L45" s="274"/>
      <c r="M45" s="274"/>
      <c r="N45" s="386" t="s">
        <v>1257</v>
      </c>
      <c r="O45" s="140">
        <v>10</v>
      </c>
      <c r="P45" s="398">
        <v>11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47" s="11" customFormat="1" ht="18.600000000000001" customHeight="1" x14ac:dyDescent="0.3">
      <c r="A46" s="386" t="s">
        <v>965</v>
      </c>
      <c r="B46" s="396">
        <v>11</v>
      </c>
      <c r="C46" s="386" t="s">
        <v>827</v>
      </c>
      <c r="D46" s="397">
        <v>1191.3800000000001</v>
      </c>
      <c r="E46" s="551" t="s">
        <v>715</v>
      </c>
      <c r="F46" s="580"/>
      <c r="G46" s="580"/>
      <c r="H46" s="580"/>
      <c r="I46" s="580"/>
      <c r="J46" s="552"/>
      <c r="K46" s="397">
        <f>1191.38/4</f>
        <v>297.84500000000003</v>
      </c>
      <c r="L46" s="274"/>
      <c r="M46" s="274"/>
      <c r="N46" s="386" t="s">
        <v>1241</v>
      </c>
      <c r="O46" s="140">
        <v>10</v>
      </c>
      <c r="P46" s="398">
        <v>11</v>
      </c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47" s="11" customFormat="1" ht="16.8" customHeight="1" x14ac:dyDescent="0.3">
      <c r="A47" s="386" t="s">
        <v>965</v>
      </c>
      <c r="B47" s="396">
        <v>11</v>
      </c>
      <c r="C47" s="386" t="s">
        <v>827</v>
      </c>
      <c r="D47" s="397">
        <v>1191.3800000000001</v>
      </c>
      <c r="E47" s="551" t="s">
        <v>715</v>
      </c>
      <c r="F47" s="580"/>
      <c r="G47" s="580"/>
      <c r="H47" s="580"/>
      <c r="I47" s="580"/>
      <c r="J47" s="552"/>
      <c r="K47" s="397">
        <f>1191.38/4</f>
        <v>297.84500000000003</v>
      </c>
      <c r="L47" s="274"/>
      <c r="M47" s="274"/>
      <c r="N47" s="386" t="s">
        <v>1220</v>
      </c>
      <c r="O47" s="140">
        <v>10</v>
      </c>
      <c r="P47" s="398">
        <v>11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47" s="148" customFormat="1" ht="18" customHeight="1" x14ac:dyDescent="0.3">
      <c r="A48" s="396" t="s">
        <v>1136</v>
      </c>
      <c r="B48" s="396">
        <v>7</v>
      </c>
      <c r="C48" s="396" t="s">
        <v>829</v>
      </c>
      <c r="D48" s="196">
        <f>690+61.7+1.37</f>
        <v>753.07</v>
      </c>
      <c r="E48" s="542" t="s">
        <v>1221</v>
      </c>
      <c r="F48" s="542"/>
      <c r="G48" s="542"/>
      <c r="H48" s="542"/>
      <c r="I48" s="542"/>
      <c r="J48" s="542"/>
      <c r="K48" s="196">
        <f>690+61.7+1.37</f>
        <v>753.07</v>
      </c>
      <c r="L48" s="196"/>
      <c r="M48" s="196"/>
      <c r="N48" s="196" t="s">
        <v>1274</v>
      </c>
      <c r="O48" s="384">
        <v>10</v>
      </c>
      <c r="P48" s="396">
        <v>11</v>
      </c>
      <c r="Q48" s="208"/>
      <c r="R48" s="208"/>
      <c r="S48" s="208"/>
      <c r="T48" s="208"/>
      <c r="U48" s="208"/>
      <c r="V48" s="208"/>
      <c r="W48" s="208"/>
      <c r="X48" s="208"/>
      <c r="Y48" s="208"/>
      <c r="Z48" s="208"/>
      <c r="AA48" s="208"/>
      <c r="AB48" s="208"/>
      <c r="AC48" s="208"/>
      <c r="AD48" s="208"/>
      <c r="AE48" s="208"/>
      <c r="AF48" s="208"/>
      <c r="AG48" s="208"/>
      <c r="AH48" s="208"/>
      <c r="AI48" s="208"/>
      <c r="AJ48" s="208"/>
      <c r="AK48" s="208"/>
      <c r="AL48" s="208"/>
      <c r="AM48" s="208"/>
      <c r="AN48" s="208"/>
      <c r="AO48" s="208"/>
      <c r="AP48" s="208"/>
      <c r="AQ48" s="208"/>
      <c r="AR48" s="208"/>
      <c r="AS48" s="208"/>
      <c r="AT48" s="208"/>
      <c r="AU48" s="208"/>
    </row>
    <row r="49" spans="1:60" ht="15.6" customHeight="1" x14ac:dyDescent="0.3">
      <c r="A49" s="386" t="s">
        <v>1005</v>
      </c>
      <c r="B49" s="396">
        <v>3</v>
      </c>
      <c r="C49" s="386" t="s">
        <v>822</v>
      </c>
      <c r="D49" s="196">
        <f>636.76+61.7+1.37</f>
        <v>699.83</v>
      </c>
      <c r="E49" s="542" t="s">
        <v>1259</v>
      </c>
      <c r="F49" s="542"/>
      <c r="G49" s="542"/>
      <c r="H49" s="542"/>
      <c r="I49" s="542"/>
      <c r="J49" s="542"/>
      <c r="K49" s="196">
        <f>636.76+61.7+1.37</f>
        <v>699.83</v>
      </c>
      <c r="L49" s="196"/>
      <c r="M49" s="196"/>
      <c r="N49" s="196" t="s">
        <v>1242</v>
      </c>
      <c r="O49" s="384">
        <v>10</v>
      </c>
      <c r="P49" s="396">
        <v>11</v>
      </c>
      <c r="Q49" s="208"/>
      <c r="R49" s="208"/>
      <c r="S49" s="208"/>
      <c r="T49" s="208"/>
      <c r="U49" s="208"/>
      <c r="V49" s="208"/>
      <c r="W49" s="208"/>
      <c r="X49" s="208"/>
      <c r="Y49" s="208"/>
      <c r="Z49" s="208"/>
      <c r="AA49" s="208"/>
      <c r="AB49" s="208"/>
      <c r="AC49" s="208"/>
      <c r="AD49" s="208"/>
      <c r="AE49" s="208"/>
      <c r="AF49" s="208"/>
      <c r="AG49" s="208"/>
      <c r="AH49" s="208"/>
      <c r="AI49" s="208"/>
      <c r="AJ49" s="208"/>
      <c r="AK49" s="208"/>
      <c r="AL49" s="208"/>
      <c r="AM49" s="208"/>
      <c r="AN49" s="208"/>
      <c r="AO49" s="208"/>
      <c r="AP49" s="208"/>
      <c r="AQ49" s="208"/>
      <c r="AR49" s="208"/>
      <c r="AS49" s="208"/>
      <c r="AT49" s="208"/>
      <c r="AU49" s="208"/>
      <c r="AV49" s="148"/>
      <c r="AW49" s="148"/>
    </row>
    <row r="50" spans="1:60" ht="15.6" customHeight="1" x14ac:dyDescent="0.3">
      <c r="A50" s="386" t="s">
        <v>1005</v>
      </c>
      <c r="B50" s="396">
        <v>3</v>
      </c>
      <c r="C50" s="386" t="s">
        <v>822</v>
      </c>
      <c r="D50" s="196">
        <f>636.76+61.7+1.37</f>
        <v>699.83</v>
      </c>
      <c r="E50" s="542" t="s">
        <v>1260</v>
      </c>
      <c r="F50" s="542"/>
      <c r="G50" s="542"/>
      <c r="H50" s="542"/>
      <c r="I50" s="542"/>
      <c r="J50" s="542"/>
      <c r="K50" s="196">
        <f>636.76+61.7+1.37</f>
        <v>699.83</v>
      </c>
      <c r="L50" s="196"/>
      <c r="M50" s="196"/>
      <c r="N50" s="196" t="s">
        <v>1258</v>
      </c>
      <c r="O50" s="384">
        <v>10</v>
      </c>
      <c r="P50" s="396">
        <v>11</v>
      </c>
      <c r="Q50" s="208"/>
      <c r="R50" s="208"/>
      <c r="S50" s="208"/>
      <c r="T50" s="208"/>
      <c r="U50" s="208"/>
      <c r="V50" s="208"/>
      <c r="W50" s="208"/>
      <c r="X50" s="208"/>
      <c r="Y50" s="208"/>
      <c r="Z50" s="208"/>
      <c r="AA50" s="208"/>
      <c r="AB50" s="208"/>
      <c r="AC50" s="208"/>
      <c r="AD50" s="208"/>
      <c r="AE50" s="208"/>
      <c r="AF50" s="208"/>
      <c r="AG50" s="208"/>
      <c r="AH50" s="208"/>
      <c r="AI50" s="208"/>
      <c r="AJ50" s="208"/>
      <c r="AK50" s="208"/>
      <c r="AL50" s="208"/>
      <c r="AM50" s="208"/>
      <c r="AN50" s="208"/>
      <c r="AO50" s="208"/>
      <c r="AP50" s="208"/>
      <c r="AQ50" s="208"/>
      <c r="AR50" s="208"/>
      <c r="AS50" s="208"/>
      <c r="AT50" s="208"/>
      <c r="AU50" s="208"/>
      <c r="AV50" s="148"/>
      <c r="AW50" s="148"/>
    </row>
    <row r="51" spans="1:60" ht="15.6" customHeight="1" x14ac:dyDescent="0.3">
      <c r="A51" s="386" t="s">
        <v>1005</v>
      </c>
      <c r="B51" s="396">
        <v>3</v>
      </c>
      <c r="C51" s="386" t="s">
        <v>822</v>
      </c>
      <c r="D51" s="196">
        <f>636.76+61.7+1.37</f>
        <v>699.83</v>
      </c>
      <c r="E51" s="542" t="s">
        <v>1259</v>
      </c>
      <c r="F51" s="542"/>
      <c r="G51" s="542"/>
      <c r="H51" s="542"/>
      <c r="I51" s="542"/>
      <c r="J51" s="542"/>
      <c r="K51" s="196">
        <f>636.76+61.7+1.37</f>
        <v>699.83</v>
      </c>
      <c r="L51" s="196"/>
      <c r="M51" s="196"/>
      <c r="N51" s="196" t="s">
        <v>1274</v>
      </c>
      <c r="O51" s="384">
        <v>10</v>
      </c>
      <c r="P51" s="396">
        <v>11</v>
      </c>
      <c r="Q51" s="208"/>
      <c r="R51" s="208"/>
      <c r="S51" s="208"/>
      <c r="T51" s="208"/>
      <c r="U51" s="208"/>
      <c r="V51" s="208"/>
      <c r="W51" s="208"/>
      <c r="X51" s="208"/>
      <c r="Y51" s="208"/>
      <c r="Z51" s="208"/>
      <c r="AA51" s="208"/>
      <c r="AB51" s="208"/>
      <c r="AC51" s="208"/>
      <c r="AD51" s="208"/>
      <c r="AE51" s="208"/>
      <c r="AF51" s="208"/>
      <c r="AG51" s="208"/>
      <c r="AH51" s="208"/>
      <c r="AI51" s="208"/>
      <c r="AJ51" s="208"/>
      <c r="AK51" s="208"/>
      <c r="AL51" s="208"/>
      <c r="AM51" s="208"/>
      <c r="AN51" s="208"/>
      <c r="AO51" s="208"/>
      <c r="AP51" s="208"/>
      <c r="AQ51" s="208"/>
      <c r="AR51" s="208"/>
      <c r="AS51" s="208"/>
      <c r="AT51" s="208"/>
      <c r="AU51" s="208"/>
      <c r="AV51" s="148"/>
      <c r="AW51" s="148"/>
    </row>
    <row r="52" spans="1:60" s="69" customFormat="1" ht="19.8" customHeight="1" x14ac:dyDescent="0.3">
      <c r="A52" s="398" t="s">
        <v>132</v>
      </c>
      <c r="B52" s="398">
        <v>1</v>
      </c>
      <c r="C52" s="398"/>
      <c r="D52" s="5">
        <f>4977.59-1520</f>
        <v>3457.59</v>
      </c>
      <c r="E52" s="595" t="s">
        <v>284</v>
      </c>
      <c r="F52" s="595"/>
      <c r="G52" s="595"/>
      <c r="H52" s="595"/>
      <c r="I52" s="595"/>
      <c r="J52" s="595"/>
      <c r="K52" s="5">
        <f>4977.59-1520</f>
        <v>3457.59</v>
      </c>
      <c r="L52" s="5"/>
      <c r="M52" s="5"/>
      <c r="N52" s="5" t="s">
        <v>510</v>
      </c>
      <c r="O52" s="140">
        <v>10</v>
      </c>
      <c r="P52" s="398">
        <v>11</v>
      </c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</row>
    <row r="53" spans="1:60" s="11" customFormat="1" x14ac:dyDescent="0.3">
      <c r="A53" s="390" t="s">
        <v>87</v>
      </c>
      <c r="B53" s="390">
        <v>25</v>
      </c>
      <c r="C53" s="390"/>
      <c r="D53" s="5">
        <v>3013.33</v>
      </c>
      <c r="E53" s="595" t="s">
        <v>543</v>
      </c>
      <c r="F53" s="595"/>
      <c r="G53" s="595"/>
      <c r="H53" s="595"/>
      <c r="I53" s="595"/>
      <c r="J53" s="595"/>
      <c r="K53" s="275">
        <v>3040.58</v>
      </c>
      <c r="L53" s="401"/>
      <c r="M53" s="401"/>
      <c r="N53" s="5" t="s">
        <v>545</v>
      </c>
      <c r="O53" s="98">
        <v>10</v>
      </c>
      <c r="P53" s="3">
        <v>11</v>
      </c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spans="1:60" s="11" customFormat="1" x14ac:dyDescent="0.3">
      <c r="A54" s="3" t="s">
        <v>894</v>
      </c>
      <c r="B54" s="390">
        <v>16</v>
      </c>
      <c r="C54" s="390" t="s">
        <v>823</v>
      </c>
      <c r="D54" s="5">
        <f>144.52+11.29+12.89+0.3+0.18+1664</f>
        <v>1833.18</v>
      </c>
      <c r="E54" s="595" t="s">
        <v>1158</v>
      </c>
      <c r="F54" s="595"/>
      <c r="G54" s="595"/>
      <c r="H54" s="595"/>
      <c r="I54" s="595"/>
      <c r="J54" s="595"/>
      <c r="K54" s="275">
        <f>144.52+11.29+12.89+0.3+0.18+1664</f>
        <v>1833.18</v>
      </c>
      <c r="L54" s="401"/>
      <c r="M54" s="401"/>
      <c r="N54" s="388" t="s">
        <v>969</v>
      </c>
      <c r="O54" s="98">
        <v>10</v>
      </c>
      <c r="P54" s="3">
        <v>11</v>
      </c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spans="1:60" s="206" customFormat="1" ht="19.2" customHeight="1" x14ac:dyDescent="0.3">
      <c r="A55" s="237" t="s">
        <v>902</v>
      </c>
      <c r="B55" s="195">
        <v>17</v>
      </c>
      <c r="C55" s="195" t="s">
        <v>823</v>
      </c>
      <c r="D55" s="196">
        <v>2080.41</v>
      </c>
      <c r="E55" s="551" t="s">
        <v>1011</v>
      </c>
      <c r="F55" s="580"/>
      <c r="G55" s="580"/>
      <c r="H55" s="580"/>
      <c r="I55" s="580"/>
      <c r="J55" s="552"/>
      <c r="K55" s="196">
        <v>300</v>
      </c>
      <c r="L55" s="397"/>
      <c r="M55" s="397"/>
      <c r="N55" s="386" t="s">
        <v>1039</v>
      </c>
      <c r="O55" s="235">
        <v>10</v>
      </c>
      <c r="P55" s="197">
        <v>11</v>
      </c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205"/>
      <c r="AG55" s="205"/>
      <c r="AH55" s="205"/>
      <c r="AI55" s="205"/>
      <c r="AJ55" s="205"/>
      <c r="AK55" s="205"/>
      <c r="AL55" s="205"/>
      <c r="AM55" s="205"/>
      <c r="AN55" s="205"/>
      <c r="AO55" s="205"/>
      <c r="AP55" s="205"/>
    </row>
    <row r="56" spans="1:60" s="206" customFormat="1" ht="19.2" customHeight="1" x14ac:dyDescent="0.3">
      <c r="A56" s="237" t="s">
        <v>902</v>
      </c>
      <c r="B56" s="195">
        <v>17</v>
      </c>
      <c r="C56" s="195" t="s">
        <v>823</v>
      </c>
      <c r="D56" s="196">
        <v>2080.41</v>
      </c>
      <c r="E56" s="551" t="s">
        <v>1011</v>
      </c>
      <c r="F56" s="580"/>
      <c r="G56" s="580"/>
      <c r="H56" s="580"/>
      <c r="I56" s="580"/>
      <c r="J56" s="552"/>
      <c r="K56" s="196">
        <v>300</v>
      </c>
      <c r="L56" s="397"/>
      <c r="M56" s="397"/>
      <c r="N56" s="386" t="s">
        <v>1049</v>
      </c>
      <c r="O56" s="235">
        <v>10</v>
      </c>
      <c r="P56" s="197">
        <v>11</v>
      </c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  <c r="AC56" s="205"/>
      <c r="AD56" s="205"/>
      <c r="AE56" s="205"/>
      <c r="AF56" s="205"/>
      <c r="AG56" s="205"/>
      <c r="AH56" s="205"/>
      <c r="AI56" s="205"/>
      <c r="AJ56" s="205"/>
      <c r="AK56" s="205"/>
      <c r="AL56" s="205"/>
      <c r="AM56" s="205"/>
      <c r="AN56" s="205"/>
      <c r="AO56" s="205"/>
      <c r="AP56" s="205"/>
    </row>
    <row r="57" spans="1:60" s="40" customFormat="1" ht="15" customHeight="1" thickBot="1" x14ac:dyDescent="0.35">
      <c r="A57" s="534" t="s">
        <v>4</v>
      </c>
      <c r="B57" s="549"/>
      <c r="C57" s="549"/>
      <c r="D57" s="549"/>
      <c r="E57" s="549"/>
      <c r="F57" s="549"/>
      <c r="G57" s="549"/>
      <c r="H57" s="549"/>
      <c r="I57" s="549"/>
      <c r="J57" s="535"/>
      <c r="K57" s="394">
        <f>SUM(K45:K56)</f>
        <v>12677.445</v>
      </c>
      <c r="L57" s="390"/>
      <c r="M57" s="390"/>
      <c r="N57" s="390"/>
      <c r="O57" s="390"/>
      <c r="P57" s="39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1"/>
      <c r="AU57" s="11"/>
      <c r="AV57" s="11"/>
      <c r="AW57" s="11"/>
    </row>
    <row r="58" spans="1:60" s="19" customFormat="1" x14ac:dyDescent="0.3">
      <c r="A58" s="179"/>
      <c r="B58" s="180"/>
      <c r="C58" s="180"/>
      <c r="D58" s="180"/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81"/>
      <c r="P58" s="182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</row>
    <row r="59" spans="1:60" s="40" customFormat="1" x14ac:dyDescent="0.3">
      <c r="A59" s="585"/>
      <c r="B59" s="585"/>
      <c r="C59" s="585"/>
      <c r="D59" s="585"/>
      <c r="E59" s="585"/>
      <c r="F59" s="46"/>
      <c r="G59" s="46"/>
      <c r="H59" s="295"/>
      <c r="I59" s="46"/>
      <c r="J59" s="46"/>
      <c r="K59" s="46"/>
      <c r="L59" s="46"/>
      <c r="M59" s="46"/>
      <c r="N59" s="544" t="s">
        <v>315</v>
      </c>
      <c r="O59" s="544"/>
      <c r="P59" s="545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1"/>
      <c r="AU59" s="11"/>
      <c r="AV59" s="11"/>
      <c r="AW59" s="11"/>
    </row>
    <row r="60" spans="1:60" s="40" customFormat="1" x14ac:dyDescent="0.3">
      <c r="A60" s="206"/>
      <c r="B60" s="223"/>
      <c r="C60" s="223"/>
      <c r="D60" s="224"/>
      <c r="E60" s="223"/>
      <c r="F60" s="46"/>
      <c r="G60" s="46"/>
      <c r="H60" s="295"/>
      <c r="I60" s="11"/>
      <c r="J60" s="11"/>
      <c r="K60" s="87"/>
      <c r="L60" s="87"/>
      <c r="M60" s="87"/>
      <c r="N60" s="527" t="s">
        <v>94</v>
      </c>
      <c r="O60" s="527"/>
      <c r="P60" s="394">
        <f>L36+L41</f>
        <v>1324.9780018495967</v>
      </c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1"/>
      <c r="AU60" s="11"/>
      <c r="AV60" s="11"/>
      <c r="AW60" s="11"/>
    </row>
    <row r="61" spans="1:60" s="40" customFormat="1" x14ac:dyDescent="0.3">
      <c r="A61" s="206"/>
      <c r="B61" s="223"/>
      <c r="C61" s="223"/>
      <c r="D61" s="224"/>
      <c r="E61" s="223"/>
      <c r="F61" s="46"/>
      <c r="G61" s="46"/>
      <c r="H61" s="295"/>
      <c r="I61" s="11"/>
      <c r="J61" s="11"/>
      <c r="K61" s="14"/>
      <c r="L61" s="14"/>
      <c r="M61" s="14"/>
      <c r="N61" s="518" t="s">
        <v>260</v>
      </c>
      <c r="O61" s="518"/>
      <c r="P61" s="394">
        <f>L6</f>
        <v>396</v>
      </c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1"/>
      <c r="AU61" s="11"/>
      <c r="AV61" s="11"/>
      <c r="AW61" s="11"/>
    </row>
    <row r="62" spans="1:60" s="40" customFormat="1" x14ac:dyDescent="0.3">
      <c r="A62" s="206"/>
      <c r="B62" s="223"/>
      <c r="C62" s="223"/>
      <c r="D62" s="224"/>
      <c r="E62" s="223"/>
      <c r="F62" s="46"/>
      <c r="G62" s="46"/>
      <c r="H62" s="295"/>
      <c r="I62" s="11"/>
      <c r="J62" s="11"/>
      <c r="K62" s="14"/>
      <c r="L62" s="14"/>
      <c r="M62" s="14"/>
      <c r="N62" s="520"/>
      <c r="O62" s="520"/>
      <c r="P62" s="52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1"/>
      <c r="AU62" s="11"/>
      <c r="AV62" s="11"/>
      <c r="AW62" s="11"/>
    </row>
    <row r="63" spans="1:60" s="40" customFormat="1" x14ac:dyDescent="0.3">
      <c r="A63" s="206"/>
      <c r="B63" s="223"/>
      <c r="C63" s="223"/>
      <c r="D63" s="224"/>
      <c r="E63" s="223"/>
      <c r="F63" s="46"/>
      <c r="G63" s="46"/>
      <c r="H63" s="295"/>
      <c r="I63" s="11"/>
      <c r="J63" s="11"/>
      <c r="K63" s="62"/>
      <c r="L63" s="62"/>
      <c r="M63" s="62"/>
      <c r="N63" s="520"/>
      <c r="O63" s="520"/>
      <c r="P63" s="52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1"/>
      <c r="AU63" s="11"/>
      <c r="AV63" s="11"/>
      <c r="AW63" s="11"/>
    </row>
    <row r="64" spans="1:60" s="40" customFormat="1" ht="14.4" x14ac:dyDescent="0.3">
      <c r="A64" s="206"/>
      <c r="B64" s="223"/>
      <c r="C64" s="223"/>
      <c r="D64" s="224"/>
      <c r="E64" s="223"/>
      <c r="F64" s="46"/>
      <c r="G64" s="46"/>
      <c r="H64" s="295"/>
      <c r="I64" s="11"/>
      <c r="J64" s="11"/>
      <c r="K64" s="14"/>
      <c r="L64" s="14"/>
      <c r="M64" s="14"/>
      <c r="N64" s="529" t="s">
        <v>12</v>
      </c>
      <c r="O64" s="529"/>
      <c r="P64" s="529"/>
      <c r="Q64" s="175"/>
      <c r="R64" s="178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1"/>
      <c r="AU64" s="11"/>
      <c r="AV64" s="11"/>
      <c r="AW64" s="11"/>
    </row>
    <row r="65" spans="1:48" s="11" customFormat="1" ht="15" customHeight="1" x14ac:dyDescent="0.3">
      <c r="A65" s="206"/>
      <c r="B65" s="223"/>
      <c r="C65" s="223"/>
      <c r="D65" s="224"/>
      <c r="E65" s="223"/>
      <c r="F65" s="46"/>
      <c r="G65" s="46"/>
      <c r="H65" s="295"/>
      <c r="K65" s="63"/>
      <c r="L65" s="63"/>
      <c r="M65" s="63"/>
      <c r="N65" s="592" t="s">
        <v>126</v>
      </c>
      <c r="O65" s="592"/>
      <c r="P65" s="240">
        <v>110.65</v>
      </c>
      <c r="Q65" s="190"/>
      <c r="R65" s="178"/>
    </row>
    <row r="66" spans="1:48" s="11" customFormat="1" ht="15.6" x14ac:dyDescent="0.3">
      <c r="A66" s="206"/>
      <c r="B66" s="223"/>
      <c r="C66" s="223"/>
      <c r="D66" s="224"/>
      <c r="E66" s="223"/>
      <c r="F66" s="46"/>
      <c r="G66" s="46"/>
      <c r="H66" s="295"/>
      <c r="K66" s="14"/>
      <c r="L66" s="14"/>
      <c r="M66" s="14"/>
      <c r="N66" s="593" t="s">
        <v>127</v>
      </c>
      <c r="O66" s="593"/>
      <c r="P66" s="240">
        <v>1665.9</v>
      </c>
      <c r="Q66" s="175"/>
      <c r="R66" s="178"/>
    </row>
    <row r="67" spans="1:48" s="11" customFormat="1" ht="15" customHeight="1" x14ac:dyDescent="0.3">
      <c r="A67" s="206"/>
      <c r="B67" s="223"/>
      <c r="C67" s="223"/>
      <c r="D67" s="224"/>
      <c r="E67" s="223"/>
      <c r="F67" s="46"/>
      <c r="G67" s="46"/>
      <c r="H67" s="295"/>
      <c r="K67" s="63"/>
      <c r="L67" s="63"/>
      <c r="M67" s="63"/>
      <c r="N67" s="594"/>
      <c r="O67" s="594"/>
      <c r="P67" s="239"/>
      <c r="Q67" s="190"/>
      <c r="R67" s="178"/>
    </row>
    <row r="68" spans="1:48" s="11" customFormat="1" ht="15.6" x14ac:dyDescent="0.3">
      <c r="A68" s="206"/>
      <c r="B68" s="223"/>
      <c r="C68" s="223"/>
      <c r="D68" s="224"/>
      <c r="E68" s="223"/>
      <c r="F68" s="46"/>
      <c r="G68" s="46"/>
      <c r="H68" s="295"/>
      <c r="K68" s="14"/>
      <c r="L68" s="14"/>
      <c r="M68" s="14"/>
      <c r="N68" s="594"/>
      <c r="O68" s="594"/>
      <c r="P68" s="251"/>
      <c r="Q68" s="222"/>
      <c r="R68" s="178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</row>
    <row r="69" spans="1:48" s="11" customFormat="1" ht="15.6" x14ac:dyDescent="0.3">
      <c r="A69" s="206"/>
      <c r="B69" s="223"/>
      <c r="C69" s="223"/>
      <c r="D69" s="224"/>
      <c r="E69" s="223"/>
      <c r="F69" s="46"/>
      <c r="G69" s="46"/>
      <c r="H69" s="295"/>
      <c r="K69" s="63"/>
      <c r="L69" s="63"/>
      <c r="M69" s="63"/>
      <c r="N69" s="594"/>
      <c r="O69" s="594"/>
      <c r="P69" s="42"/>
      <c r="Q69" s="175"/>
      <c r="R69" s="178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</row>
    <row r="70" spans="1:48" s="11" customFormat="1" ht="18.600000000000001" customHeight="1" x14ac:dyDescent="0.3">
      <c r="A70" s="206"/>
      <c r="B70" s="223"/>
      <c r="C70" s="223"/>
      <c r="D70" s="224"/>
      <c r="E70" s="223"/>
      <c r="F70" s="46"/>
      <c r="G70" s="46"/>
      <c r="H70" s="295"/>
      <c r="K70" s="63"/>
      <c r="L70" s="63"/>
      <c r="M70" s="63"/>
      <c r="N70" s="586" t="s">
        <v>26</v>
      </c>
      <c r="O70" s="586"/>
      <c r="P70" s="392">
        <f>SUM(P60:P69)</f>
        <v>3497.5280018495969</v>
      </c>
      <c r="Q70" s="175"/>
      <c r="R70" s="178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</row>
    <row r="71" spans="1:48" s="11" customFormat="1" ht="15.6" x14ac:dyDescent="0.3">
      <c r="A71" s="206"/>
      <c r="B71" s="223"/>
      <c r="C71" s="223"/>
      <c r="D71" s="224"/>
      <c r="E71" s="223"/>
      <c r="F71" s="46"/>
      <c r="G71" s="46"/>
      <c r="H71" s="295"/>
      <c r="N71" s="587"/>
      <c r="O71" s="587"/>
      <c r="P71" s="242"/>
      <c r="Q71" s="175"/>
      <c r="R71" s="178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</row>
    <row r="72" spans="1:48" s="11" customFormat="1" ht="14.4" x14ac:dyDescent="0.3">
      <c r="A72" s="206"/>
      <c r="B72" s="223"/>
      <c r="C72" s="223"/>
      <c r="D72" s="224"/>
      <c r="E72" s="223"/>
      <c r="F72" s="46"/>
      <c r="G72" s="46"/>
      <c r="H72" s="295"/>
      <c r="K72" s="63"/>
      <c r="L72" s="63"/>
      <c r="M72" s="63"/>
      <c r="N72" s="564" t="s">
        <v>11</v>
      </c>
      <c r="O72" s="565"/>
      <c r="P72" s="153">
        <f>K6+K36+K41</f>
        <v>19651.329214197209</v>
      </c>
      <c r="Q72" s="175"/>
      <c r="R72" s="178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</row>
    <row r="73" spans="1:48" s="11" customFormat="1" ht="14.4" x14ac:dyDescent="0.3">
      <c r="A73" s="206"/>
      <c r="B73" s="223"/>
      <c r="C73" s="223"/>
      <c r="D73" s="224"/>
      <c r="E73" s="223"/>
      <c r="F73" s="46"/>
      <c r="G73" s="46"/>
      <c r="H73" s="295"/>
      <c r="K73" s="14"/>
      <c r="L73" s="14"/>
      <c r="M73" s="14"/>
      <c r="N73" s="518"/>
      <c r="O73" s="518"/>
      <c r="P73" s="519"/>
      <c r="Q73" s="175"/>
      <c r="R73" s="185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</row>
    <row r="74" spans="1:48" s="11" customFormat="1" ht="14.4" x14ac:dyDescent="0.3">
      <c r="A74" s="206"/>
      <c r="B74" s="223"/>
      <c r="C74" s="223"/>
      <c r="D74" s="224"/>
      <c r="E74" s="223"/>
      <c r="F74" s="46"/>
      <c r="G74" s="46"/>
      <c r="H74" s="295"/>
      <c r="N74" s="513" t="s">
        <v>13</v>
      </c>
      <c r="O74" s="513"/>
      <c r="P74" s="151">
        <f>P72-P70</f>
        <v>16153.801212347611</v>
      </c>
      <c r="Q74" s="175"/>
      <c r="R74" s="176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</row>
    <row r="75" spans="1:48" s="11" customFormat="1" ht="14.4" x14ac:dyDescent="0.3">
      <c r="A75" s="206"/>
      <c r="B75" s="223"/>
      <c r="C75" s="223"/>
      <c r="D75" s="224"/>
      <c r="E75" s="223"/>
      <c r="F75" s="46"/>
      <c r="G75" s="46"/>
      <c r="H75" s="295"/>
      <c r="N75" s="124"/>
      <c r="O75" s="124"/>
      <c r="P75" s="57"/>
      <c r="Q75" s="175"/>
      <c r="R75" s="176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</row>
    <row r="76" spans="1:48" s="11" customFormat="1" ht="14.4" x14ac:dyDescent="0.3">
      <c r="A76" s="206"/>
      <c r="B76" s="223"/>
      <c r="C76" s="223"/>
      <c r="D76" s="224"/>
      <c r="E76" s="223"/>
      <c r="F76" s="46"/>
      <c r="G76" s="46"/>
      <c r="H76" s="295"/>
      <c r="N76" s="124"/>
      <c r="O76" s="124"/>
      <c r="P76" s="57"/>
      <c r="Q76" s="175"/>
      <c r="R76" s="178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</row>
    <row r="77" spans="1:48" s="11" customFormat="1" ht="14.4" x14ac:dyDescent="0.3">
      <c r="A77" s="206"/>
      <c r="B77" s="223"/>
      <c r="C77" s="223"/>
      <c r="D77" s="224"/>
      <c r="E77" s="223"/>
      <c r="F77" s="46"/>
      <c r="G77" s="46"/>
      <c r="H77" s="295"/>
      <c r="K77" s="14"/>
      <c r="L77" s="14"/>
      <c r="M77" s="14"/>
      <c r="N77" s="124"/>
      <c r="O77" s="124"/>
      <c r="P77" s="57"/>
      <c r="Q77" s="175"/>
      <c r="R77" s="178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</row>
    <row r="78" spans="1:48" s="11" customFormat="1" ht="14.4" x14ac:dyDescent="0.3">
      <c r="A78" s="206"/>
      <c r="B78" s="223"/>
      <c r="C78" s="223"/>
      <c r="D78" s="224"/>
      <c r="E78" s="223"/>
      <c r="F78" s="46"/>
      <c r="G78" s="46"/>
      <c r="H78" s="295"/>
      <c r="K78" s="395"/>
      <c r="L78" s="395"/>
      <c r="M78" s="395"/>
      <c r="Q78" s="175"/>
      <c r="R78" s="178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</row>
    <row r="79" spans="1:48" s="11" customFormat="1" ht="14.4" x14ac:dyDescent="0.3">
      <c r="A79" s="206"/>
      <c r="B79" s="223"/>
      <c r="C79" s="223"/>
      <c r="D79" s="224"/>
      <c r="E79" s="223"/>
      <c r="F79" s="46"/>
      <c r="G79" s="46"/>
      <c r="H79" s="295"/>
      <c r="K79" s="14"/>
      <c r="L79" s="14"/>
      <c r="M79" s="14"/>
      <c r="N79" s="395"/>
      <c r="O79" s="14"/>
      <c r="P79" s="57"/>
      <c r="Q79" s="175"/>
      <c r="R79" s="178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</row>
    <row r="80" spans="1:48" s="11" customFormat="1" ht="14.4" x14ac:dyDescent="0.3">
      <c r="A80" s="206"/>
      <c r="B80" s="223"/>
      <c r="C80" s="223"/>
      <c r="D80" s="224"/>
      <c r="E80" s="223"/>
      <c r="F80" s="46"/>
      <c r="G80" s="46"/>
      <c r="H80" s="295"/>
      <c r="K80" s="14"/>
      <c r="L80" s="14"/>
      <c r="M80" s="14"/>
      <c r="O80" s="395"/>
      <c r="P80" s="57"/>
      <c r="Q80" s="175"/>
      <c r="R80" s="178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</row>
    <row r="81" spans="1:48" s="11" customFormat="1" ht="14.4" x14ac:dyDescent="0.3">
      <c r="A81" s="206"/>
      <c r="B81" s="223"/>
      <c r="C81" s="223"/>
      <c r="D81" s="224"/>
      <c r="E81" s="223"/>
      <c r="F81" s="46"/>
      <c r="G81" s="46"/>
      <c r="H81" s="295"/>
      <c r="K81" s="14"/>
      <c r="L81" s="14"/>
      <c r="M81" s="14"/>
      <c r="P81" s="57"/>
      <c r="Q81" s="175"/>
      <c r="R81" s="178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</row>
    <row r="82" spans="1:48" s="11" customFormat="1" x14ac:dyDescent="0.3">
      <c r="A82" s="206"/>
      <c r="B82" s="223"/>
      <c r="C82" s="223"/>
      <c r="D82" s="224"/>
      <c r="E82" s="223"/>
      <c r="F82" s="46"/>
      <c r="G82" s="46"/>
      <c r="H82" s="295"/>
      <c r="K82" s="14"/>
      <c r="L82" s="14"/>
      <c r="M82" s="14"/>
      <c r="N82" s="14"/>
      <c r="O82" s="14"/>
      <c r="P82" s="57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</row>
    <row r="83" spans="1:48" s="69" customFormat="1" x14ac:dyDescent="0.3">
      <c r="A83" s="206"/>
      <c r="B83" s="223"/>
      <c r="C83" s="223"/>
      <c r="D83" s="224"/>
      <c r="E83" s="223"/>
      <c r="F83" s="46"/>
      <c r="G83" s="46"/>
      <c r="H83" s="295"/>
      <c r="I83" s="11"/>
      <c r="J83" s="11"/>
      <c r="K83" s="14"/>
      <c r="L83" s="14"/>
      <c r="M83" s="14"/>
      <c r="N83" s="14"/>
      <c r="O83" s="395"/>
      <c r="P83" s="57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</row>
    <row r="84" spans="1:48" s="69" customFormat="1" x14ac:dyDescent="0.3">
      <c r="A84" s="206"/>
      <c r="B84" s="223"/>
      <c r="C84" s="223"/>
      <c r="D84" s="224"/>
      <c r="E84" s="223"/>
      <c r="F84" s="46"/>
      <c r="G84" s="46"/>
      <c r="H84" s="295"/>
      <c r="I84" s="11"/>
      <c r="J84" s="11"/>
      <c r="K84" s="14"/>
      <c r="L84" s="14"/>
      <c r="M84" s="14"/>
      <c r="N84" s="14"/>
      <c r="O84" s="11"/>
      <c r="P84" s="57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</row>
    <row r="85" spans="1:48" s="69" customFormat="1" x14ac:dyDescent="0.3">
      <c r="A85" s="206"/>
      <c r="B85" s="223"/>
      <c r="C85" s="223"/>
      <c r="D85" s="224"/>
      <c r="E85" s="223"/>
      <c r="F85" s="46"/>
      <c r="G85" s="46"/>
      <c r="H85" s="295"/>
      <c r="I85" s="11"/>
      <c r="J85" s="11"/>
      <c r="K85" s="14"/>
      <c r="L85" s="14"/>
      <c r="M85" s="14"/>
      <c r="N85" s="14"/>
      <c r="O85" s="11"/>
      <c r="P85" s="57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</row>
    <row r="86" spans="1:48" s="69" customFormat="1" x14ac:dyDescent="0.3">
      <c r="A86" s="206"/>
      <c r="B86" s="223"/>
      <c r="C86" s="223"/>
      <c r="D86" s="224"/>
      <c r="E86" s="223"/>
      <c r="F86" s="46"/>
      <c r="G86" s="46"/>
      <c r="H86" s="295"/>
      <c r="I86" s="11"/>
      <c r="J86" s="11"/>
      <c r="K86" s="14"/>
      <c r="L86" s="14"/>
      <c r="M86" s="14"/>
      <c r="N86" s="11"/>
      <c r="O86" s="11"/>
      <c r="P86" s="57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</row>
    <row r="87" spans="1:48" s="69" customFormat="1" x14ac:dyDescent="0.3">
      <c r="A87" s="206"/>
      <c r="B87" s="223"/>
      <c r="C87" s="223"/>
      <c r="D87" s="224"/>
      <c r="E87" s="223"/>
      <c r="F87" s="46"/>
      <c r="G87" s="46"/>
      <c r="H87" s="295"/>
      <c r="I87" s="11"/>
      <c r="J87" s="11"/>
      <c r="K87" s="14"/>
      <c r="L87" s="14"/>
      <c r="M87" s="14"/>
      <c r="N87" s="11"/>
      <c r="O87" s="14"/>
      <c r="P87" s="57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</row>
    <row r="88" spans="1:48" s="69" customFormat="1" x14ac:dyDescent="0.3">
      <c r="A88" s="206"/>
      <c r="B88" s="223"/>
      <c r="C88" s="223"/>
      <c r="D88" s="224"/>
      <c r="E88" s="223"/>
      <c r="F88" s="46"/>
      <c r="G88" s="46"/>
      <c r="H88" s="295"/>
      <c r="I88" s="11"/>
      <c r="J88" s="11"/>
      <c r="K88" s="14"/>
      <c r="L88" s="14"/>
      <c r="M88" s="14"/>
      <c r="N88" s="11"/>
      <c r="O88" s="14"/>
      <c r="P88" s="57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</row>
    <row r="89" spans="1:48" s="69" customFormat="1" x14ac:dyDescent="0.3">
      <c r="A89" s="206"/>
      <c r="B89" s="223"/>
      <c r="C89" s="223"/>
      <c r="D89" s="224"/>
      <c r="E89" s="223"/>
      <c r="F89" s="46"/>
      <c r="G89" s="46"/>
      <c r="H89" s="295"/>
      <c r="I89" s="11"/>
      <c r="J89" s="11"/>
      <c r="K89" s="14"/>
      <c r="L89" s="14"/>
      <c r="M89" s="14"/>
      <c r="N89" s="11"/>
      <c r="O89" s="14"/>
      <c r="P89" s="57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</row>
    <row r="90" spans="1:48" s="69" customFormat="1" x14ac:dyDescent="0.3">
      <c r="A90" s="206"/>
      <c r="B90" s="223"/>
      <c r="C90" s="223"/>
      <c r="D90" s="224"/>
      <c r="E90" s="223"/>
      <c r="F90" s="46"/>
      <c r="G90" s="46"/>
      <c r="H90" s="295"/>
      <c r="I90" s="11"/>
      <c r="J90" s="11"/>
      <c r="K90" s="14"/>
      <c r="L90" s="14"/>
      <c r="M90" s="14"/>
      <c r="N90" s="11"/>
      <c r="O90" s="14"/>
      <c r="P90" s="57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</row>
    <row r="91" spans="1:48" s="69" customFormat="1" x14ac:dyDescent="0.3">
      <c r="A91" s="206"/>
      <c r="B91" s="223"/>
      <c r="C91" s="223"/>
      <c r="D91" s="224"/>
      <c r="E91" s="223"/>
      <c r="F91" s="46"/>
      <c r="G91" s="46"/>
      <c r="H91" s="295"/>
      <c r="I91" s="11"/>
      <c r="J91" s="11"/>
      <c r="K91" s="14"/>
      <c r="L91" s="14"/>
      <c r="M91" s="14"/>
      <c r="N91" s="11"/>
      <c r="O91" s="11"/>
      <c r="P91" s="57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</row>
    <row r="92" spans="1:48" s="69" customFormat="1" x14ac:dyDescent="0.3">
      <c r="A92" s="206"/>
      <c r="B92" s="223"/>
      <c r="C92" s="223"/>
      <c r="D92" s="224"/>
      <c r="E92" s="223"/>
      <c r="F92" s="46"/>
      <c r="G92" s="46"/>
      <c r="H92" s="296"/>
      <c r="I92" s="11"/>
      <c r="J92" s="11"/>
      <c r="K92" s="14"/>
      <c r="L92" s="14"/>
      <c r="M92" s="14"/>
      <c r="N92" s="11"/>
      <c r="O92" s="11"/>
      <c r="P92" s="57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</row>
    <row r="93" spans="1:48" s="69" customFormat="1" x14ac:dyDescent="0.3">
      <c r="A93" s="206"/>
      <c r="B93" s="223"/>
      <c r="C93" s="223"/>
      <c r="D93" s="224"/>
      <c r="E93" s="223"/>
      <c r="F93" s="46"/>
      <c r="G93" s="46"/>
      <c r="H93" s="296"/>
      <c r="I93" s="11"/>
      <c r="J93" s="11"/>
      <c r="K93" s="14"/>
      <c r="L93" s="14"/>
      <c r="M93" s="14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</row>
    <row r="94" spans="1:48" s="69" customFormat="1" x14ac:dyDescent="0.3">
      <c r="A94" s="206"/>
      <c r="B94" s="223"/>
      <c r="C94" s="223"/>
      <c r="D94" s="224"/>
      <c r="E94" s="223"/>
      <c r="F94" s="46"/>
      <c r="G94" s="46"/>
      <c r="H94" s="296"/>
      <c r="K94" s="142"/>
      <c r="L94" s="142"/>
      <c r="M94" s="142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</row>
    <row r="95" spans="1:48" s="70" customFormat="1" x14ac:dyDescent="0.3">
      <c r="A95" s="206"/>
      <c r="B95" s="223"/>
      <c r="C95" s="223"/>
      <c r="D95" s="224"/>
      <c r="E95" s="223"/>
      <c r="F95" s="46"/>
      <c r="G95" s="46"/>
      <c r="H95" s="296"/>
      <c r="I95" s="63"/>
      <c r="J95" s="63"/>
      <c r="K95" s="69"/>
      <c r="L95" s="69"/>
      <c r="M95" s="69"/>
      <c r="N95" s="69"/>
      <c r="O95" s="69"/>
      <c r="P95" s="69"/>
    </row>
    <row r="96" spans="1:48" s="70" customFormat="1" ht="15" customHeight="1" x14ac:dyDescent="0.3">
      <c r="A96" s="206"/>
      <c r="B96" s="223"/>
      <c r="C96" s="223"/>
      <c r="D96" s="224"/>
      <c r="E96" s="223"/>
      <c r="F96" s="46"/>
      <c r="G96" s="46"/>
      <c r="H96" s="296"/>
      <c r="I96" s="11"/>
      <c r="J96" s="63"/>
      <c r="K96" s="142"/>
      <c r="L96" s="142"/>
      <c r="M96" s="142"/>
      <c r="N96" s="69"/>
      <c r="O96" s="69"/>
      <c r="P96" s="69"/>
      <c r="AV96" s="69"/>
    </row>
    <row r="97" spans="1:48" s="70" customFormat="1" x14ac:dyDescent="0.3">
      <c r="A97" s="206"/>
      <c r="B97" s="223"/>
      <c r="C97" s="223"/>
      <c r="D97" s="224"/>
      <c r="E97" s="223"/>
      <c r="F97" s="46"/>
      <c r="G97" s="46"/>
      <c r="H97" s="296"/>
      <c r="I97" s="142"/>
      <c r="J97" s="142"/>
      <c r="K97" s="142"/>
      <c r="L97" s="142"/>
      <c r="M97" s="142"/>
      <c r="N97" s="69"/>
      <c r="O97" s="69"/>
      <c r="P97" s="69"/>
      <c r="AV97" s="69"/>
    </row>
    <row r="98" spans="1:48" s="70" customFormat="1" x14ac:dyDescent="0.3">
      <c r="A98" s="206"/>
      <c r="B98" s="223"/>
      <c r="C98" s="223"/>
      <c r="D98" s="224"/>
      <c r="E98" s="223"/>
      <c r="F98" s="46"/>
      <c r="G98" s="46"/>
      <c r="H98" s="296"/>
      <c r="I98" s="11"/>
      <c r="J98" s="63"/>
      <c r="K98" s="142"/>
      <c r="L98" s="142"/>
      <c r="M98" s="142"/>
      <c r="N98" s="69"/>
      <c r="O98" s="69"/>
      <c r="P98" s="69"/>
      <c r="AV98" s="69"/>
    </row>
    <row r="99" spans="1:48" s="70" customFormat="1" x14ac:dyDescent="0.3">
      <c r="A99" s="206"/>
      <c r="B99" s="223"/>
      <c r="C99" s="223"/>
      <c r="D99" s="224"/>
      <c r="E99" s="223"/>
      <c r="F99" s="46"/>
      <c r="G99" s="46"/>
      <c r="H99" s="296"/>
      <c r="I99" s="142"/>
      <c r="J99" s="142"/>
      <c r="K99" s="142"/>
      <c r="L99" s="142"/>
      <c r="M99" s="142"/>
      <c r="N99" s="69"/>
      <c r="O99" s="69"/>
      <c r="P99" s="69"/>
      <c r="AV99" s="69"/>
    </row>
    <row r="100" spans="1:48" s="70" customFormat="1" x14ac:dyDescent="0.3">
      <c r="A100" s="206"/>
      <c r="B100" s="223"/>
      <c r="C100" s="223"/>
      <c r="D100" s="224"/>
      <c r="E100" s="223"/>
      <c r="F100" s="46"/>
      <c r="G100" s="46"/>
      <c r="H100" s="296"/>
      <c r="I100" s="11"/>
      <c r="J100" s="63"/>
      <c r="K100" s="142"/>
      <c r="L100" s="142"/>
      <c r="M100" s="142"/>
      <c r="N100" s="144"/>
      <c r="O100" s="69"/>
      <c r="P100" s="69"/>
      <c r="AV100" s="69"/>
    </row>
    <row r="101" spans="1:48" s="70" customFormat="1" x14ac:dyDescent="0.3">
      <c r="A101" s="206"/>
      <c r="B101" s="223"/>
      <c r="C101" s="223"/>
      <c r="D101" s="224"/>
      <c r="E101" s="223"/>
      <c r="F101" s="46"/>
      <c r="G101" s="46"/>
      <c r="H101" s="296"/>
      <c r="I101" s="142"/>
      <c r="J101" s="142"/>
      <c r="K101" s="142"/>
      <c r="L101" s="142"/>
      <c r="M101" s="142"/>
      <c r="N101" s="144"/>
      <c r="O101" s="69"/>
      <c r="P101" s="69"/>
      <c r="AV101" s="69"/>
    </row>
    <row r="102" spans="1:48" s="70" customFormat="1" x14ac:dyDescent="0.3">
      <c r="A102" s="206"/>
      <c r="B102" s="223"/>
      <c r="C102" s="223"/>
      <c r="D102" s="224"/>
      <c r="E102" s="223"/>
      <c r="F102" s="46"/>
      <c r="G102" s="46"/>
      <c r="H102" s="296"/>
      <c r="I102" s="11"/>
      <c r="J102" s="63"/>
      <c r="K102" s="142"/>
      <c r="L102" s="142"/>
      <c r="M102" s="142"/>
      <c r="N102" s="144"/>
      <c r="O102" s="69"/>
      <c r="AV102" s="69"/>
    </row>
    <row r="103" spans="1:48" s="70" customFormat="1" x14ac:dyDescent="0.3">
      <c r="A103" s="206"/>
      <c r="B103" s="223"/>
      <c r="C103" s="223"/>
      <c r="D103" s="224"/>
      <c r="E103" s="223"/>
      <c r="F103" s="46"/>
      <c r="G103" s="46"/>
      <c r="H103" s="296"/>
      <c r="I103" s="142"/>
      <c r="J103" s="142"/>
      <c r="K103" s="142"/>
      <c r="L103" s="142"/>
      <c r="M103" s="142"/>
      <c r="N103" s="144"/>
      <c r="O103" s="69"/>
      <c r="AV103" s="69"/>
    </row>
    <row r="104" spans="1:48" s="70" customFormat="1" x14ac:dyDescent="0.3">
      <c r="A104" s="206"/>
      <c r="B104" s="223"/>
      <c r="C104" s="223"/>
      <c r="D104" s="224"/>
      <c r="E104" s="223"/>
      <c r="F104" s="46"/>
      <c r="G104" s="46"/>
      <c r="H104" s="296"/>
      <c r="I104" s="11"/>
      <c r="J104" s="63"/>
      <c r="K104" s="142"/>
      <c r="L104" s="142"/>
      <c r="M104" s="142"/>
      <c r="N104" s="144"/>
      <c r="O104" s="69"/>
      <c r="AV104" s="69"/>
    </row>
    <row r="105" spans="1:48" s="70" customFormat="1" x14ac:dyDescent="0.3">
      <c r="A105" s="148"/>
      <c r="B105" s="225"/>
      <c r="C105" s="225"/>
      <c r="D105" s="225"/>
      <c r="E105" s="225"/>
      <c r="F105" s="46"/>
      <c r="G105" s="46"/>
      <c r="H105" s="296"/>
      <c r="I105" s="142"/>
      <c r="J105" s="142"/>
      <c r="K105" s="142"/>
      <c r="L105" s="142"/>
      <c r="M105" s="142"/>
      <c r="N105" s="144"/>
      <c r="O105" s="144"/>
      <c r="AV105" s="69"/>
    </row>
    <row r="106" spans="1:48" s="70" customFormat="1" x14ac:dyDescent="0.3">
      <c r="A106" s="69"/>
      <c r="B106" s="69"/>
      <c r="C106" s="69"/>
      <c r="D106" s="69"/>
      <c r="E106" s="69"/>
      <c r="F106" s="69"/>
      <c r="G106" s="69"/>
      <c r="H106" s="297"/>
      <c r="I106" s="142"/>
      <c r="J106" s="142"/>
      <c r="K106" s="142"/>
      <c r="L106" s="142"/>
      <c r="M106" s="142"/>
      <c r="N106" s="144"/>
      <c r="O106" s="144"/>
      <c r="AV106" s="69"/>
    </row>
    <row r="107" spans="1:48" s="70" customFormat="1" x14ac:dyDescent="0.3">
      <c r="A107" s="69"/>
      <c r="B107" s="69"/>
      <c r="C107" s="69"/>
      <c r="D107" s="69"/>
      <c r="E107" s="69"/>
      <c r="F107" s="69"/>
      <c r="G107" s="69"/>
      <c r="H107" s="297"/>
      <c r="I107" s="69"/>
      <c r="J107" s="69"/>
      <c r="K107" s="142"/>
      <c r="L107" s="142"/>
      <c r="M107" s="142"/>
      <c r="N107" s="144"/>
      <c r="O107" s="144"/>
      <c r="AV107" s="69"/>
    </row>
    <row r="108" spans="1:48" s="70" customFormat="1" x14ac:dyDescent="0.3">
      <c r="A108" s="69"/>
      <c r="B108" s="69"/>
      <c r="C108" s="69"/>
      <c r="D108" s="69"/>
      <c r="E108" s="69"/>
      <c r="F108" s="69"/>
      <c r="G108" s="69"/>
      <c r="H108" s="297"/>
      <c r="I108" s="69"/>
      <c r="J108" s="69"/>
      <c r="K108" s="142"/>
      <c r="L108" s="142"/>
      <c r="M108" s="142"/>
      <c r="N108" s="144"/>
      <c r="O108" s="144"/>
      <c r="AV108" s="69"/>
    </row>
    <row r="109" spans="1:48" s="70" customFormat="1" x14ac:dyDescent="0.3">
      <c r="A109" s="69"/>
      <c r="B109" s="69"/>
      <c r="C109" s="69"/>
      <c r="D109" s="69"/>
      <c r="E109" s="69"/>
      <c r="F109" s="69"/>
      <c r="G109" s="69"/>
      <c r="H109" s="297"/>
      <c r="I109" s="69"/>
      <c r="J109" s="69"/>
      <c r="K109" s="142"/>
      <c r="L109" s="142"/>
      <c r="M109" s="142"/>
      <c r="N109" s="144"/>
      <c r="O109" s="144"/>
      <c r="AV109" s="69"/>
    </row>
    <row r="110" spans="1:48" s="70" customFormat="1" x14ac:dyDescent="0.3">
      <c r="A110" s="69"/>
      <c r="B110" s="69"/>
      <c r="C110" s="69"/>
      <c r="D110" s="69"/>
      <c r="E110" s="69"/>
      <c r="F110" s="69"/>
      <c r="G110" s="69"/>
      <c r="H110" s="297"/>
      <c r="I110" s="69"/>
      <c r="J110" s="69"/>
      <c r="K110" s="142"/>
      <c r="L110" s="142"/>
      <c r="M110" s="142"/>
      <c r="N110" s="144"/>
      <c r="O110" s="144"/>
      <c r="AV110" s="69"/>
    </row>
    <row r="111" spans="1:48" s="70" customFormat="1" x14ac:dyDescent="0.3">
      <c r="A111" s="69"/>
      <c r="B111" s="69"/>
      <c r="C111" s="69"/>
      <c r="D111" s="69"/>
      <c r="E111" s="69"/>
      <c r="F111" s="69"/>
      <c r="G111" s="69"/>
      <c r="H111" s="297"/>
      <c r="I111" s="69"/>
      <c r="J111" s="69"/>
      <c r="K111" s="142"/>
      <c r="L111" s="142"/>
      <c r="M111" s="142"/>
      <c r="N111" s="144"/>
      <c r="O111" s="144"/>
      <c r="AV111" s="69"/>
    </row>
    <row r="112" spans="1:48" s="70" customFormat="1" x14ac:dyDescent="0.3">
      <c r="A112" s="69"/>
      <c r="B112" s="69"/>
      <c r="C112" s="69"/>
      <c r="D112" s="69"/>
      <c r="E112" s="69"/>
      <c r="F112" s="69"/>
      <c r="G112" s="69"/>
      <c r="H112" s="297"/>
      <c r="I112" s="69"/>
      <c r="J112" s="69"/>
      <c r="K112" s="142"/>
      <c r="L112" s="142"/>
      <c r="M112" s="142"/>
      <c r="N112" s="144"/>
      <c r="O112" s="144"/>
      <c r="AV112" s="69"/>
    </row>
    <row r="113" spans="6:48" s="70" customFormat="1" x14ac:dyDescent="0.3">
      <c r="F113" s="69"/>
      <c r="G113" s="69"/>
      <c r="H113" s="297"/>
      <c r="I113" s="69"/>
      <c r="J113" s="69"/>
      <c r="K113" s="142"/>
      <c r="L113" s="142"/>
      <c r="M113" s="142"/>
      <c r="N113" s="144"/>
      <c r="O113" s="144"/>
      <c r="AV113" s="69"/>
    </row>
    <row r="114" spans="6:48" s="70" customFormat="1" x14ac:dyDescent="0.3">
      <c r="H114" s="298"/>
      <c r="I114" s="69"/>
      <c r="J114" s="69"/>
      <c r="K114" s="142"/>
      <c r="L114" s="142"/>
      <c r="M114" s="142"/>
      <c r="N114" s="144"/>
      <c r="O114" s="144"/>
      <c r="AV114" s="69"/>
    </row>
    <row r="115" spans="6:48" s="70" customFormat="1" x14ac:dyDescent="0.3">
      <c r="H115" s="298"/>
      <c r="K115" s="142"/>
      <c r="L115" s="142"/>
      <c r="M115" s="142"/>
      <c r="N115" s="144"/>
      <c r="O115" s="144"/>
      <c r="AV115" s="69"/>
    </row>
    <row r="116" spans="6:48" s="70" customFormat="1" x14ac:dyDescent="0.3">
      <c r="H116" s="298"/>
      <c r="K116" s="142"/>
      <c r="L116" s="142"/>
      <c r="M116" s="142"/>
      <c r="N116" s="144"/>
      <c r="O116" s="144"/>
      <c r="AV116" s="69"/>
    </row>
    <row r="117" spans="6:48" s="70" customFormat="1" x14ac:dyDescent="0.3">
      <c r="H117" s="298"/>
      <c r="K117" s="142"/>
      <c r="L117" s="142"/>
      <c r="M117" s="142"/>
      <c r="N117" s="144"/>
      <c r="O117" s="144"/>
      <c r="AV117" s="69"/>
    </row>
    <row r="118" spans="6:48" s="70" customFormat="1" x14ac:dyDescent="0.3">
      <c r="H118" s="298"/>
      <c r="K118" s="142"/>
      <c r="L118" s="142"/>
      <c r="M118" s="142"/>
      <c r="N118" s="144"/>
      <c r="O118" s="144"/>
      <c r="AV118" s="69"/>
    </row>
    <row r="119" spans="6:48" s="70" customFormat="1" x14ac:dyDescent="0.3">
      <c r="H119" s="298"/>
      <c r="K119" s="142"/>
      <c r="L119" s="142"/>
      <c r="M119" s="142"/>
      <c r="N119" s="144"/>
      <c r="O119" s="144"/>
      <c r="AV119" s="69"/>
    </row>
    <row r="120" spans="6:48" s="70" customFormat="1" x14ac:dyDescent="0.3">
      <c r="H120" s="298"/>
      <c r="K120" s="142"/>
      <c r="L120" s="142"/>
      <c r="M120" s="142"/>
      <c r="N120" s="144"/>
      <c r="O120" s="144"/>
      <c r="AV120" s="69"/>
    </row>
    <row r="121" spans="6:48" s="70" customFormat="1" x14ac:dyDescent="0.3">
      <c r="H121" s="298"/>
      <c r="K121" s="142"/>
      <c r="L121" s="142"/>
      <c r="M121" s="142"/>
      <c r="N121" s="144"/>
      <c r="O121" s="144"/>
      <c r="AV121" s="69"/>
    </row>
    <row r="122" spans="6:48" s="70" customFormat="1" x14ac:dyDescent="0.3">
      <c r="H122" s="298"/>
      <c r="K122" s="142"/>
      <c r="L122" s="142"/>
      <c r="M122" s="142"/>
      <c r="N122" s="144"/>
      <c r="O122" s="144"/>
      <c r="AV122" s="69"/>
    </row>
    <row r="123" spans="6:48" s="70" customFormat="1" x14ac:dyDescent="0.3">
      <c r="H123" s="298"/>
      <c r="K123" s="142"/>
      <c r="L123" s="142"/>
      <c r="M123" s="142"/>
      <c r="N123" s="144"/>
      <c r="O123" s="144"/>
      <c r="AV123" s="69"/>
    </row>
    <row r="124" spans="6:48" s="70" customFormat="1" x14ac:dyDescent="0.3">
      <c r="H124" s="298"/>
      <c r="K124" s="142"/>
      <c r="L124" s="142"/>
      <c r="M124" s="142"/>
      <c r="N124" s="144"/>
      <c r="O124" s="144"/>
      <c r="AV124" s="69"/>
    </row>
    <row r="125" spans="6:48" s="70" customFormat="1" x14ac:dyDescent="0.3">
      <c r="H125" s="298"/>
      <c r="K125" s="142"/>
      <c r="L125" s="142"/>
      <c r="M125" s="142"/>
      <c r="N125" s="144"/>
      <c r="O125" s="144"/>
      <c r="AV125" s="69"/>
    </row>
    <row r="126" spans="6:48" s="70" customFormat="1" x14ac:dyDescent="0.3">
      <c r="H126" s="298"/>
      <c r="K126" s="142"/>
      <c r="L126" s="142"/>
      <c r="M126" s="142"/>
      <c r="N126" s="144"/>
      <c r="O126" s="144"/>
      <c r="AV126" s="69"/>
    </row>
    <row r="127" spans="6:48" s="70" customFormat="1" x14ac:dyDescent="0.3">
      <c r="H127" s="298"/>
      <c r="K127" s="142"/>
      <c r="L127" s="142"/>
      <c r="M127" s="142"/>
      <c r="N127" s="144"/>
      <c r="O127" s="144"/>
      <c r="AV127" s="69"/>
    </row>
    <row r="128" spans="6:48" s="70" customFormat="1" x14ac:dyDescent="0.3">
      <c r="H128" s="298"/>
      <c r="K128" s="142"/>
      <c r="L128" s="142"/>
      <c r="M128" s="142"/>
      <c r="N128" s="144"/>
      <c r="O128" s="144"/>
      <c r="AV128" s="69"/>
    </row>
    <row r="129" spans="8:48" s="70" customFormat="1" x14ac:dyDescent="0.3">
      <c r="H129" s="298"/>
      <c r="K129" s="142"/>
      <c r="L129" s="142"/>
      <c r="M129" s="142"/>
      <c r="N129" s="144"/>
      <c r="O129" s="144"/>
      <c r="AV129" s="69"/>
    </row>
    <row r="130" spans="8:48" s="70" customFormat="1" x14ac:dyDescent="0.3">
      <c r="H130" s="298"/>
      <c r="K130" s="142"/>
      <c r="L130" s="142"/>
      <c r="M130" s="142"/>
      <c r="N130" s="144"/>
      <c r="O130" s="144"/>
      <c r="AV130" s="69"/>
    </row>
    <row r="131" spans="8:48" s="70" customFormat="1" x14ac:dyDescent="0.3">
      <c r="H131" s="298"/>
      <c r="K131" s="142"/>
      <c r="L131" s="142"/>
      <c r="M131" s="142"/>
      <c r="N131" s="144"/>
      <c r="O131" s="144"/>
      <c r="AV131" s="69"/>
    </row>
    <row r="132" spans="8:48" s="70" customFormat="1" x14ac:dyDescent="0.3">
      <c r="H132" s="298"/>
      <c r="K132" s="142"/>
      <c r="L132" s="142"/>
      <c r="M132" s="142"/>
      <c r="N132" s="144"/>
      <c r="O132" s="144"/>
      <c r="AV132" s="69"/>
    </row>
    <row r="133" spans="8:48" s="70" customFormat="1" x14ac:dyDescent="0.3">
      <c r="H133" s="298"/>
      <c r="K133" s="142"/>
      <c r="L133" s="142"/>
      <c r="M133" s="142"/>
      <c r="N133" s="144"/>
      <c r="O133" s="144"/>
      <c r="AV133" s="69"/>
    </row>
    <row r="134" spans="8:48" s="70" customFormat="1" x14ac:dyDescent="0.3">
      <c r="H134" s="298"/>
      <c r="K134" s="142"/>
      <c r="L134" s="142"/>
      <c r="M134" s="142"/>
      <c r="N134" s="144"/>
      <c r="O134" s="144"/>
      <c r="AV134" s="69"/>
    </row>
    <row r="135" spans="8:48" s="70" customFormat="1" x14ac:dyDescent="0.3">
      <c r="H135" s="298"/>
      <c r="K135" s="142"/>
      <c r="L135" s="142"/>
      <c r="M135" s="142"/>
      <c r="N135" s="144"/>
      <c r="O135" s="144"/>
      <c r="AV135" s="69"/>
    </row>
    <row r="136" spans="8:48" s="70" customFormat="1" x14ac:dyDescent="0.3">
      <c r="H136" s="298"/>
      <c r="K136" s="142"/>
      <c r="L136" s="142"/>
      <c r="M136" s="142"/>
      <c r="N136" s="144"/>
      <c r="O136" s="144"/>
      <c r="AV136" s="69"/>
    </row>
    <row r="137" spans="8:48" s="70" customFormat="1" x14ac:dyDescent="0.3">
      <c r="H137" s="298"/>
      <c r="K137" s="142"/>
      <c r="L137" s="142"/>
      <c r="M137" s="142"/>
      <c r="N137" s="144"/>
      <c r="O137" s="144"/>
      <c r="AV137" s="69"/>
    </row>
    <row r="138" spans="8:48" s="70" customFormat="1" x14ac:dyDescent="0.3">
      <c r="H138" s="298"/>
      <c r="K138" s="142"/>
      <c r="L138" s="142"/>
      <c r="M138" s="142"/>
      <c r="N138" s="144"/>
      <c r="O138" s="144"/>
      <c r="AV138" s="69"/>
    </row>
    <row r="139" spans="8:48" s="70" customFormat="1" x14ac:dyDescent="0.3">
      <c r="H139" s="298"/>
      <c r="K139" s="142"/>
      <c r="L139" s="142"/>
      <c r="M139" s="142"/>
      <c r="N139" s="144"/>
      <c r="O139" s="144"/>
      <c r="AV139" s="69"/>
    </row>
    <row r="140" spans="8:48" s="70" customFormat="1" x14ac:dyDescent="0.3">
      <c r="H140" s="298"/>
      <c r="K140" s="142"/>
      <c r="L140" s="142"/>
      <c r="M140" s="142"/>
      <c r="N140" s="144"/>
      <c r="O140" s="144"/>
      <c r="AV140" s="69"/>
    </row>
    <row r="141" spans="8:48" s="70" customFormat="1" x14ac:dyDescent="0.3">
      <c r="H141" s="298"/>
      <c r="K141" s="142"/>
      <c r="L141" s="142"/>
      <c r="M141" s="142"/>
      <c r="N141" s="144"/>
      <c r="O141" s="144"/>
      <c r="AV141" s="69"/>
    </row>
    <row r="142" spans="8:48" s="70" customFormat="1" x14ac:dyDescent="0.3">
      <c r="H142" s="298"/>
      <c r="K142" s="142"/>
      <c r="L142" s="142"/>
      <c r="M142" s="142"/>
      <c r="N142" s="144"/>
      <c r="O142" s="144"/>
      <c r="AV142" s="69"/>
    </row>
    <row r="143" spans="8:48" s="70" customFormat="1" x14ac:dyDescent="0.3">
      <c r="H143" s="298"/>
      <c r="K143" s="142"/>
      <c r="L143" s="142"/>
      <c r="M143" s="142"/>
      <c r="N143" s="144"/>
      <c r="O143" s="144"/>
      <c r="AV143" s="69"/>
    </row>
    <row r="144" spans="8:48" s="70" customFormat="1" x14ac:dyDescent="0.3">
      <c r="H144" s="298"/>
      <c r="K144" s="142"/>
      <c r="L144" s="142"/>
      <c r="M144" s="142"/>
      <c r="N144" s="144"/>
      <c r="O144" s="144"/>
      <c r="AV144" s="69"/>
    </row>
    <row r="145" spans="8:48" s="70" customFormat="1" x14ac:dyDescent="0.3">
      <c r="H145" s="298"/>
      <c r="K145" s="142"/>
      <c r="L145" s="142"/>
      <c r="M145" s="142"/>
      <c r="N145" s="144"/>
      <c r="O145" s="144"/>
      <c r="AV145" s="69"/>
    </row>
    <row r="146" spans="8:48" s="70" customFormat="1" x14ac:dyDescent="0.3">
      <c r="H146" s="298"/>
      <c r="K146" s="142"/>
      <c r="L146" s="142"/>
      <c r="M146" s="142"/>
      <c r="N146" s="144"/>
      <c r="O146" s="144"/>
      <c r="AV146" s="69"/>
    </row>
    <row r="147" spans="8:48" s="70" customFormat="1" x14ac:dyDescent="0.3">
      <c r="H147" s="298"/>
      <c r="K147" s="142"/>
      <c r="L147" s="142"/>
      <c r="M147" s="142"/>
      <c r="N147" s="144"/>
      <c r="O147" s="144"/>
      <c r="AV147" s="69"/>
    </row>
    <row r="148" spans="8:48" s="70" customFormat="1" x14ac:dyDescent="0.3">
      <c r="H148" s="298"/>
      <c r="K148" s="142"/>
      <c r="L148" s="142"/>
      <c r="M148" s="142"/>
      <c r="N148" s="144"/>
      <c r="O148" s="144"/>
      <c r="AV148" s="69"/>
    </row>
    <row r="149" spans="8:48" s="70" customFormat="1" x14ac:dyDescent="0.3">
      <c r="H149" s="298"/>
      <c r="K149" s="142"/>
      <c r="L149" s="142"/>
      <c r="M149" s="142"/>
      <c r="N149" s="144"/>
      <c r="O149" s="144"/>
      <c r="AV149" s="69"/>
    </row>
    <row r="150" spans="8:48" s="70" customFormat="1" x14ac:dyDescent="0.3">
      <c r="H150" s="298"/>
      <c r="K150" s="142"/>
      <c r="L150" s="142"/>
      <c r="M150" s="142"/>
      <c r="N150" s="144"/>
      <c r="O150" s="144"/>
      <c r="AV150" s="69"/>
    </row>
    <row r="151" spans="8:48" s="70" customFormat="1" x14ac:dyDescent="0.3">
      <c r="H151" s="298"/>
      <c r="K151" s="142"/>
      <c r="L151" s="142"/>
      <c r="M151" s="142"/>
      <c r="N151" s="144"/>
      <c r="O151" s="144"/>
      <c r="AV151" s="69"/>
    </row>
    <row r="152" spans="8:48" s="70" customFormat="1" x14ac:dyDescent="0.3">
      <c r="H152" s="298"/>
      <c r="K152" s="142"/>
      <c r="L152" s="142"/>
      <c r="M152" s="142"/>
      <c r="N152" s="144"/>
      <c r="O152" s="144"/>
      <c r="AV152" s="69"/>
    </row>
    <row r="153" spans="8:48" s="70" customFormat="1" x14ac:dyDescent="0.3">
      <c r="H153" s="298"/>
      <c r="K153" s="142"/>
      <c r="L153" s="142"/>
      <c r="M153" s="142"/>
      <c r="N153" s="144"/>
      <c r="O153" s="144"/>
      <c r="AV153" s="69"/>
    </row>
    <row r="154" spans="8:48" s="70" customFormat="1" x14ac:dyDescent="0.3">
      <c r="H154" s="298"/>
      <c r="K154" s="142"/>
      <c r="L154" s="142"/>
      <c r="M154" s="142"/>
      <c r="N154" s="144"/>
      <c r="O154" s="144"/>
      <c r="AV154" s="69"/>
    </row>
    <row r="155" spans="8:48" s="70" customFormat="1" x14ac:dyDescent="0.3">
      <c r="H155" s="298"/>
      <c r="K155" s="142"/>
      <c r="L155" s="142"/>
      <c r="M155" s="142"/>
      <c r="N155" s="144"/>
      <c r="O155" s="144"/>
      <c r="AV155" s="69"/>
    </row>
    <row r="156" spans="8:48" s="70" customFormat="1" x14ac:dyDescent="0.3">
      <c r="H156" s="298"/>
      <c r="K156" s="142"/>
      <c r="L156" s="142"/>
      <c r="M156" s="142"/>
      <c r="N156" s="144"/>
      <c r="O156" s="144"/>
      <c r="AV156" s="69"/>
    </row>
    <row r="157" spans="8:48" s="70" customFormat="1" x14ac:dyDescent="0.3">
      <c r="H157" s="298"/>
      <c r="K157" s="142"/>
      <c r="L157" s="142"/>
      <c r="M157" s="142"/>
      <c r="N157" s="144"/>
      <c r="O157" s="144"/>
      <c r="AV157" s="69"/>
    </row>
    <row r="158" spans="8:48" s="70" customFormat="1" x14ac:dyDescent="0.3">
      <c r="H158" s="298"/>
      <c r="K158" s="142"/>
      <c r="L158" s="142"/>
      <c r="M158" s="142"/>
      <c r="N158" s="144"/>
      <c r="O158" s="144"/>
      <c r="AV158" s="69"/>
    </row>
    <row r="159" spans="8:48" s="70" customFormat="1" x14ac:dyDescent="0.3">
      <c r="H159" s="298"/>
      <c r="K159" s="142"/>
      <c r="L159" s="142"/>
      <c r="M159" s="142"/>
      <c r="N159" s="144"/>
      <c r="O159" s="144"/>
      <c r="AV159" s="69"/>
    </row>
    <row r="160" spans="8:48" s="70" customFormat="1" x14ac:dyDescent="0.3">
      <c r="H160" s="298"/>
      <c r="K160" s="142"/>
      <c r="L160" s="142"/>
      <c r="M160" s="142"/>
      <c r="N160" s="144"/>
      <c r="O160" s="144"/>
      <c r="AV160" s="69"/>
    </row>
    <row r="161" spans="1:49" s="70" customFormat="1" x14ac:dyDescent="0.3">
      <c r="H161" s="298"/>
      <c r="K161" s="142"/>
      <c r="L161" s="142"/>
      <c r="M161" s="142"/>
      <c r="N161" s="144"/>
      <c r="O161" s="144"/>
      <c r="AV161" s="69"/>
    </row>
    <row r="162" spans="1:49" s="70" customFormat="1" x14ac:dyDescent="0.3">
      <c r="H162" s="298"/>
      <c r="K162" s="142"/>
      <c r="L162" s="142"/>
      <c r="M162" s="142"/>
      <c r="N162" s="144"/>
      <c r="O162" s="144"/>
      <c r="AV162" s="69"/>
    </row>
    <row r="163" spans="1:49" s="70" customFormat="1" x14ac:dyDescent="0.3">
      <c r="H163" s="298"/>
      <c r="K163" s="142"/>
      <c r="L163" s="142"/>
      <c r="M163" s="142"/>
      <c r="N163" s="144"/>
      <c r="O163" s="144"/>
      <c r="AV163" s="69"/>
    </row>
    <row r="164" spans="1:49" s="70" customFormat="1" x14ac:dyDescent="0.3">
      <c r="H164" s="298"/>
      <c r="K164" s="142"/>
      <c r="L164" s="142"/>
      <c r="M164" s="142"/>
      <c r="N164" s="144"/>
      <c r="O164" s="144"/>
      <c r="AV164" s="69"/>
    </row>
    <row r="165" spans="1:49" s="70" customFormat="1" x14ac:dyDescent="0.3">
      <c r="H165" s="298"/>
      <c r="K165" s="142"/>
      <c r="L165" s="142"/>
      <c r="M165" s="142"/>
      <c r="N165" s="144"/>
      <c r="O165" s="144"/>
      <c r="AV165" s="69"/>
    </row>
    <row r="166" spans="1:49" s="70" customFormat="1" x14ac:dyDescent="0.3">
      <c r="H166" s="298"/>
      <c r="K166" s="142"/>
      <c r="L166" s="142"/>
      <c r="M166" s="142"/>
      <c r="N166" s="144"/>
      <c r="O166" s="144"/>
      <c r="AV166" s="69"/>
    </row>
    <row r="167" spans="1:49" s="70" customFormat="1" x14ac:dyDescent="0.3">
      <c r="H167" s="298"/>
      <c r="K167" s="142"/>
      <c r="L167" s="142"/>
      <c r="M167" s="142"/>
      <c r="N167" s="144"/>
      <c r="O167" s="144"/>
      <c r="AV167" s="69"/>
    </row>
    <row r="168" spans="1:49" s="70" customFormat="1" x14ac:dyDescent="0.3">
      <c r="H168" s="298"/>
      <c r="K168" s="142"/>
      <c r="L168" s="142"/>
      <c r="M168" s="142"/>
      <c r="N168" s="144"/>
      <c r="O168" s="144"/>
      <c r="AV168" s="69"/>
    </row>
    <row r="169" spans="1:49" s="70" customFormat="1" x14ac:dyDescent="0.3">
      <c r="H169" s="298"/>
      <c r="K169" s="142"/>
      <c r="L169" s="142"/>
      <c r="M169" s="142"/>
      <c r="N169" s="144"/>
      <c r="O169" s="144"/>
      <c r="AV169" s="69"/>
    </row>
    <row r="170" spans="1:49" s="145" customFormat="1" x14ac:dyDescent="0.3">
      <c r="A170" s="70"/>
      <c r="B170" s="70"/>
      <c r="C170" s="70"/>
      <c r="D170" s="70"/>
      <c r="E170" s="70"/>
      <c r="F170" s="70"/>
      <c r="G170" s="70"/>
      <c r="H170" s="298"/>
      <c r="I170" s="70"/>
      <c r="J170" s="70"/>
      <c r="K170" s="142"/>
      <c r="L170" s="142"/>
      <c r="M170" s="142"/>
      <c r="N170" s="144"/>
      <c r="O170" s="144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69"/>
      <c r="AW170" s="70"/>
    </row>
    <row r="171" spans="1:49" s="145" customFormat="1" x14ac:dyDescent="0.3">
      <c r="A171" s="70"/>
      <c r="B171" s="70"/>
      <c r="C171" s="70"/>
      <c r="D171" s="70"/>
      <c r="E171" s="70"/>
      <c r="F171" s="70"/>
      <c r="G171" s="70"/>
      <c r="H171" s="298"/>
      <c r="I171" s="70"/>
      <c r="J171" s="70"/>
      <c r="K171" s="142"/>
      <c r="L171" s="142"/>
      <c r="M171" s="142"/>
      <c r="N171" s="144"/>
      <c r="O171" s="144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69"/>
      <c r="AW171" s="70"/>
    </row>
    <row r="172" spans="1:49" s="145" customFormat="1" x14ac:dyDescent="0.3">
      <c r="A172" s="70"/>
      <c r="B172" s="70"/>
      <c r="C172" s="70"/>
      <c r="D172" s="70"/>
      <c r="E172" s="70"/>
      <c r="F172" s="70"/>
      <c r="G172" s="70"/>
      <c r="H172" s="298"/>
      <c r="I172" s="70"/>
      <c r="J172" s="70"/>
      <c r="K172" s="142"/>
      <c r="L172" s="142"/>
      <c r="M172" s="142"/>
      <c r="N172" s="144"/>
      <c r="O172" s="144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69"/>
      <c r="AW172" s="70"/>
    </row>
    <row r="173" spans="1:49" s="145" customFormat="1" x14ac:dyDescent="0.3">
      <c r="A173" s="70"/>
      <c r="B173" s="70"/>
      <c r="C173" s="70"/>
      <c r="D173" s="70"/>
      <c r="E173" s="70"/>
      <c r="F173" s="70"/>
      <c r="G173" s="70"/>
      <c r="H173" s="298"/>
      <c r="I173" s="70"/>
      <c r="J173" s="70"/>
      <c r="K173" s="142"/>
      <c r="L173" s="142"/>
      <c r="M173" s="142"/>
      <c r="N173" s="144"/>
      <c r="O173" s="144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69"/>
      <c r="AW173" s="70"/>
    </row>
    <row r="174" spans="1:49" s="145" customFormat="1" x14ac:dyDescent="0.3">
      <c r="A174" s="70"/>
      <c r="B174" s="70"/>
      <c r="C174" s="70"/>
      <c r="D174" s="70"/>
      <c r="E174" s="70"/>
      <c r="F174" s="70"/>
      <c r="G174" s="70"/>
      <c r="H174" s="298"/>
      <c r="I174" s="70"/>
      <c r="J174" s="70"/>
      <c r="K174" s="142"/>
      <c r="L174" s="142"/>
      <c r="M174" s="142"/>
      <c r="N174" s="144"/>
      <c r="O174" s="144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69"/>
      <c r="AW174" s="70"/>
    </row>
    <row r="175" spans="1:49" s="145" customFormat="1" x14ac:dyDescent="0.3">
      <c r="A175" s="70"/>
      <c r="B175" s="70"/>
      <c r="C175" s="70"/>
      <c r="D175" s="70"/>
      <c r="E175" s="70"/>
      <c r="F175" s="70"/>
      <c r="G175" s="70"/>
      <c r="H175" s="298"/>
      <c r="I175" s="70"/>
      <c r="J175" s="70"/>
      <c r="K175" s="142"/>
      <c r="L175" s="142"/>
      <c r="M175" s="142"/>
      <c r="N175" s="144"/>
      <c r="O175" s="144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69"/>
      <c r="AW175" s="70"/>
    </row>
    <row r="176" spans="1:49" s="145" customFormat="1" x14ac:dyDescent="0.3">
      <c r="A176" s="70"/>
      <c r="B176" s="70"/>
      <c r="C176" s="70"/>
      <c r="D176" s="70"/>
      <c r="E176" s="70"/>
      <c r="F176" s="70"/>
      <c r="G176" s="70"/>
      <c r="H176" s="298"/>
      <c r="I176" s="70"/>
      <c r="J176" s="70"/>
      <c r="K176" s="142"/>
      <c r="L176" s="142"/>
      <c r="M176" s="142"/>
      <c r="N176" s="144"/>
      <c r="O176" s="144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69"/>
      <c r="AW176" s="70"/>
    </row>
    <row r="177" spans="1:49" s="145" customFormat="1" x14ac:dyDescent="0.3">
      <c r="A177" s="70"/>
      <c r="B177" s="70"/>
      <c r="C177" s="70"/>
      <c r="D177" s="70"/>
      <c r="E177" s="70"/>
      <c r="F177" s="70"/>
      <c r="G177" s="70"/>
      <c r="H177" s="298"/>
      <c r="I177" s="70"/>
      <c r="J177" s="70"/>
      <c r="K177" s="142"/>
      <c r="L177" s="142"/>
      <c r="M177" s="142"/>
      <c r="N177" s="147"/>
      <c r="O177" s="144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69"/>
      <c r="AW177" s="70"/>
    </row>
    <row r="178" spans="1:49" s="145" customFormat="1" x14ac:dyDescent="0.3">
      <c r="A178" s="70"/>
      <c r="B178" s="70"/>
      <c r="C178" s="70"/>
      <c r="D178" s="70"/>
      <c r="E178" s="70"/>
      <c r="F178" s="70"/>
      <c r="G178" s="70"/>
      <c r="H178" s="298"/>
      <c r="I178" s="70"/>
      <c r="J178" s="70"/>
      <c r="K178" s="142"/>
      <c r="L178" s="142"/>
      <c r="M178" s="142"/>
      <c r="N178" s="147"/>
      <c r="O178" s="144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69"/>
      <c r="AW178" s="70"/>
    </row>
    <row r="179" spans="1:49" s="145" customFormat="1" x14ac:dyDescent="0.3">
      <c r="A179" s="70"/>
      <c r="B179" s="70"/>
      <c r="C179" s="70"/>
      <c r="D179" s="70"/>
      <c r="E179" s="70"/>
      <c r="F179" s="70"/>
      <c r="G179" s="70"/>
      <c r="H179" s="298"/>
      <c r="I179" s="70"/>
      <c r="J179" s="70"/>
      <c r="K179" s="142"/>
      <c r="L179" s="142"/>
      <c r="M179" s="142"/>
      <c r="N179" s="147"/>
      <c r="O179" s="144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69"/>
      <c r="AW179" s="70"/>
    </row>
    <row r="180" spans="1:49" s="145" customFormat="1" x14ac:dyDescent="0.3">
      <c r="A180" s="70"/>
      <c r="B180" s="70"/>
      <c r="C180" s="70"/>
      <c r="D180" s="70"/>
      <c r="E180" s="70"/>
      <c r="F180" s="70"/>
      <c r="G180" s="70"/>
      <c r="H180" s="298"/>
      <c r="I180" s="70"/>
      <c r="J180" s="70"/>
      <c r="K180" s="142"/>
      <c r="L180" s="142"/>
      <c r="M180" s="142"/>
      <c r="N180" s="147"/>
      <c r="O180" s="144"/>
      <c r="P180" s="149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69"/>
      <c r="AW180" s="70"/>
    </row>
    <row r="181" spans="1:49" s="145" customFormat="1" x14ac:dyDescent="0.3">
      <c r="A181" s="70"/>
      <c r="B181" s="70"/>
      <c r="C181" s="70"/>
      <c r="D181" s="70"/>
      <c r="E181" s="70"/>
      <c r="F181" s="70"/>
      <c r="G181" s="70"/>
      <c r="H181" s="298"/>
      <c r="I181" s="70"/>
      <c r="J181" s="70"/>
      <c r="K181" s="142"/>
      <c r="L181" s="142"/>
      <c r="M181" s="142"/>
      <c r="N181" s="147"/>
      <c r="O181" s="144"/>
      <c r="P181" s="149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69"/>
      <c r="AW181" s="70"/>
    </row>
    <row r="182" spans="1:49" s="145" customFormat="1" x14ac:dyDescent="0.3">
      <c r="A182" s="70"/>
      <c r="B182" s="70"/>
      <c r="C182" s="70"/>
      <c r="D182" s="70"/>
      <c r="E182" s="70"/>
      <c r="F182" s="70"/>
      <c r="G182" s="70"/>
      <c r="H182" s="298"/>
      <c r="I182" s="70"/>
      <c r="J182" s="70"/>
      <c r="K182" s="146"/>
      <c r="L182" s="146"/>
      <c r="M182" s="146"/>
      <c r="N182" s="147"/>
      <c r="O182" s="147"/>
      <c r="P182" s="149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69"/>
      <c r="AW182" s="70"/>
    </row>
    <row r="183" spans="1:49" s="145" customFormat="1" x14ac:dyDescent="0.3">
      <c r="A183" s="70"/>
      <c r="B183" s="70"/>
      <c r="C183" s="70"/>
      <c r="D183" s="70"/>
      <c r="E183" s="70"/>
      <c r="F183" s="70"/>
      <c r="G183" s="70"/>
      <c r="H183" s="298"/>
      <c r="I183" s="70"/>
      <c r="J183" s="70"/>
      <c r="K183" s="146"/>
      <c r="L183" s="146"/>
      <c r="M183" s="146"/>
      <c r="N183" s="147"/>
      <c r="O183" s="147"/>
      <c r="P183" s="149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69"/>
      <c r="AW183" s="70"/>
    </row>
    <row r="184" spans="1:49" s="145" customFormat="1" x14ac:dyDescent="0.3">
      <c r="A184" s="70"/>
      <c r="B184" s="70"/>
      <c r="C184" s="70"/>
      <c r="D184" s="70"/>
      <c r="E184" s="70"/>
      <c r="F184" s="70"/>
      <c r="G184" s="70"/>
      <c r="H184" s="298"/>
      <c r="I184" s="70"/>
      <c r="J184" s="70"/>
      <c r="K184" s="146"/>
      <c r="L184" s="146"/>
      <c r="M184" s="146"/>
      <c r="N184" s="147"/>
      <c r="O184" s="147"/>
      <c r="P184" s="149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69"/>
      <c r="AW184" s="70"/>
    </row>
    <row r="185" spans="1:49" s="145" customFormat="1" x14ac:dyDescent="0.3">
      <c r="A185" s="70"/>
      <c r="B185" s="70"/>
      <c r="C185" s="70"/>
      <c r="D185" s="70"/>
      <c r="E185" s="70"/>
      <c r="F185" s="70"/>
      <c r="G185" s="70"/>
      <c r="H185" s="298"/>
      <c r="I185" s="70"/>
      <c r="J185" s="70"/>
      <c r="K185" s="146"/>
      <c r="L185" s="146"/>
      <c r="M185" s="146"/>
      <c r="N185" s="147"/>
      <c r="O185" s="147"/>
      <c r="P185" s="149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69"/>
      <c r="AW185" s="70"/>
    </row>
    <row r="186" spans="1:49" s="145" customFormat="1" x14ac:dyDescent="0.3">
      <c r="A186" s="70"/>
      <c r="B186" s="70"/>
      <c r="C186" s="70"/>
      <c r="D186" s="70"/>
      <c r="E186" s="70"/>
      <c r="F186" s="70"/>
      <c r="G186" s="70"/>
      <c r="H186" s="298"/>
      <c r="I186" s="70"/>
      <c r="J186" s="70"/>
      <c r="K186" s="146"/>
      <c r="L186" s="146"/>
      <c r="M186" s="146"/>
      <c r="N186" s="147"/>
      <c r="O186" s="147"/>
      <c r="P186" s="149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69"/>
      <c r="AW186" s="70"/>
    </row>
    <row r="187" spans="1:49" x14ac:dyDescent="0.3">
      <c r="A187" s="70"/>
      <c r="B187" s="70"/>
      <c r="C187" s="70"/>
      <c r="D187" s="70"/>
      <c r="E187" s="70"/>
      <c r="F187" s="70"/>
      <c r="G187" s="70"/>
      <c r="H187" s="298"/>
      <c r="I187" s="70"/>
      <c r="J187" s="70"/>
      <c r="K187" s="146"/>
      <c r="L187" s="146"/>
      <c r="M187" s="146"/>
      <c r="N187" s="147"/>
      <c r="O187" s="147"/>
      <c r="P187" s="149"/>
      <c r="AV187" s="148"/>
      <c r="AW187" s="148"/>
    </row>
    <row r="188" spans="1:49" x14ac:dyDescent="0.3">
      <c r="A188" s="70"/>
      <c r="B188" s="70"/>
      <c r="C188" s="70"/>
      <c r="D188" s="70"/>
      <c r="E188" s="70"/>
      <c r="F188" s="70"/>
      <c r="G188" s="70"/>
      <c r="H188" s="298"/>
      <c r="I188" s="70"/>
      <c r="J188" s="70"/>
      <c r="K188" s="146"/>
      <c r="L188" s="146"/>
      <c r="M188" s="146"/>
      <c r="N188" s="147"/>
      <c r="O188" s="147"/>
      <c r="P188" s="149"/>
      <c r="AV188" s="148"/>
      <c r="AW188" s="148"/>
    </row>
    <row r="189" spans="1:49" x14ac:dyDescent="0.3">
      <c r="A189" s="70"/>
      <c r="B189" s="70"/>
      <c r="C189" s="70"/>
      <c r="D189" s="70"/>
      <c r="E189" s="70"/>
      <c r="F189" s="70"/>
      <c r="G189" s="70"/>
      <c r="H189" s="298"/>
      <c r="I189" s="70"/>
      <c r="J189" s="70"/>
      <c r="K189" s="146"/>
      <c r="L189" s="146"/>
      <c r="M189" s="146"/>
      <c r="N189" s="147"/>
      <c r="O189" s="147"/>
      <c r="P189" s="149"/>
      <c r="AV189" s="148"/>
      <c r="AW189" s="148"/>
    </row>
    <row r="190" spans="1:49" x14ac:dyDescent="0.3">
      <c r="A190" s="149"/>
      <c r="B190" s="149"/>
      <c r="C190" s="149"/>
      <c r="D190" s="149"/>
      <c r="E190" s="149"/>
      <c r="F190" s="70"/>
      <c r="G190" s="70"/>
      <c r="H190" s="298"/>
      <c r="I190" s="70"/>
      <c r="J190" s="70"/>
      <c r="K190" s="146"/>
      <c r="L190" s="146"/>
      <c r="M190" s="146"/>
      <c r="N190" s="147"/>
      <c r="O190" s="147"/>
      <c r="P190" s="149"/>
      <c r="AV190" s="148"/>
      <c r="AW190" s="148"/>
    </row>
    <row r="191" spans="1:49" x14ac:dyDescent="0.3">
      <c r="A191" s="149"/>
      <c r="B191" s="149"/>
      <c r="C191" s="149"/>
      <c r="D191" s="149"/>
      <c r="E191" s="149"/>
      <c r="F191" s="149"/>
      <c r="G191" s="149"/>
      <c r="H191" s="299"/>
      <c r="I191" s="70"/>
      <c r="J191" s="70"/>
      <c r="K191" s="146"/>
      <c r="L191" s="146"/>
      <c r="M191" s="146"/>
      <c r="N191" s="147"/>
      <c r="O191" s="147"/>
      <c r="P191" s="149"/>
      <c r="AV191" s="148"/>
      <c r="AW191" s="148"/>
    </row>
    <row r="192" spans="1:49" x14ac:dyDescent="0.3">
      <c r="A192" s="149"/>
      <c r="B192" s="149"/>
      <c r="C192" s="149"/>
      <c r="D192" s="149"/>
      <c r="E192" s="149"/>
      <c r="F192" s="149"/>
      <c r="G192" s="149"/>
      <c r="H192" s="299"/>
      <c r="I192" s="149"/>
      <c r="J192" s="149"/>
      <c r="K192" s="146"/>
      <c r="L192" s="146"/>
      <c r="M192" s="146"/>
      <c r="N192" s="147"/>
      <c r="O192" s="147"/>
      <c r="AV192" s="148"/>
      <c r="AW192" s="148"/>
    </row>
    <row r="193" spans="1:49" x14ac:dyDescent="0.3">
      <c r="A193" s="149"/>
      <c r="B193" s="149"/>
      <c r="C193" s="149"/>
      <c r="D193" s="149"/>
      <c r="E193" s="149"/>
      <c r="F193" s="149"/>
      <c r="G193" s="149"/>
      <c r="H193" s="299"/>
      <c r="I193" s="149"/>
      <c r="J193" s="149"/>
      <c r="K193" s="146"/>
      <c r="L193" s="146"/>
      <c r="M193" s="146"/>
      <c r="N193" s="147"/>
      <c r="O193" s="147"/>
      <c r="AV193" s="148"/>
      <c r="AW193" s="148"/>
    </row>
    <row r="194" spans="1:49" x14ac:dyDescent="0.3">
      <c r="A194" s="149"/>
      <c r="B194" s="149"/>
      <c r="C194" s="149"/>
      <c r="D194" s="149"/>
      <c r="E194" s="149"/>
      <c r="F194" s="149"/>
      <c r="G194" s="149"/>
      <c r="H194" s="299"/>
      <c r="I194" s="149"/>
      <c r="J194" s="149"/>
      <c r="K194" s="146"/>
      <c r="L194" s="146"/>
      <c r="M194" s="146"/>
      <c r="O194" s="147"/>
      <c r="AV194" s="148"/>
      <c r="AW194" s="148"/>
    </row>
    <row r="195" spans="1:49" x14ac:dyDescent="0.3">
      <c r="A195" s="149"/>
      <c r="B195" s="149"/>
      <c r="C195" s="149"/>
      <c r="D195" s="149"/>
      <c r="E195" s="149"/>
      <c r="F195" s="149"/>
      <c r="G195" s="149"/>
      <c r="H195" s="299"/>
      <c r="I195" s="149"/>
      <c r="J195" s="149"/>
      <c r="K195" s="146"/>
      <c r="L195" s="146"/>
      <c r="M195" s="146"/>
      <c r="O195" s="147"/>
      <c r="AV195" s="148"/>
      <c r="AW195" s="148"/>
    </row>
    <row r="196" spans="1:49" x14ac:dyDescent="0.3">
      <c r="A196" s="149"/>
      <c r="B196" s="149"/>
      <c r="C196" s="149"/>
      <c r="D196" s="149"/>
      <c r="E196" s="149"/>
      <c r="F196" s="149"/>
      <c r="G196" s="149"/>
      <c r="H196" s="299"/>
      <c r="I196" s="149"/>
      <c r="J196" s="149"/>
      <c r="K196" s="146"/>
      <c r="L196" s="146"/>
      <c r="M196" s="146"/>
      <c r="O196" s="147"/>
      <c r="AV196" s="148"/>
      <c r="AW196" s="148"/>
    </row>
    <row r="197" spans="1:49" x14ac:dyDescent="0.3">
      <c r="A197" s="149"/>
      <c r="B197" s="149"/>
      <c r="C197" s="149"/>
      <c r="D197" s="149"/>
      <c r="E197" s="149"/>
      <c r="F197" s="149"/>
      <c r="G197" s="149"/>
      <c r="H197" s="299"/>
      <c r="I197" s="149"/>
      <c r="J197" s="149"/>
      <c r="K197" s="146"/>
      <c r="L197" s="146"/>
      <c r="M197" s="146"/>
      <c r="O197" s="147"/>
      <c r="AV197" s="148"/>
      <c r="AW197" s="148"/>
    </row>
    <row r="198" spans="1:49" x14ac:dyDescent="0.3">
      <c r="A198" s="149"/>
      <c r="B198" s="149"/>
      <c r="C198" s="149"/>
      <c r="D198" s="149"/>
      <c r="E198" s="149"/>
      <c r="F198" s="149"/>
      <c r="G198" s="149"/>
      <c r="H198" s="299"/>
      <c r="I198" s="149"/>
      <c r="J198" s="149"/>
      <c r="K198" s="146"/>
      <c r="L198" s="146"/>
      <c r="M198" s="146"/>
      <c r="N198" s="148"/>
      <c r="O198" s="147"/>
      <c r="AV198" s="148"/>
      <c r="AW198" s="148"/>
    </row>
    <row r="199" spans="1:49" x14ac:dyDescent="0.3">
      <c r="A199" s="149"/>
      <c r="B199" s="149"/>
      <c r="C199" s="149"/>
      <c r="D199" s="149"/>
      <c r="E199" s="149"/>
      <c r="F199" s="149"/>
      <c r="G199" s="149"/>
      <c r="H199" s="299"/>
      <c r="I199" s="149"/>
      <c r="J199" s="149"/>
    </row>
    <row r="200" spans="1:49" x14ac:dyDescent="0.3">
      <c r="A200" s="149"/>
      <c r="B200" s="149"/>
      <c r="C200" s="149"/>
      <c r="D200" s="149"/>
      <c r="E200" s="149"/>
      <c r="F200" s="149"/>
      <c r="G200" s="149"/>
      <c r="H200" s="299"/>
      <c r="I200" s="149"/>
      <c r="J200" s="14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  <c r="AP200" s="69"/>
      <c r="AQ200" s="69"/>
      <c r="AR200" s="69"/>
      <c r="AS200" s="69"/>
      <c r="AT200" s="69"/>
      <c r="AU200" s="69"/>
      <c r="AV200" s="148"/>
      <c r="AW200" s="148"/>
    </row>
    <row r="201" spans="1:49" x14ac:dyDescent="0.3">
      <c r="A201" s="149"/>
      <c r="B201" s="149"/>
      <c r="C201" s="149"/>
      <c r="D201" s="149"/>
      <c r="E201" s="149"/>
      <c r="F201" s="149"/>
      <c r="G201" s="149"/>
      <c r="H201" s="299"/>
      <c r="I201" s="149"/>
      <c r="J201" s="149"/>
    </row>
    <row r="202" spans="1:49" x14ac:dyDescent="0.3">
      <c r="A202" s="149"/>
      <c r="B202" s="149"/>
      <c r="C202" s="149"/>
      <c r="D202" s="149"/>
      <c r="E202" s="149"/>
      <c r="F202" s="149"/>
      <c r="G202" s="149"/>
      <c r="H202" s="299"/>
      <c r="I202" s="149"/>
      <c r="J202" s="149"/>
    </row>
    <row r="203" spans="1:49" x14ac:dyDescent="0.3">
      <c r="A203" s="149"/>
      <c r="B203" s="149"/>
      <c r="C203" s="149"/>
      <c r="D203" s="149"/>
      <c r="E203" s="149"/>
      <c r="F203" s="149"/>
      <c r="G203" s="149"/>
      <c r="H203" s="299"/>
      <c r="I203" s="149"/>
      <c r="J203" s="149"/>
    </row>
    <row r="204" spans="1:49" x14ac:dyDescent="0.3">
      <c r="A204" s="149"/>
      <c r="B204" s="149"/>
      <c r="C204" s="149"/>
      <c r="D204" s="149"/>
      <c r="E204" s="149"/>
      <c r="F204" s="149"/>
      <c r="G204" s="149"/>
      <c r="H204" s="299"/>
      <c r="I204" s="149"/>
      <c r="J204" s="149"/>
    </row>
    <row r="205" spans="1:49" x14ac:dyDescent="0.3">
      <c r="A205" s="149"/>
      <c r="B205" s="149"/>
      <c r="C205" s="149"/>
      <c r="D205" s="149"/>
      <c r="E205" s="149"/>
      <c r="F205" s="149"/>
      <c r="G205" s="149"/>
      <c r="H205" s="299"/>
      <c r="I205" s="149"/>
      <c r="J205" s="149"/>
    </row>
    <row r="206" spans="1:49" x14ac:dyDescent="0.3">
      <c r="A206" s="149"/>
      <c r="B206" s="149"/>
      <c r="C206" s="149"/>
      <c r="D206" s="149"/>
      <c r="E206" s="149"/>
      <c r="F206" s="149"/>
      <c r="G206" s="149"/>
      <c r="H206" s="299"/>
      <c r="I206" s="149"/>
      <c r="J206" s="149"/>
    </row>
    <row r="207" spans="1:49" x14ac:dyDescent="0.3">
      <c r="F207" s="149"/>
      <c r="G207" s="149"/>
      <c r="H207" s="299"/>
      <c r="I207" s="149"/>
      <c r="J207" s="149"/>
    </row>
    <row r="208" spans="1:49" x14ac:dyDescent="0.3">
      <c r="I208" s="149"/>
      <c r="J208" s="149"/>
    </row>
    <row r="212" spans="11:13" x14ac:dyDescent="0.3">
      <c r="K212" s="148"/>
      <c r="L212" s="148"/>
      <c r="M212" s="148"/>
    </row>
    <row r="1048536" spans="1:60" x14ac:dyDescent="0.3">
      <c r="P1048536" s="57"/>
    </row>
    <row r="1048544" spans="1:60" s="70" customFormat="1" x14ac:dyDescent="0.3">
      <c r="A1048544" s="148"/>
      <c r="B1048544" s="148"/>
      <c r="C1048544" s="148"/>
      <c r="D1048544" s="148"/>
      <c r="E1048544" s="148"/>
      <c r="F1048544" s="148"/>
      <c r="G1048544" s="148"/>
      <c r="H1048544" s="297"/>
      <c r="I1048544" s="148"/>
      <c r="J1048544" s="148"/>
      <c r="K1048544" s="150"/>
      <c r="L1048544" s="150"/>
      <c r="M1048544" s="150"/>
      <c r="N1048544" s="150"/>
      <c r="O1048544" s="150"/>
      <c r="P1048544" s="148"/>
      <c r="AV1048544" s="69"/>
      <c r="AW1048544" s="69"/>
      <c r="AX1048544" s="148"/>
      <c r="AY1048544" s="148"/>
      <c r="AZ1048544" s="148"/>
      <c r="BA1048544" s="148"/>
      <c r="BB1048544" s="148"/>
      <c r="BC1048544" s="148"/>
      <c r="BD1048544" s="148"/>
      <c r="BE1048544" s="148"/>
      <c r="BF1048544" s="148"/>
      <c r="BG1048544" s="148"/>
      <c r="BH1048544" s="148"/>
    </row>
  </sheetData>
  <mergeCells count="43">
    <mergeCell ref="A42:N42"/>
    <mergeCell ref="A1:P1"/>
    <mergeCell ref="A2:P2"/>
    <mergeCell ref="A6:B6"/>
    <mergeCell ref="A7:P7"/>
    <mergeCell ref="A36:B36"/>
    <mergeCell ref="A37:P37"/>
    <mergeCell ref="E38:J38"/>
    <mergeCell ref="E39:J39"/>
    <mergeCell ref="E40:J40"/>
    <mergeCell ref="A41:J41"/>
    <mergeCell ref="N41:P41"/>
    <mergeCell ref="E54:J54"/>
    <mergeCell ref="A43:P43"/>
    <mergeCell ref="E44:J44"/>
    <mergeCell ref="E45:J45"/>
    <mergeCell ref="E46:J46"/>
    <mergeCell ref="E47:J47"/>
    <mergeCell ref="E48:J48"/>
    <mergeCell ref="E49:J49"/>
    <mergeCell ref="E50:J50"/>
    <mergeCell ref="E51:J51"/>
    <mergeCell ref="E52:J52"/>
    <mergeCell ref="E53:J53"/>
    <mergeCell ref="N67:O67"/>
    <mergeCell ref="E55:J55"/>
    <mergeCell ref="E56:J56"/>
    <mergeCell ref="A57:J57"/>
    <mergeCell ref="A59:E59"/>
    <mergeCell ref="N59:P59"/>
    <mergeCell ref="N60:O60"/>
    <mergeCell ref="N61:O61"/>
    <mergeCell ref="N62:P63"/>
    <mergeCell ref="N64:P64"/>
    <mergeCell ref="N65:O65"/>
    <mergeCell ref="N66:O66"/>
    <mergeCell ref="N74:O74"/>
    <mergeCell ref="N68:O68"/>
    <mergeCell ref="N69:O69"/>
    <mergeCell ref="N70:O70"/>
    <mergeCell ref="N71:O71"/>
    <mergeCell ref="N72:O72"/>
    <mergeCell ref="N73:P73"/>
  </mergeCells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AB96A-64CA-4E66-A30B-483BAFCB4AFC}">
  <dimension ref="A1:BH1048542"/>
  <sheetViews>
    <sheetView zoomScale="60" zoomScaleNormal="60" workbookViewId="0">
      <selection activeCell="A7" sqref="A7:P7"/>
    </sheetView>
  </sheetViews>
  <sheetFormatPr defaultColWidth="9.109375" defaultRowHeight="13.8" x14ac:dyDescent="0.3"/>
  <cols>
    <col min="1" max="1" width="50.6640625" style="148" bestFit="1" customWidth="1"/>
    <col min="2" max="2" width="8.33203125" style="148" bestFit="1" customWidth="1"/>
    <col min="3" max="3" width="17.33203125" style="148" customWidth="1"/>
    <col min="4" max="4" width="17.109375" style="148" bestFit="1" customWidth="1"/>
    <col min="5" max="5" width="18.33203125" style="148" customWidth="1"/>
    <col min="6" max="6" width="17.109375" style="148" bestFit="1" customWidth="1"/>
    <col min="7" max="7" width="16" style="148" bestFit="1" customWidth="1"/>
    <col min="8" max="8" width="15.88671875" style="297" bestFit="1" customWidth="1"/>
    <col min="9" max="9" width="12.6640625" style="148" customWidth="1"/>
    <col min="10" max="10" width="19.109375" style="148" customWidth="1"/>
    <col min="11" max="11" width="16.77734375" style="150" bestFit="1" customWidth="1"/>
    <col min="12" max="12" width="15.88671875" style="150" bestFit="1" customWidth="1"/>
    <col min="13" max="13" width="17.109375" style="150" bestFit="1" customWidth="1"/>
    <col min="14" max="14" width="130.5546875" style="150" customWidth="1"/>
    <col min="15" max="15" width="8.6640625" style="150" customWidth="1"/>
    <col min="16" max="16" width="16.77734375" style="148" bestFit="1" customWidth="1"/>
    <col min="17" max="18" width="13.109375" style="70" bestFit="1" customWidth="1"/>
    <col min="19" max="47" width="9.109375" style="70"/>
    <col min="48" max="49" width="9.109375" style="69"/>
    <col min="50" max="16384" width="9.109375" style="148"/>
  </cols>
  <sheetData>
    <row r="1" spans="1:42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</row>
    <row r="2" spans="1:42" s="10" customFormat="1" ht="28.5" customHeight="1" x14ac:dyDescent="0.3">
      <c r="A2" s="571" t="s">
        <v>1275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3"/>
    </row>
    <row r="3" spans="1:42" s="10" customFormat="1" ht="33.6" customHeight="1" x14ac:dyDescent="0.3">
      <c r="A3" s="83" t="s">
        <v>3</v>
      </c>
      <c r="B3" s="83" t="s">
        <v>0</v>
      </c>
      <c r="C3" s="83" t="s">
        <v>821</v>
      </c>
      <c r="D3" s="84" t="s">
        <v>1</v>
      </c>
      <c r="E3" s="84" t="s">
        <v>68</v>
      </c>
      <c r="F3" s="84" t="s">
        <v>69</v>
      </c>
      <c r="G3" s="85" t="s">
        <v>2</v>
      </c>
      <c r="H3" s="85" t="s">
        <v>592</v>
      </c>
      <c r="I3" s="84" t="s">
        <v>6</v>
      </c>
      <c r="J3" s="84" t="s">
        <v>7</v>
      </c>
      <c r="K3" s="84" t="s">
        <v>4</v>
      </c>
      <c r="L3" s="84" t="s">
        <v>5</v>
      </c>
      <c r="M3" s="84" t="s">
        <v>70</v>
      </c>
      <c r="N3" s="83" t="s">
        <v>59</v>
      </c>
      <c r="O3" s="86" t="s">
        <v>8</v>
      </c>
      <c r="P3" s="86" t="s">
        <v>10</v>
      </c>
    </row>
    <row r="4" spans="1:42" s="417" customFormat="1" ht="24.6" customHeight="1" x14ac:dyDescent="0.3">
      <c r="A4" s="88"/>
      <c r="B4" s="408"/>
      <c r="C4" s="408"/>
      <c r="D4" s="5">
        <v>0</v>
      </c>
      <c r="E4" s="420">
        <v>0</v>
      </c>
      <c r="F4" s="5">
        <f t="shared" ref="F4" si="0">D4-E4</f>
        <v>0</v>
      </c>
      <c r="G4" s="421">
        <v>0</v>
      </c>
      <c r="H4" s="420">
        <v>0</v>
      </c>
      <c r="I4" s="420">
        <v>0</v>
      </c>
      <c r="J4" s="420">
        <v>0</v>
      </c>
      <c r="K4" s="407">
        <f>SUM(F4:J4)</f>
        <v>0</v>
      </c>
      <c r="L4" s="420">
        <f>60%*(D4+G4)</f>
        <v>0</v>
      </c>
      <c r="M4" s="420">
        <f>K4-L4</f>
        <v>0</v>
      </c>
      <c r="N4" s="408"/>
      <c r="O4" s="3"/>
      <c r="P4" s="3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422"/>
      <c r="AM4" s="423"/>
      <c r="AN4" s="423"/>
      <c r="AO4" s="423"/>
      <c r="AP4" s="423"/>
    </row>
    <row r="5" spans="1:42" s="206" customFormat="1" ht="24.6" customHeight="1" x14ac:dyDescent="0.3">
      <c r="A5" s="195"/>
      <c r="B5" s="410"/>
      <c r="C5" s="410"/>
      <c r="D5" s="196">
        <v>0</v>
      </c>
      <c r="E5" s="416">
        <v>0</v>
      </c>
      <c r="F5" s="196">
        <f>D5-E5</f>
        <v>0</v>
      </c>
      <c r="G5" s="416">
        <v>0</v>
      </c>
      <c r="H5" s="416">
        <v>0</v>
      </c>
      <c r="I5" s="416">
        <v>0</v>
      </c>
      <c r="J5" s="416">
        <v>0</v>
      </c>
      <c r="K5" s="412">
        <f>SUM(F5:J5)</f>
        <v>0</v>
      </c>
      <c r="L5" s="416">
        <f>60%*(D5+G5)</f>
        <v>0</v>
      </c>
      <c r="M5" s="416">
        <f>K5-L5</f>
        <v>0</v>
      </c>
      <c r="N5" s="410"/>
      <c r="O5" s="197"/>
      <c r="P5" s="197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</row>
    <row r="6" spans="1:42" s="10" customFormat="1" ht="25.05" customHeight="1" x14ac:dyDescent="0.3">
      <c r="A6" s="518" t="s">
        <v>4</v>
      </c>
      <c r="B6" s="518"/>
      <c r="C6" s="405"/>
      <c r="D6" s="407">
        <f>SUM(D4:D5)</f>
        <v>0</v>
      </c>
      <c r="E6" s="407">
        <f t="shared" ref="E6:J6" si="1">SUM(E4:E5)</f>
        <v>0</v>
      </c>
      <c r="F6" s="407">
        <f t="shared" si="1"/>
        <v>0</v>
      </c>
      <c r="G6" s="407">
        <f t="shared" si="1"/>
        <v>0</v>
      </c>
      <c r="H6" s="407">
        <f t="shared" si="1"/>
        <v>0</v>
      </c>
      <c r="I6" s="407">
        <f t="shared" si="1"/>
        <v>0</v>
      </c>
      <c r="J6" s="407">
        <f t="shared" si="1"/>
        <v>0</v>
      </c>
      <c r="K6" s="407">
        <f>SUM(K4:K5)</f>
        <v>0</v>
      </c>
      <c r="L6" s="407">
        <f>SUM(L4:L5)</f>
        <v>0</v>
      </c>
      <c r="M6" s="407">
        <f>SUM(M4:M5)</f>
        <v>0</v>
      </c>
      <c r="N6" s="408"/>
      <c r="O6" s="3"/>
      <c r="P6" s="3"/>
    </row>
    <row r="7" spans="1:42" s="10" customFormat="1" ht="25.05" customHeight="1" x14ac:dyDescent="0.3">
      <c r="A7" s="571" t="s">
        <v>1276</v>
      </c>
      <c r="B7" s="572"/>
      <c r="C7" s="572"/>
      <c r="D7" s="572"/>
      <c r="E7" s="572"/>
      <c r="F7" s="572"/>
      <c r="G7" s="572"/>
      <c r="H7" s="572"/>
      <c r="I7" s="572"/>
      <c r="J7" s="572"/>
      <c r="K7" s="572"/>
      <c r="L7" s="572"/>
      <c r="M7" s="572"/>
      <c r="N7" s="572"/>
      <c r="O7" s="572"/>
      <c r="P7" s="573"/>
    </row>
    <row r="8" spans="1:42" s="11" customFormat="1" ht="34.799999999999997" customHeight="1" x14ac:dyDescent="0.3">
      <c r="A8" s="83" t="s">
        <v>3</v>
      </c>
      <c r="B8" s="83" t="s">
        <v>0</v>
      </c>
      <c r="C8" s="83" t="s">
        <v>821</v>
      </c>
      <c r="D8" s="84" t="s">
        <v>1</v>
      </c>
      <c r="E8" s="84" t="s">
        <v>68</v>
      </c>
      <c r="F8" s="84" t="s">
        <v>69</v>
      </c>
      <c r="G8" s="85" t="s">
        <v>2</v>
      </c>
      <c r="H8" s="85" t="s">
        <v>592</v>
      </c>
      <c r="I8" s="84" t="s">
        <v>6</v>
      </c>
      <c r="J8" s="84" t="s">
        <v>7</v>
      </c>
      <c r="K8" s="84" t="s">
        <v>4</v>
      </c>
      <c r="L8" s="84" t="s">
        <v>5</v>
      </c>
      <c r="M8" s="84" t="s">
        <v>70</v>
      </c>
      <c r="N8" s="83" t="s">
        <v>59</v>
      </c>
      <c r="O8" s="86" t="s">
        <v>8</v>
      </c>
      <c r="P8" s="86" t="s">
        <v>10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</row>
    <row r="9" spans="1:42" s="414" customFormat="1" ht="24.6" customHeight="1" x14ac:dyDescent="0.3">
      <c r="A9" s="88" t="s">
        <v>1079</v>
      </c>
      <c r="B9" s="408">
        <v>1</v>
      </c>
      <c r="C9" s="408" t="s">
        <v>830</v>
      </c>
      <c r="D9" s="5">
        <f>'[2]GERAL 2025'!G3</f>
        <v>610</v>
      </c>
      <c r="E9" s="420">
        <v>0</v>
      </c>
      <c r="F9" s="420">
        <f t="shared" ref="F9:F25" si="2">D9-E9</f>
        <v>610</v>
      </c>
      <c r="G9" s="5">
        <v>50</v>
      </c>
      <c r="H9" s="420">
        <f>(1676.7/27)</f>
        <v>62.1</v>
      </c>
      <c r="I9" s="420">
        <f>'[2]GERAL 2025'!I3</f>
        <v>1.3720449172576832</v>
      </c>
      <c r="J9" s="420">
        <v>0</v>
      </c>
      <c r="K9" s="407">
        <f t="shared" ref="K9:K35" si="3">SUM(F9:J9)</f>
        <v>723.47204491725768</v>
      </c>
      <c r="L9" s="420">
        <f>7%*K9</f>
        <v>50.643043144208043</v>
      </c>
      <c r="M9" s="420">
        <f>K9-L9</f>
        <v>672.82900177304964</v>
      </c>
      <c r="N9" s="5" t="s">
        <v>1277</v>
      </c>
      <c r="O9" s="3">
        <v>10</v>
      </c>
      <c r="P9" s="3">
        <v>11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s="96" customFormat="1" ht="26.4" customHeight="1" x14ac:dyDescent="0.3">
      <c r="A10" s="408" t="s">
        <v>1210</v>
      </c>
      <c r="B10" s="417">
        <v>2</v>
      </c>
      <c r="C10" s="408" t="s">
        <v>822</v>
      </c>
      <c r="D10" s="5">
        <f>660</f>
        <v>660</v>
      </c>
      <c r="E10" s="5">
        <v>0</v>
      </c>
      <c r="F10" s="5">
        <f t="shared" si="2"/>
        <v>660</v>
      </c>
      <c r="G10" s="5">
        <f>50</f>
        <v>50</v>
      </c>
      <c r="H10" s="420">
        <f t="shared" ref="H10:H35" si="4">(1676.7/27)</f>
        <v>62.1</v>
      </c>
      <c r="I10" s="420">
        <f>'[2]GERAL 2025'!I40</f>
        <v>1.3720449172576832</v>
      </c>
      <c r="J10" s="5">
        <v>0</v>
      </c>
      <c r="K10" s="407">
        <f t="shared" si="3"/>
        <v>773.47204491725768</v>
      </c>
      <c r="L10" s="420">
        <f>7%*K10</f>
        <v>54.143043144208043</v>
      </c>
      <c r="M10" s="420">
        <f t="shared" ref="M10:M34" si="5">K10-L10</f>
        <v>719.32900177304964</v>
      </c>
      <c r="N10" s="408" t="s">
        <v>1278</v>
      </c>
      <c r="O10" s="3">
        <v>10</v>
      </c>
      <c r="P10" s="3">
        <v>11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16"/>
      <c r="AM10" s="17"/>
      <c r="AN10" s="17"/>
      <c r="AO10" s="17"/>
      <c r="AP10" s="17"/>
    </row>
    <row r="11" spans="1:42" s="6" customFormat="1" ht="24.6" customHeight="1" x14ac:dyDescent="0.3">
      <c r="A11" s="408" t="s">
        <v>1005</v>
      </c>
      <c r="B11" s="417">
        <v>3</v>
      </c>
      <c r="C11" s="408" t="s">
        <v>822</v>
      </c>
      <c r="D11" s="5">
        <v>0</v>
      </c>
      <c r="E11" s="5">
        <v>0</v>
      </c>
      <c r="F11" s="5">
        <f t="shared" si="2"/>
        <v>0</v>
      </c>
      <c r="G11" s="5"/>
      <c r="H11" s="420">
        <v>0</v>
      </c>
      <c r="I11" s="420">
        <v>0</v>
      </c>
      <c r="J11" s="5">
        <v>0</v>
      </c>
      <c r="K11" s="407">
        <f t="shared" si="3"/>
        <v>0</v>
      </c>
      <c r="L11" s="420">
        <f>7%*K11</f>
        <v>0</v>
      </c>
      <c r="M11" s="420">
        <f>K11-L11</f>
        <v>0</v>
      </c>
      <c r="N11" s="5" t="s">
        <v>179</v>
      </c>
      <c r="O11" s="3">
        <v>10</v>
      </c>
      <c r="P11" s="3">
        <v>11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</row>
    <row r="12" spans="1:42" s="414" customFormat="1" ht="24.6" customHeight="1" x14ac:dyDescent="0.3">
      <c r="A12" s="408" t="s">
        <v>1133</v>
      </c>
      <c r="B12" s="408">
        <v>4</v>
      </c>
      <c r="C12" s="408" t="s">
        <v>829</v>
      </c>
      <c r="D12" s="5">
        <f>660</f>
        <v>660</v>
      </c>
      <c r="E12" s="5">
        <v>0</v>
      </c>
      <c r="F12" s="5">
        <f t="shared" si="2"/>
        <v>660</v>
      </c>
      <c r="G12" s="420">
        <f>50</f>
        <v>50</v>
      </c>
      <c r="H12" s="420">
        <f t="shared" si="4"/>
        <v>62.1</v>
      </c>
      <c r="I12" s="420">
        <f>'[2]GERAL 2025'!I34</f>
        <v>1.3720449172576832</v>
      </c>
      <c r="J12" s="420">
        <v>0</v>
      </c>
      <c r="K12" s="407">
        <f t="shared" si="3"/>
        <v>773.47204491725768</v>
      </c>
      <c r="L12" s="420">
        <f>7%*K12</f>
        <v>54.143043144208043</v>
      </c>
      <c r="M12" s="420">
        <f t="shared" si="5"/>
        <v>719.32900177304964</v>
      </c>
      <c r="N12" s="408" t="s">
        <v>1278</v>
      </c>
      <c r="O12" s="3">
        <v>10</v>
      </c>
      <c r="P12" s="417">
        <v>11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s="414" customFormat="1" ht="24.6" customHeight="1" x14ac:dyDescent="0.3">
      <c r="A13" s="408" t="s">
        <v>744</v>
      </c>
      <c r="B13" s="408">
        <v>5</v>
      </c>
      <c r="C13" s="408" t="s">
        <v>823</v>
      </c>
      <c r="D13" s="5">
        <f>'[2]GERAL 2023'!G7+(6.53784 %*580)</f>
        <v>617.91947200000004</v>
      </c>
      <c r="E13" s="420">
        <v>0</v>
      </c>
      <c r="F13" s="420">
        <f t="shared" si="2"/>
        <v>617.91947200000004</v>
      </c>
      <c r="G13" s="420">
        <f>50</f>
        <v>50</v>
      </c>
      <c r="H13" s="420">
        <f t="shared" si="4"/>
        <v>62.1</v>
      </c>
      <c r="I13" s="420">
        <f>'[2]GERAL 2025'!I7</f>
        <v>1.3720449172576832</v>
      </c>
      <c r="J13" s="420">
        <v>0</v>
      </c>
      <c r="K13" s="407">
        <f t="shared" si="3"/>
        <v>731.39151691725772</v>
      </c>
      <c r="L13" s="420">
        <f>7%*K13</f>
        <v>51.197406184208042</v>
      </c>
      <c r="M13" s="420">
        <f t="shared" si="5"/>
        <v>680.19411073304968</v>
      </c>
      <c r="N13" s="408" t="s">
        <v>1278</v>
      </c>
      <c r="O13" s="3">
        <v>10</v>
      </c>
      <c r="P13" s="3">
        <v>11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s="11" customFormat="1" ht="24.6" customHeight="1" x14ac:dyDescent="0.3">
      <c r="A14" s="408" t="s">
        <v>745</v>
      </c>
      <c r="B14" s="408">
        <v>6</v>
      </c>
      <c r="C14" s="408" t="s">
        <v>823</v>
      </c>
      <c r="D14" s="5">
        <f>'[2]GERAL 2023'!G8+(6.53784%*680)</f>
        <v>724.457312</v>
      </c>
      <c r="E14" s="5">
        <v>0</v>
      </c>
      <c r="F14" s="420">
        <f t="shared" si="2"/>
        <v>724.457312</v>
      </c>
      <c r="G14" s="420">
        <v>50</v>
      </c>
      <c r="H14" s="420">
        <f t="shared" si="4"/>
        <v>62.1</v>
      </c>
      <c r="I14" s="420">
        <f>'[2]GERAL 2025'!I8</f>
        <v>1.9208628841607567</v>
      </c>
      <c r="J14" s="420">
        <v>0</v>
      </c>
      <c r="K14" s="407">
        <f t="shared" si="3"/>
        <v>838.47817488416081</v>
      </c>
      <c r="L14" s="420">
        <f t="shared" ref="L14:L35" si="6">7%*K14</f>
        <v>58.693472241891264</v>
      </c>
      <c r="M14" s="420">
        <f>K14-L14</f>
        <v>779.78470264226951</v>
      </c>
      <c r="N14" s="408" t="s">
        <v>1278</v>
      </c>
      <c r="O14" s="3">
        <v>10</v>
      </c>
      <c r="P14" s="3">
        <v>11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</row>
    <row r="15" spans="1:42" s="414" customFormat="1" ht="24.6" customHeight="1" x14ac:dyDescent="0.3">
      <c r="A15" s="408" t="s">
        <v>1136</v>
      </c>
      <c r="B15" s="408">
        <v>7</v>
      </c>
      <c r="C15" s="408" t="s">
        <v>829</v>
      </c>
      <c r="D15" s="5">
        <f>690</f>
        <v>690</v>
      </c>
      <c r="E15" s="5">
        <v>0</v>
      </c>
      <c r="F15" s="5">
        <f t="shared" si="2"/>
        <v>690</v>
      </c>
      <c r="G15" s="5">
        <v>0</v>
      </c>
      <c r="H15" s="420">
        <f t="shared" si="4"/>
        <v>62.1</v>
      </c>
      <c r="I15" s="420">
        <f>'[2]GERAL 2025'!I35</f>
        <v>1.3720449172576832</v>
      </c>
      <c r="J15" s="5"/>
      <c r="K15" s="407">
        <f t="shared" si="3"/>
        <v>753.47204491725768</v>
      </c>
      <c r="L15" s="420">
        <f>7%*K15</f>
        <v>52.743043144208045</v>
      </c>
      <c r="M15" s="420">
        <f>K15-L15</f>
        <v>700.72900177304962</v>
      </c>
      <c r="N15" s="5" t="s">
        <v>1279</v>
      </c>
      <c r="O15" s="3">
        <v>10</v>
      </c>
      <c r="P15" s="3">
        <v>11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s="414" customFormat="1" ht="24.6" customHeight="1" x14ac:dyDescent="0.3">
      <c r="A16" s="408" t="s">
        <v>1085</v>
      </c>
      <c r="B16" s="408">
        <v>8</v>
      </c>
      <c r="C16" s="408" t="s">
        <v>830</v>
      </c>
      <c r="D16" s="5">
        <f>'[2]GERAL 2025'!G10</f>
        <v>640</v>
      </c>
      <c r="E16" s="420">
        <v>0</v>
      </c>
      <c r="F16" s="5">
        <f t="shared" si="2"/>
        <v>640</v>
      </c>
      <c r="G16" s="420">
        <v>0</v>
      </c>
      <c r="H16" s="420">
        <f t="shared" si="4"/>
        <v>62.1</v>
      </c>
      <c r="I16" s="420">
        <f>'[2]GERAL 2025'!I10</f>
        <v>1.3720449172576832</v>
      </c>
      <c r="J16" s="420">
        <v>0</v>
      </c>
      <c r="K16" s="407">
        <f t="shared" si="3"/>
        <v>703.47204491725768</v>
      </c>
      <c r="L16" s="420">
        <f>7%*K16</f>
        <v>49.243043144208045</v>
      </c>
      <c r="M16" s="420">
        <f>K16-L16</f>
        <v>654.22900177304962</v>
      </c>
      <c r="N16" s="5" t="s">
        <v>1279</v>
      </c>
      <c r="O16" s="3">
        <v>10</v>
      </c>
      <c r="P16" s="3">
        <v>11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7" s="414" customFormat="1" ht="24.6" customHeight="1" x14ac:dyDescent="0.3">
      <c r="A17" s="408" t="s">
        <v>852</v>
      </c>
      <c r="B17" s="408">
        <v>9</v>
      </c>
      <c r="C17" s="405" t="s">
        <v>828</v>
      </c>
      <c r="D17" s="5">
        <f>681.98</f>
        <v>681.98</v>
      </c>
      <c r="E17" s="420">
        <v>0</v>
      </c>
      <c r="F17" s="5">
        <f t="shared" si="2"/>
        <v>681.98</v>
      </c>
      <c r="G17" s="420">
        <v>0</v>
      </c>
      <c r="H17" s="420">
        <f t="shared" si="4"/>
        <v>62.1</v>
      </c>
      <c r="I17" s="420">
        <f>'[2]GERAL 2025'!I11</f>
        <v>1.3720449172576832</v>
      </c>
      <c r="J17" s="420">
        <v>133.54</v>
      </c>
      <c r="K17" s="407">
        <f t="shared" si="3"/>
        <v>878.99204491725766</v>
      </c>
      <c r="L17" s="420">
        <f>7%*K17</f>
        <v>61.529443144208045</v>
      </c>
      <c r="M17" s="420">
        <f>K17-L17</f>
        <v>817.46260177304964</v>
      </c>
      <c r="N17" s="408" t="s">
        <v>1280</v>
      </c>
      <c r="O17" s="125">
        <v>10</v>
      </c>
      <c r="P17" s="3">
        <v>11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7" s="69" customFormat="1" ht="24.6" customHeight="1" x14ac:dyDescent="0.3">
      <c r="A18" s="417" t="s">
        <v>739</v>
      </c>
      <c r="B18" s="417">
        <v>10</v>
      </c>
      <c r="C18" s="417" t="s">
        <v>825</v>
      </c>
      <c r="D18" s="5">
        <f>588.62</f>
        <v>588.62</v>
      </c>
      <c r="E18" s="420">
        <v>0</v>
      </c>
      <c r="F18" s="5">
        <f t="shared" si="2"/>
        <v>588.62</v>
      </c>
      <c r="G18" s="420">
        <v>26.76</v>
      </c>
      <c r="H18" s="420">
        <f t="shared" si="4"/>
        <v>62.1</v>
      </c>
      <c r="I18" s="420">
        <f>'[2]GERAL 2025'!I12</f>
        <v>1.3720449172576832</v>
      </c>
      <c r="J18" s="420">
        <v>0</v>
      </c>
      <c r="K18" s="407">
        <f t="shared" si="3"/>
        <v>678.85204491725767</v>
      </c>
      <c r="L18" s="420">
        <f t="shared" si="6"/>
        <v>47.51964314420804</v>
      </c>
      <c r="M18" s="420">
        <f t="shared" si="5"/>
        <v>631.33240177304958</v>
      </c>
      <c r="N18" s="5" t="s">
        <v>1281</v>
      </c>
      <c r="O18" s="3">
        <v>10</v>
      </c>
      <c r="P18" s="417">
        <v>11</v>
      </c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</row>
    <row r="19" spans="1:47" s="69" customFormat="1" ht="24.6" customHeight="1" x14ac:dyDescent="0.3">
      <c r="A19" s="417" t="s">
        <v>1192</v>
      </c>
      <c r="B19" s="417">
        <v>11</v>
      </c>
      <c r="C19" s="417" t="s">
        <v>825</v>
      </c>
      <c r="D19" s="420">
        <f>660</f>
        <v>660</v>
      </c>
      <c r="E19" s="420">
        <v>0</v>
      </c>
      <c r="F19" s="5">
        <f t="shared" si="2"/>
        <v>660</v>
      </c>
      <c r="G19" s="420">
        <f>25</f>
        <v>25</v>
      </c>
      <c r="H19" s="420">
        <f t="shared" si="4"/>
        <v>62.1</v>
      </c>
      <c r="I19" s="420">
        <f>'[2]GERAL 2025'!I38</f>
        <v>1.3720449172576832</v>
      </c>
      <c r="J19" s="420">
        <v>0</v>
      </c>
      <c r="K19" s="407">
        <f t="shared" si="3"/>
        <v>748.47204491725768</v>
      </c>
      <c r="L19" s="420">
        <f>7%*K19</f>
        <v>52.393043144208043</v>
      </c>
      <c r="M19" s="420">
        <f>K19-L19</f>
        <v>696.07900177304964</v>
      </c>
      <c r="N19" s="5" t="s">
        <v>1281</v>
      </c>
      <c r="O19" s="3">
        <v>10</v>
      </c>
      <c r="P19" s="417">
        <v>11</v>
      </c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</row>
    <row r="20" spans="1:47" s="414" customFormat="1" ht="24" customHeight="1" x14ac:dyDescent="0.3">
      <c r="A20" s="408" t="s">
        <v>1087</v>
      </c>
      <c r="B20" s="408">
        <v>12</v>
      </c>
      <c r="C20" s="408" t="s">
        <v>830</v>
      </c>
      <c r="D20" s="5">
        <f>'[2]GERAL 2025'!G14</f>
        <v>610</v>
      </c>
      <c r="E20" s="420">
        <v>0</v>
      </c>
      <c r="F20" s="5">
        <f t="shared" si="2"/>
        <v>610</v>
      </c>
      <c r="G20" s="5">
        <v>50</v>
      </c>
      <c r="H20" s="420">
        <f t="shared" si="4"/>
        <v>62.1</v>
      </c>
      <c r="I20" s="420">
        <f>'[2]GERAL 2025'!I14</f>
        <v>1.3720449172576832</v>
      </c>
      <c r="J20" s="5">
        <v>0</v>
      </c>
      <c r="K20" s="407">
        <f t="shared" si="3"/>
        <v>723.47204491725768</v>
      </c>
      <c r="L20" s="420">
        <f t="shared" si="6"/>
        <v>50.643043144208043</v>
      </c>
      <c r="M20" s="420">
        <f t="shared" si="5"/>
        <v>672.82900177304964</v>
      </c>
      <c r="N20" s="5" t="s">
        <v>1278</v>
      </c>
      <c r="O20" s="3">
        <v>10</v>
      </c>
      <c r="P20" s="3">
        <v>11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pans="1:47" s="11" customFormat="1" ht="24.6" customHeight="1" x14ac:dyDescent="0.3">
      <c r="A21" s="408" t="s">
        <v>756</v>
      </c>
      <c r="B21" s="408">
        <v>13</v>
      </c>
      <c r="C21" s="408" t="s">
        <v>827</v>
      </c>
      <c r="D21" s="5">
        <v>596.77</v>
      </c>
      <c r="E21" s="5">
        <v>0</v>
      </c>
      <c r="F21" s="5">
        <f t="shared" si="2"/>
        <v>596.77</v>
      </c>
      <c r="G21" s="420">
        <v>0</v>
      </c>
      <c r="H21" s="420">
        <f t="shared" si="4"/>
        <v>62.1</v>
      </c>
      <c r="I21" s="420">
        <f>'[2]GERAL 2025'!I15</f>
        <v>1.3720449172576832</v>
      </c>
      <c r="J21" s="420">
        <v>0</v>
      </c>
      <c r="K21" s="407">
        <f t="shared" si="3"/>
        <v>660.24204491725766</v>
      </c>
      <c r="L21" s="420">
        <f t="shared" si="6"/>
        <v>46.216943144208038</v>
      </c>
      <c r="M21" s="420">
        <f t="shared" si="5"/>
        <v>614.02510177304964</v>
      </c>
      <c r="N21" s="408" t="s">
        <v>1279</v>
      </c>
      <c r="O21" s="3">
        <v>10</v>
      </c>
      <c r="P21" s="3">
        <v>11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</row>
    <row r="22" spans="1:47" s="69" customFormat="1" ht="24.6" customHeight="1" x14ac:dyDescent="0.3">
      <c r="A22" s="117" t="s">
        <v>1282</v>
      </c>
      <c r="B22" s="417">
        <v>14</v>
      </c>
      <c r="C22" s="405" t="s">
        <v>828</v>
      </c>
      <c r="D22" s="5">
        <f>680/30*12</f>
        <v>272</v>
      </c>
      <c r="E22" s="420">
        <v>0</v>
      </c>
      <c r="F22" s="5">
        <f t="shared" si="2"/>
        <v>272</v>
      </c>
      <c r="G22" s="420">
        <f>50/30*12</f>
        <v>20</v>
      </c>
      <c r="H22" s="420">
        <f>(1676.7/27)/30*12</f>
        <v>24.839999999999996</v>
      </c>
      <c r="I22" s="420">
        <f>'[2]GERAL 2025'!I43/30*12</f>
        <v>0.54881796690307327</v>
      </c>
      <c r="J22" s="420">
        <v>134.09</v>
      </c>
      <c r="K22" s="407">
        <f t="shared" si="3"/>
        <v>451.47881796690308</v>
      </c>
      <c r="L22" s="420">
        <f t="shared" si="6"/>
        <v>31.603517257683219</v>
      </c>
      <c r="M22" s="420">
        <f t="shared" si="5"/>
        <v>419.87530070921986</v>
      </c>
      <c r="N22" s="5" t="s">
        <v>1283</v>
      </c>
      <c r="O22" s="3">
        <v>10</v>
      </c>
      <c r="P22" s="417">
        <v>11</v>
      </c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</row>
    <row r="23" spans="1:47" s="6" customFormat="1" ht="24.6" customHeight="1" x14ac:dyDescent="0.3">
      <c r="A23" s="408" t="s">
        <v>748</v>
      </c>
      <c r="B23" s="408">
        <v>15</v>
      </c>
      <c r="C23" s="408" t="s">
        <v>827</v>
      </c>
      <c r="D23" s="5">
        <v>737.83</v>
      </c>
      <c r="E23" s="420">
        <v>0</v>
      </c>
      <c r="F23" s="5">
        <f t="shared" si="2"/>
        <v>737.83</v>
      </c>
      <c r="G23" s="420">
        <v>27.13</v>
      </c>
      <c r="H23" s="420">
        <f t="shared" si="4"/>
        <v>62.1</v>
      </c>
      <c r="I23" s="420">
        <f>'[2]GERAL 2025'!I17</f>
        <v>1.9208628841607567</v>
      </c>
      <c r="J23" s="420">
        <v>0</v>
      </c>
      <c r="K23" s="407">
        <f t="shared" si="3"/>
        <v>828.98086288416084</v>
      </c>
      <c r="L23" s="420">
        <f t="shared" si="6"/>
        <v>58.028660401891266</v>
      </c>
      <c r="M23" s="420">
        <f t="shared" si="5"/>
        <v>770.95220248226963</v>
      </c>
      <c r="N23" s="408" t="s">
        <v>1281</v>
      </c>
      <c r="O23" s="3">
        <v>10</v>
      </c>
      <c r="P23" s="417">
        <v>11</v>
      </c>
      <c r="Q23" s="9"/>
      <c r="R23" s="9"/>
      <c r="S23" s="9"/>
      <c r="T23" s="9"/>
      <c r="U23" s="9"/>
      <c r="V23" s="9"/>
      <c r="W23" s="9"/>
      <c r="X23" s="9"/>
      <c r="Y23" s="9"/>
    </row>
    <row r="24" spans="1:47" s="11" customFormat="1" ht="24.6" customHeight="1" x14ac:dyDescent="0.3">
      <c r="A24" s="3" t="s">
        <v>1195</v>
      </c>
      <c r="B24" s="3">
        <v>16</v>
      </c>
      <c r="C24" s="417" t="s">
        <v>825</v>
      </c>
      <c r="D24" s="5">
        <f>690</f>
        <v>690</v>
      </c>
      <c r="E24" s="420">
        <v>0</v>
      </c>
      <c r="F24" s="5">
        <f>D24-E24</f>
        <v>690</v>
      </c>
      <c r="G24" s="420">
        <v>0</v>
      </c>
      <c r="H24" s="420">
        <f t="shared" si="4"/>
        <v>62.1</v>
      </c>
      <c r="I24" s="420">
        <f>'[2]GERAL 2025'!I39</f>
        <v>1.3720449172576832</v>
      </c>
      <c r="J24" s="420">
        <v>0</v>
      </c>
      <c r="K24" s="407">
        <f t="shared" si="3"/>
        <v>753.47204491725768</v>
      </c>
      <c r="L24" s="420">
        <f t="shared" si="6"/>
        <v>52.743043144208045</v>
      </c>
      <c r="M24" s="420">
        <f>K24-L24</f>
        <v>700.72900177304962</v>
      </c>
      <c r="N24" s="5" t="s">
        <v>1279</v>
      </c>
      <c r="O24" s="3">
        <v>10</v>
      </c>
      <c r="P24" s="3">
        <v>11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</row>
    <row r="25" spans="1:47" s="11" customFormat="1" ht="24.6" customHeight="1" x14ac:dyDescent="0.3">
      <c r="A25" s="88" t="s">
        <v>1029</v>
      </c>
      <c r="B25" s="88">
        <v>17</v>
      </c>
      <c r="C25" s="88" t="s">
        <v>824</v>
      </c>
      <c r="D25" s="5">
        <f>628.06</f>
        <v>628.05999999999995</v>
      </c>
      <c r="E25" s="420">
        <v>0</v>
      </c>
      <c r="F25" s="5">
        <f t="shared" si="2"/>
        <v>628.05999999999995</v>
      </c>
      <c r="G25" s="420">
        <v>51.48</v>
      </c>
      <c r="H25" s="420">
        <f t="shared" si="4"/>
        <v>62.1</v>
      </c>
      <c r="I25" s="420">
        <f>'[2]GERAL 2025'!I19</f>
        <v>1.3720449172576832</v>
      </c>
      <c r="J25" s="420">
        <v>0</v>
      </c>
      <c r="K25" s="407">
        <f t="shared" si="3"/>
        <v>743.01204491725764</v>
      </c>
      <c r="L25" s="420">
        <f>7%*K25</f>
        <v>52.010843144208039</v>
      </c>
      <c r="M25" s="420">
        <f>K25-L25</f>
        <v>691.00120177304962</v>
      </c>
      <c r="N25" s="408" t="s">
        <v>1278</v>
      </c>
      <c r="O25" s="3">
        <v>10</v>
      </c>
      <c r="P25" s="3">
        <v>11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</row>
    <row r="26" spans="1:47" s="11" customFormat="1" ht="24.6" customHeight="1" x14ac:dyDescent="0.3">
      <c r="A26" s="88" t="s">
        <v>1030</v>
      </c>
      <c r="B26" s="408">
        <v>18</v>
      </c>
      <c r="C26" s="88" t="s">
        <v>824</v>
      </c>
      <c r="D26" s="5">
        <v>658.95</v>
      </c>
      <c r="E26" s="420">
        <v>0</v>
      </c>
      <c r="F26" s="5">
        <f>D26-E26</f>
        <v>658.95</v>
      </c>
      <c r="G26" s="420">
        <v>0</v>
      </c>
      <c r="H26" s="420">
        <f t="shared" si="4"/>
        <v>62.1</v>
      </c>
      <c r="I26" s="420">
        <f>'[2]GERAL 2025'!I20</f>
        <v>1.3720449172576832</v>
      </c>
      <c r="J26" s="420">
        <v>0</v>
      </c>
      <c r="K26" s="407">
        <f t="shared" si="3"/>
        <v>722.42204491725772</v>
      </c>
      <c r="L26" s="420">
        <f t="shared" si="6"/>
        <v>50.569543144208048</v>
      </c>
      <c r="M26" s="420">
        <f t="shared" si="5"/>
        <v>671.85250177304965</v>
      </c>
      <c r="N26" s="408" t="s">
        <v>1279</v>
      </c>
      <c r="O26" s="3">
        <v>10</v>
      </c>
      <c r="P26" s="3">
        <v>11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 spans="1:47" s="11" customFormat="1" ht="24.6" customHeight="1" x14ac:dyDescent="0.3">
      <c r="A27" s="408" t="s">
        <v>1012</v>
      </c>
      <c r="B27" s="408">
        <v>19</v>
      </c>
      <c r="C27" s="408" t="s">
        <v>822</v>
      </c>
      <c r="D27" s="5">
        <f>605.44</f>
        <v>605.44000000000005</v>
      </c>
      <c r="E27" s="420">
        <v>0</v>
      </c>
      <c r="F27" s="5">
        <f>(D27-E27)</f>
        <v>605.44000000000005</v>
      </c>
      <c r="G27" s="420">
        <v>52.19</v>
      </c>
      <c r="H27" s="420">
        <f t="shared" si="4"/>
        <v>62.1</v>
      </c>
      <c r="I27" s="420">
        <f>'[2]GERAL 2025'!I21</f>
        <v>1.3720449172576832</v>
      </c>
      <c r="J27" s="420">
        <v>0</v>
      </c>
      <c r="K27" s="407">
        <f t="shared" si="3"/>
        <v>721.10204491725779</v>
      </c>
      <c r="L27" s="420">
        <f t="shared" si="6"/>
        <v>50.47714314420805</v>
      </c>
      <c r="M27" s="420">
        <f t="shared" si="5"/>
        <v>670.62490177304971</v>
      </c>
      <c r="N27" s="408" t="s">
        <v>1278</v>
      </c>
      <c r="O27" s="125">
        <v>10</v>
      </c>
      <c r="P27" s="3">
        <v>11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 spans="1:47" s="11" customFormat="1" ht="24" customHeight="1" x14ac:dyDescent="0.3">
      <c r="A28" s="88" t="s">
        <v>1214</v>
      </c>
      <c r="B28" s="408">
        <v>20</v>
      </c>
      <c r="C28" s="408" t="s">
        <v>822</v>
      </c>
      <c r="D28" s="5">
        <f>660</f>
        <v>660</v>
      </c>
      <c r="E28" s="420">
        <v>0</v>
      </c>
      <c r="F28" s="5">
        <f t="shared" ref="F28:F35" si="7">D28-E28</f>
        <v>660</v>
      </c>
      <c r="G28" s="420">
        <f>50</f>
        <v>50</v>
      </c>
      <c r="H28" s="420">
        <f t="shared" si="4"/>
        <v>62.1</v>
      </c>
      <c r="I28" s="420">
        <f>'[2]GERAL 2025'!I41</f>
        <v>1.3720449172576832</v>
      </c>
      <c r="J28" s="420">
        <v>0</v>
      </c>
      <c r="K28" s="407">
        <f t="shared" si="3"/>
        <v>773.47204491725768</v>
      </c>
      <c r="L28" s="420">
        <f t="shared" si="6"/>
        <v>54.143043144208043</v>
      </c>
      <c r="M28" s="420">
        <f t="shared" si="5"/>
        <v>719.32900177304964</v>
      </c>
      <c r="N28" s="408" t="s">
        <v>1278</v>
      </c>
      <c r="O28" s="125">
        <v>10</v>
      </c>
      <c r="P28" s="3">
        <v>11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 spans="1:47" s="11" customFormat="1" ht="25.2" customHeight="1" x14ac:dyDescent="0.3">
      <c r="A29" s="88" t="s">
        <v>788</v>
      </c>
      <c r="B29" s="408">
        <v>21</v>
      </c>
      <c r="C29" s="408" t="s">
        <v>822</v>
      </c>
      <c r="D29" s="5">
        <f>620.28</f>
        <v>620.28</v>
      </c>
      <c r="E29" s="420">
        <v>0</v>
      </c>
      <c r="F29" s="5">
        <f t="shared" si="7"/>
        <v>620.28</v>
      </c>
      <c r="G29" s="420">
        <v>26.1</v>
      </c>
      <c r="H29" s="420">
        <f t="shared" si="4"/>
        <v>62.1</v>
      </c>
      <c r="I29" s="420">
        <f>'[2]GERAL 2025'!I23</f>
        <v>1.3720449172576832</v>
      </c>
      <c r="J29" s="420">
        <v>0</v>
      </c>
      <c r="K29" s="407">
        <f t="shared" si="3"/>
        <v>709.85204491725767</v>
      </c>
      <c r="L29" s="420">
        <f t="shared" si="6"/>
        <v>49.689643144208041</v>
      </c>
      <c r="M29" s="420">
        <f t="shared" si="5"/>
        <v>660.16240177304962</v>
      </c>
      <c r="N29" s="408" t="s">
        <v>1281</v>
      </c>
      <c r="O29" s="125">
        <v>10</v>
      </c>
      <c r="P29" s="3">
        <v>11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</row>
    <row r="30" spans="1:47" s="11" customFormat="1" ht="24.6" customHeight="1" x14ac:dyDescent="0.3">
      <c r="A30" s="424" t="s">
        <v>950</v>
      </c>
      <c r="B30" s="71">
        <v>22</v>
      </c>
      <c r="C30" s="71" t="s">
        <v>951</v>
      </c>
      <c r="D30" s="230">
        <v>662.35</v>
      </c>
      <c r="E30" s="72">
        <v>0</v>
      </c>
      <c r="F30" s="230">
        <f t="shared" si="7"/>
        <v>662.35</v>
      </c>
      <c r="G30" s="72">
        <v>0</v>
      </c>
      <c r="H30" s="420">
        <f t="shared" si="4"/>
        <v>62.1</v>
      </c>
      <c r="I30" s="72">
        <f>'[2]GERAL 2025'!I24</f>
        <v>1.3720449172576832</v>
      </c>
      <c r="J30" s="72">
        <v>0</v>
      </c>
      <c r="K30" s="112">
        <f t="shared" si="3"/>
        <v>725.8220449172577</v>
      </c>
      <c r="L30" s="72">
        <f>7%*K30</f>
        <v>50.807543144208047</v>
      </c>
      <c r="M30" s="72">
        <f>K30-L30</f>
        <v>675.01450177304969</v>
      </c>
      <c r="N30" s="71" t="s">
        <v>1279</v>
      </c>
      <c r="O30" s="138">
        <v>10</v>
      </c>
      <c r="P30" s="98">
        <v>11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</row>
    <row r="31" spans="1:47" s="408" customFormat="1" ht="24.6" customHeight="1" x14ac:dyDescent="0.3">
      <c r="A31" s="88" t="s">
        <v>1169</v>
      </c>
      <c r="B31" s="408">
        <v>23</v>
      </c>
      <c r="C31" s="408" t="s">
        <v>827</v>
      </c>
      <c r="D31" s="5">
        <f>660</f>
        <v>660</v>
      </c>
      <c r="E31" s="420">
        <v>0</v>
      </c>
      <c r="F31" s="5">
        <f t="shared" si="7"/>
        <v>660</v>
      </c>
      <c r="G31" s="420">
        <f>(50+25)</f>
        <v>75</v>
      </c>
      <c r="H31" s="420">
        <f t="shared" si="4"/>
        <v>62.1</v>
      </c>
      <c r="I31" s="420">
        <f>'[2]GERAL 2025'!I37</f>
        <v>1.3720449172576832</v>
      </c>
      <c r="J31" s="420">
        <v>0</v>
      </c>
      <c r="K31" s="407">
        <f t="shared" si="3"/>
        <v>798.47204491725768</v>
      </c>
      <c r="L31" s="420">
        <f>7%*K31</f>
        <v>55.893043144208043</v>
      </c>
      <c r="M31" s="420">
        <f>K31-L31</f>
        <v>742.57900177304964</v>
      </c>
      <c r="N31" s="408" t="s">
        <v>1284</v>
      </c>
      <c r="O31" s="3">
        <v>10</v>
      </c>
      <c r="P31" s="3">
        <v>11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</row>
    <row r="32" spans="1:47" s="96" customFormat="1" ht="24.6" customHeight="1" x14ac:dyDescent="0.3">
      <c r="A32" s="408" t="s">
        <v>1171</v>
      </c>
      <c r="B32" s="408">
        <v>24</v>
      </c>
      <c r="C32" s="408" t="s">
        <v>827</v>
      </c>
      <c r="D32" s="5">
        <f>740</f>
        <v>740</v>
      </c>
      <c r="E32" s="420">
        <v>0</v>
      </c>
      <c r="F32" s="5">
        <f>D32-E32</f>
        <v>740</v>
      </c>
      <c r="G32" s="420">
        <f>50</f>
        <v>50</v>
      </c>
      <c r="H32" s="420">
        <f t="shared" si="4"/>
        <v>62.1</v>
      </c>
      <c r="I32" s="420">
        <f>'[2]GERAL 2025'!I36</f>
        <v>1.9208628841607567</v>
      </c>
      <c r="J32" s="420">
        <v>0</v>
      </c>
      <c r="K32" s="407">
        <f t="shared" si="3"/>
        <v>854.02086288416081</v>
      </c>
      <c r="L32" s="420">
        <f>7%*K32</f>
        <v>59.781460401891259</v>
      </c>
      <c r="M32" s="420">
        <f t="shared" si="5"/>
        <v>794.2394024822695</v>
      </c>
      <c r="N32" s="408" t="s">
        <v>1278</v>
      </c>
      <c r="O32" s="3">
        <v>10</v>
      </c>
      <c r="P32" s="3">
        <v>11</v>
      </c>
      <c r="Q32" s="17"/>
      <c r="R32" s="17"/>
      <c r="S32" s="17"/>
      <c r="T32" s="17"/>
      <c r="U32" s="17"/>
      <c r="V32" s="17"/>
      <c r="W32" s="17"/>
      <c r="X32" s="17"/>
      <c r="Y32" s="17"/>
    </row>
    <row r="33" spans="1:42" s="6" customFormat="1" ht="24.6" customHeight="1" x14ac:dyDescent="0.3">
      <c r="A33" s="11" t="s">
        <v>1007</v>
      </c>
      <c r="B33" s="425">
        <v>25</v>
      </c>
      <c r="C33" s="425" t="s">
        <v>822</v>
      </c>
      <c r="D33" s="426">
        <v>668.07</v>
      </c>
      <c r="E33" s="427">
        <v>0</v>
      </c>
      <c r="F33" s="426">
        <f t="shared" si="7"/>
        <v>668.07</v>
      </c>
      <c r="G33" s="427">
        <v>26.1</v>
      </c>
      <c r="H33" s="420">
        <f t="shared" si="4"/>
        <v>62.1</v>
      </c>
      <c r="I33" s="427">
        <f>'[2]GERAL 2025'!I27</f>
        <v>1.3720449172576832</v>
      </c>
      <c r="J33" s="427">
        <v>0</v>
      </c>
      <c r="K33" s="428">
        <f t="shared" si="3"/>
        <v>757.64204491725775</v>
      </c>
      <c r="L33" s="427">
        <f t="shared" si="6"/>
        <v>53.03494314420805</v>
      </c>
      <c r="M33" s="427">
        <f t="shared" si="5"/>
        <v>704.60710177304975</v>
      </c>
      <c r="N33" s="425" t="s">
        <v>1281</v>
      </c>
      <c r="O33" s="429">
        <v>10</v>
      </c>
      <c r="P33" s="430">
        <v>11</v>
      </c>
      <c r="Q33" s="9"/>
      <c r="R33" s="9"/>
      <c r="S33" s="9"/>
      <c r="T33" s="9"/>
      <c r="U33" s="9"/>
      <c r="V33" s="9"/>
      <c r="W33" s="9"/>
      <c r="X33" s="9"/>
      <c r="Y33" s="9"/>
    </row>
    <row r="34" spans="1:42" s="11" customFormat="1" ht="26.4" customHeight="1" x14ac:dyDescent="0.3">
      <c r="A34" s="88" t="s">
        <v>1252</v>
      </c>
      <c r="B34" s="408">
        <v>26</v>
      </c>
      <c r="C34" s="408" t="s">
        <v>1253</v>
      </c>
      <c r="D34" s="5">
        <f>660</f>
        <v>660</v>
      </c>
      <c r="E34" s="420">
        <v>0</v>
      </c>
      <c r="F34" s="5">
        <f t="shared" si="7"/>
        <v>660</v>
      </c>
      <c r="G34" s="421">
        <v>0</v>
      </c>
      <c r="H34" s="420">
        <f>(1676.7/27)</f>
        <v>62.1</v>
      </c>
      <c r="I34" s="420">
        <f>'[2]GERAL 2025'!I42</f>
        <v>1.3720449172576832</v>
      </c>
      <c r="J34" s="420">
        <v>0</v>
      </c>
      <c r="K34" s="407">
        <f t="shared" si="3"/>
        <v>723.47204491725768</v>
      </c>
      <c r="L34" s="420">
        <f>7%*K34</f>
        <v>50.643043144208043</v>
      </c>
      <c r="M34" s="420">
        <f t="shared" si="5"/>
        <v>672.82900177304964</v>
      </c>
      <c r="N34" s="408" t="s">
        <v>1279</v>
      </c>
      <c r="O34" s="3">
        <v>10</v>
      </c>
      <c r="P34" s="3">
        <v>11</v>
      </c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 spans="1:42" s="11" customFormat="1" ht="24.6" customHeight="1" x14ac:dyDescent="0.3">
      <c r="A35" s="88" t="s">
        <v>752</v>
      </c>
      <c r="B35" s="408">
        <v>27</v>
      </c>
      <c r="C35" s="71" t="s">
        <v>827</v>
      </c>
      <c r="D35" s="230">
        <v>629.32000000000005</v>
      </c>
      <c r="E35" s="72">
        <v>0</v>
      </c>
      <c r="F35" s="5">
        <f t="shared" si="7"/>
        <v>629.32000000000005</v>
      </c>
      <c r="G35" s="72">
        <v>0</v>
      </c>
      <c r="H35" s="420">
        <f t="shared" si="4"/>
        <v>62.1</v>
      </c>
      <c r="I35" s="72">
        <f>'[2]GERAL 2025'!I29</f>
        <v>1.3720449172576832</v>
      </c>
      <c r="J35" s="72">
        <v>0</v>
      </c>
      <c r="K35" s="407">
        <f t="shared" si="3"/>
        <v>692.79204491725773</v>
      </c>
      <c r="L35" s="420">
        <f t="shared" si="6"/>
        <v>48.495443144208046</v>
      </c>
      <c r="M35" s="420">
        <f>K35-L35</f>
        <v>644.2966017730497</v>
      </c>
      <c r="N35" s="408" t="s">
        <v>1279</v>
      </c>
      <c r="O35" s="3">
        <v>10</v>
      </c>
      <c r="P35" s="3">
        <v>11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 spans="1:42" s="206" customFormat="1" ht="25.05" customHeight="1" x14ac:dyDescent="0.3">
      <c r="A36" s="584" t="s">
        <v>4</v>
      </c>
      <c r="B36" s="584"/>
      <c r="C36" s="419"/>
      <c r="D36" s="412">
        <f>SUM(D9:D35)</f>
        <v>16632.046784000002</v>
      </c>
      <c r="E36" s="412">
        <f t="shared" ref="E36:M36" si="8">SUM(E9:E35)</f>
        <v>0</v>
      </c>
      <c r="F36" s="412">
        <f t="shared" si="8"/>
        <v>16632.046784000002</v>
      </c>
      <c r="G36" s="412">
        <f t="shared" si="8"/>
        <v>729.76</v>
      </c>
      <c r="H36" s="412">
        <f>SUM(H9:H35)</f>
        <v>1577.3399999999995</v>
      </c>
      <c r="I36" s="412">
        <f>SUM(I9:I35)</f>
        <v>36.496394799054364</v>
      </c>
      <c r="J36" s="412">
        <f>SUM(J9:J35)</f>
        <v>267.63</v>
      </c>
      <c r="K36" s="412">
        <f>SUM(K9:K35)</f>
        <v>19243.273178799049</v>
      </c>
      <c r="L36" s="412">
        <f t="shared" si="8"/>
        <v>1347.0291225159342</v>
      </c>
      <c r="M36" s="412">
        <f t="shared" si="8"/>
        <v>17896.244056283122</v>
      </c>
      <c r="N36" s="410"/>
      <c r="O36" s="197"/>
      <c r="P36" s="197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</row>
    <row r="37" spans="1:42" s="11" customFormat="1" ht="28.5" customHeight="1" x14ac:dyDescent="0.3">
      <c r="A37" s="521" t="s">
        <v>1285</v>
      </c>
      <c r="B37" s="521"/>
      <c r="C37" s="521"/>
      <c r="D37" s="521"/>
      <c r="E37" s="521"/>
      <c r="F37" s="521"/>
      <c r="G37" s="521"/>
      <c r="H37" s="521"/>
      <c r="I37" s="521"/>
      <c r="J37" s="521"/>
      <c r="K37" s="521"/>
      <c r="L37" s="521"/>
      <c r="M37" s="521"/>
      <c r="N37" s="521"/>
      <c r="O37" s="521"/>
      <c r="P37" s="521"/>
      <c r="Q37" s="10"/>
      <c r="R37" s="10"/>
      <c r="S37" s="10"/>
      <c r="T37" s="10"/>
      <c r="U37" s="10"/>
      <c r="V37" s="10"/>
      <c r="W37" s="10"/>
      <c r="X37" s="10"/>
      <c r="Y37" s="10"/>
    </row>
    <row r="38" spans="1:42" s="11" customFormat="1" ht="27.6" customHeight="1" x14ac:dyDescent="0.3">
      <c r="A38" s="406" t="s">
        <v>3</v>
      </c>
      <c r="B38" s="406" t="s">
        <v>0</v>
      </c>
      <c r="C38" s="406" t="s">
        <v>821</v>
      </c>
      <c r="D38" s="409" t="s">
        <v>174</v>
      </c>
      <c r="E38" s="555" t="s">
        <v>175</v>
      </c>
      <c r="F38" s="556"/>
      <c r="G38" s="556"/>
      <c r="H38" s="556"/>
      <c r="I38" s="556"/>
      <c r="J38" s="557"/>
      <c r="K38" s="409" t="s">
        <v>4</v>
      </c>
      <c r="L38" s="409" t="s">
        <v>5</v>
      </c>
      <c r="M38" s="409" t="s">
        <v>70</v>
      </c>
      <c r="N38" s="406" t="s">
        <v>59</v>
      </c>
      <c r="O38" s="130" t="s">
        <v>8</v>
      </c>
      <c r="P38" s="130" t="s">
        <v>10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42" s="6" customFormat="1" ht="24.6" customHeight="1" x14ac:dyDescent="0.3">
      <c r="A39" s="408" t="s">
        <v>1005</v>
      </c>
      <c r="B39" s="417">
        <v>3</v>
      </c>
      <c r="C39" s="408" t="s">
        <v>822</v>
      </c>
      <c r="D39" s="5">
        <f>636.76+61.7+1.37</f>
        <v>699.83</v>
      </c>
      <c r="E39" s="546" t="s">
        <v>1286</v>
      </c>
      <c r="F39" s="547"/>
      <c r="G39" s="547"/>
      <c r="H39" s="547"/>
      <c r="I39" s="547"/>
      <c r="J39" s="548"/>
      <c r="K39" s="407">
        <v>788.94</v>
      </c>
      <c r="L39" s="420">
        <f>7%*K39</f>
        <v>55.225800000000007</v>
      </c>
      <c r="M39" s="420">
        <f>K39-L39</f>
        <v>733.71420000000001</v>
      </c>
      <c r="N39" s="408" t="s">
        <v>1287</v>
      </c>
      <c r="O39" s="125">
        <v>10</v>
      </c>
      <c r="P39" s="423">
        <v>11</v>
      </c>
      <c r="Q39" s="9"/>
      <c r="R39" s="9"/>
      <c r="S39" s="9"/>
      <c r="T39" s="9"/>
      <c r="U39" s="9"/>
      <c r="V39" s="9"/>
      <c r="W39" s="9"/>
      <c r="X39" s="9"/>
    </row>
    <row r="40" spans="1:42" s="6" customFormat="1" ht="24.6" customHeight="1" x14ac:dyDescent="0.3">
      <c r="A40" s="408" t="s">
        <v>1005</v>
      </c>
      <c r="B40" s="417">
        <v>3</v>
      </c>
      <c r="C40" s="408" t="s">
        <v>822</v>
      </c>
      <c r="D40" s="5">
        <f>636.76+61.7+1.37</f>
        <v>699.83</v>
      </c>
      <c r="E40" s="546" t="s">
        <v>1288</v>
      </c>
      <c r="F40" s="547"/>
      <c r="G40" s="547"/>
      <c r="H40" s="547"/>
      <c r="I40" s="547"/>
      <c r="J40" s="548"/>
      <c r="K40" s="407">
        <v>781.94</v>
      </c>
      <c r="L40" s="420">
        <f>7%*K40</f>
        <v>54.735800000000012</v>
      </c>
      <c r="M40" s="420">
        <f>K40-L40</f>
        <v>727.20420000000001</v>
      </c>
      <c r="N40" s="408" t="s">
        <v>1289</v>
      </c>
      <c r="O40" s="125">
        <v>10</v>
      </c>
      <c r="P40" s="423">
        <v>11</v>
      </c>
      <c r="Q40" s="9"/>
      <c r="R40" s="9"/>
      <c r="S40" s="9"/>
      <c r="T40" s="9"/>
      <c r="U40" s="9"/>
      <c r="V40" s="9"/>
      <c r="W40" s="9"/>
      <c r="X40" s="9"/>
    </row>
    <row r="41" spans="1:42" s="6" customFormat="1" ht="24.6" customHeight="1" x14ac:dyDescent="0.3">
      <c r="A41" s="408" t="s">
        <v>1005</v>
      </c>
      <c r="B41" s="417">
        <v>3</v>
      </c>
      <c r="C41" s="408" t="s">
        <v>822</v>
      </c>
      <c r="D41" s="5">
        <f>636.76+61.7+1.37</f>
        <v>699.83</v>
      </c>
      <c r="E41" s="546" t="s">
        <v>1290</v>
      </c>
      <c r="F41" s="547"/>
      <c r="G41" s="547"/>
      <c r="H41" s="547"/>
      <c r="I41" s="547"/>
      <c r="J41" s="548"/>
      <c r="K41" s="407">
        <v>774.71</v>
      </c>
      <c r="L41" s="420">
        <f>7%*K41</f>
        <v>54.229700000000008</v>
      </c>
      <c r="M41" s="420">
        <f>K41-L41</f>
        <v>720.48030000000006</v>
      </c>
      <c r="N41" s="408" t="s">
        <v>1291</v>
      </c>
      <c r="O41" s="125">
        <v>10</v>
      </c>
      <c r="P41" s="423">
        <v>11</v>
      </c>
      <c r="Q41" s="9"/>
      <c r="R41" s="9"/>
      <c r="S41" s="9"/>
      <c r="T41" s="9"/>
      <c r="U41" s="9"/>
      <c r="V41" s="9"/>
      <c r="W41" s="9"/>
      <c r="X41" s="9"/>
    </row>
    <row r="42" spans="1:42" s="6" customFormat="1" ht="24.6" customHeight="1" x14ac:dyDescent="0.3">
      <c r="A42" s="417" t="s">
        <v>1136</v>
      </c>
      <c r="B42" s="417">
        <v>7</v>
      </c>
      <c r="C42" s="417" t="s">
        <v>829</v>
      </c>
      <c r="D42" s="5">
        <f>690+61.7+1.37</f>
        <v>753.07</v>
      </c>
      <c r="E42" s="546" t="s">
        <v>1274</v>
      </c>
      <c r="F42" s="547"/>
      <c r="G42" s="547"/>
      <c r="H42" s="547"/>
      <c r="I42" s="547"/>
      <c r="J42" s="548"/>
      <c r="K42" s="407">
        <v>833.59</v>
      </c>
      <c r="L42" s="420">
        <f>7%*K42</f>
        <v>58.351300000000009</v>
      </c>
      <c r="M42" s="420">
        <f>K42-L42</f>
        <v>775.23869999999999</v>
      </c>
      <c r="N42" s="408" t="s">
        <v>1292</v>
      </c>
      <c r="O42" s="125">
        <v>10</v>
      </c>
      <c r="P42" s="423">
        <v>11</v>
      </c>
      <c r="Q42" s="9"/>
      <c r="R42" s="9"/>
      <c r="S42" s="9"/>
      <c r="T42" s="9"/>
      <c r="U42" s="9"/>
      <c r="V42" s="9"/>
      <c r="W42" s="9"/>
      <c r="X42" s="9"/>
    </row>
    <row r="43" spans="1:42" s="6" customFormat="1" ht="32.4" customHeight="1" x14ac:dyDescent="0.3">
      <c r="A43" s="408" t="s">
        <v>965</v>
      </c>
      <c r="B43" s="417">
        <v>11</v>
      </c>
      <c r="C43" s="408" t="s">
        <v>827</v>
      </c>
      <c r="D43" s="420">
        <f>1191.38-297.85-200</f>
        <v>693.53000000000009</v>
      </c>
      <c r="E43" s="546" t="s">
        <v>1293</v>
      </c>
      <c r="F43" s="547"/>
      <c r="G43" s="547"/>
      <c r="H43" s="547"/>
      <c r="I43" s="547"/>
      <c r="J43" s="548"/>
      <c r="K43" s="407">
        <v>200</v>
      </c>
      <c r="L43" s="420">
        <f>7%*K43</f>
        <v>14.000000000000002</v>
      </c>
      <c r="M43" s="420">
        <f>K43-L43</f>
        <v>186</v>
      </c>
      <c r="N43" s="408" t="s">
        <v>1294</v>
      </c>
      <c r="O43" s="125">
        <v>10</v>
      </c>
      <c r="P43" s="423">
        <v>11</v>
      </c>
      <c r="Q43" s="9"/>
      <c r="R43" s="9"/>
      <c r="S43" s="9"/>
      <c r="T43" s="9"/>
      <c r="U43" s="9"/>
      <c r="V43" s="9"/>
      <c r="W43" s="9"/>
      <c r="X43" s="9"/>
    </row>
    <row r="44" spans="1:42" s="11" customFormat="1" ht="25.05" customHeight="1" x14ac:dyDescent="0.3">
      <c r="A44" s="405" t="s">
        <v>4</v>
      </c>
      <c r="B44" s="534"/>
      <c r="C44" s="549"/>
      <c r="D44" s="549"/>
      <c r="E44" s="549"/>
      <c r="F44" s="549"/>
      <c r="G44" s="549"/>
      <c r="H44" s="549"/>
      <c r="I44" s="549"/>
      <c r="J44" s="535"/>
      <c r="K44" s="407">
        <f>SUM(K39:K43)</f>
        <v>3379.1800000000003</v>
      </c>
      <c r="L44" s="407">
        <f>SUM(L39:L43)</f>
        <v>236.54260000000002</v>
      </c>
      <c r="M44" s="407">
        <f>SUM(M39:M43)</f>
        <v>3142.6374000000001</v>
      </c>
      <c r="N44" s="407"/>
      <c r="O44" s="407"/>
      <c r="P44" s="407"/>
      <c r="Q44" s="10"/>
      <c r="R44" s="10"/>
      <c r="S44" s="10"/>
      <c r="T44" s="10"/>
      <c r="U44" s="10"/>
      <c r="V44" s="10"/>
      <c r="W44" s="10"/>
      <c r="X44" s="10"/>
      <c r="Y44" s="10"/>
    </row>
    <row r="45" spans="1:42" s="11" customFormat="1" x14ac:dyDescent="0.3">
      <c r="A45" s="518"/>
      <c r="B45" s="518"/>
      <c r="C45" s="518"/>
      <c r="D45" s="518"/>
      <c r="E45" s="518"/>
      <c r="F45" s="518"/>
      <c r="G45" s="518"/>
      <c r="H45" s="518"/>
      <c r="I45" s="518"/>
      <c r="J45" s="518"/>
      <c r="K45" s="518"/>
      <c r="L45" s="518"/>
      <c r="M45" s="518"/>
      <c r="N45" s="518"/>
      <c r="O45" s="407"/>
      <c r="P45" s="407"/>
      <c r="Q45" s="10"/>
      <c r="R45" s="10"/>
      <c r="S45" s="10"/>
      <c r="T45" s="10"/>
      <c r="U45" s="10"/>
      <c r="V45" s="10"/>
      <c r="W45" s="10"/>
      <c r="X45" s="10"/>
      <c r="Y45" s="10"/>
    </row>
    <row r="46" spans="1:42" s="11" customFormat="1" ht="28.5" customHeight="1" x14ac:dyDescent="0.3">
      <c r="A46" s="521" t="s">
        <v>177</v>
      </c>
      <c r="B46" s="521"/>
      <c r="C46" s="521"/>
      <c r="D46" s="521"/>
      <c r="E46" s="521"/>
      <c r="F46" s="521"/>
      <c r="G46" s="521"/>
      <c r="H46" s="521"/>
      <c r="I46" s="521"/>
      <c r="J46" s="521"/>
      <c r="K46" s="521"/>
      <c r="L46" s="521"/>
      <c r="M46" s="521"/>
      <c r="N46" s="521"/>
      <c r="O46" s="521"/>
      <c r="P46" s="521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42" s="11" customFormat="1" ht="25.5" customHeight="1" x14ac:dyDescent="0.3">
      <c r="A47" s="404" t="s">
        <v>173</v>
      </c>
      <c r="B47" s="404" t="s">
        <v>0</v>
      </c>
      <c r="C47" s="406" t="s">
        <v>821</v>
      </c>
      <c r="D47" s="404" t="s">
        <v>174</v>
      </c>
      <c r="E47" s="521" t="s">
        <v>175</v>
      </c>
      <c r="F47" s="521"/>
      <c r="G47" s="521"/>
      <c r="H47" s="521"/>
      <c r="I47" s="521"/>
      <c r="J47" s="521"/>
      <c r="K47" s="418" t="s">
        <v>4</v>
      </c>
      <c r="L47" s="409"/>
      <c r="M47" s="409"/>
      <c r="N47" s="406" t="s">
        <v>59</v>
      </c>
      <c r="O47" s="130" t="s">
        <v>8</v>
      </c>
      <c r="P47" s="130" t="s">
        <v>10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42" s="11" customFormat="1" ht="25.05" customHeight="1" x14ac:dyDescent="0.3">
      <c r="A48" s="410" t="s">
        <v>965</v>
      </c>
      <c r="B48" s="415">
        <v>11</v>
      </c>
      <c r="C48" s="410" t="s">
        <v>827</v>
      </c>
      <c r="D48" s="416">
        <f>1191.38-297.85-200</f>
        <v>693.53000000000009</v>
      </c>
      <c r="E48" s="551" t="s">
        <v>715</v>
      </c>
      <c r="F48" s="580"/>
      <c r="G48" s="580"/>
      <c r="H48" s="580"/>
      <c r="I48" s="580"/>
      <c r="J48" s="552"/>
      <c r="K48" s="416">
        <f>1191.38-297.85-200</f>
        <v>693.53000000000009</v>
      </c>
      <c r="L48" s="274"/>
      <c r="M48" s="274"/>
      <c r="N48" s="410" t="s">
        <v>1294</v>
      </c>
      <c r="O48" s="140">
        <v>10</v>
      </c>
      <c r="P48" s="417">
        <v>11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60" s="69" customFormat="1" ht="25.05" customHeight="1" x14ac:dyDescent="0.3">
      <c r="A49" s="408" t="s">
        <v>1005</v>
      </c>
      <c r="B49" s="417">
        <v>3</v>
      </c>
      <c r="C49" s="408" t="s">
        <v>822</v>
      </c>
      <c r="D49" s="5">
        <f>636.76+62.1+1.37</f>
        <v>700.23</v>
      </c>
      <c r="E49" s="595" t="s">
        <v>1259</v>
      </c>
      <c r="F49" s="595"/>
      <c r="G49" s="595"/>
      <c r="H49" s="595"/>
      <c r="I49" s="595"/>
      <c r="J49" s="595"/>
      <c r="K49" s="5">
        <f>636.76+62.1+1.37</f>
        <v>700.23</v>
      </c>
      <c r="L49" s="5"/>
      <c r="M49" s="5"/>
      <c r="N49" s="5" t="s">
        <v>1295</v>
      </c>
      <c r="O49" s="140">
        <v>10</v>
      </c>
      <c r="P49" s="417">
        <v>11</v>
      </c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</row>
    <row r="50" spans="1:60" s="69" customFormat="1" ht="25.05" customHeight="1" x14ac:dyDescent="0.3">
      <c r="A50" s="417" t="s">
        <v>132</v>
      </c>
      <c r="B50" s="417">
        <v>1</v>
      </c>
      <c r="C50" s="417"/>
      <c r="D50" s="5">
        <f>4977.59-1520</f>
        <v>3457.59</v>
      </c>
      <c r="E50" s="595" t="s">
        <v>284</v>
      </c>
      <c r="F50" s="595"/>
      <c r="G50" s="595"/>
      <c r="H50" s="595"/>
      <c r="I50" s="595"/>
      <c r="J50" s="595"/>
      <c r="K50" s="5">
        <f>4977.59-1520</f>
        <v>3457.59</v>
      </c>
      <c r="L50" s="5"/>
      <c r="M50" s="5"/>
      <c r="N50" s="5" t="s">
        <v>510</v>
      </c>
      <c r="O50" s="140">
        <v>10</v>
      </c>
      <c r="P50" s="417">
        <v>11</v>
      </c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</row>
    <row r="51" spans="1:60" s="11" customFormat="1" ht="29.4" customHeight="1" x14ac:dyDescent="0.3">
      <c r="A51" s="408" t="s">
        <v>87</v>
      </c>
      <c r="B51" s="408">
        <v>25</v>
      </c>
      <c r="C51" s="408"/>
      <c r="D51" s="5">
        <v>3013.33</v>
      </c>
      <c r="E51" s="595" t="s">
        <v>1296</v>
      </c>
      <c r="F51" s="595"/>
      <c r="G51" s="595"/>
      <c r="H51" s="595"/>
      <c r="I51" s="595"/>
      <c r="J51" s="595"/>
      <c r="K51" s="275">
        <v>3040.58</v>
      </c>
      <c r="L51" s="420"/>
      <c r="M51" s="420"/>
      <c r="N51" s="5" t="s">
        <v>545</v>
      </c>
      <c r="O51" s="98">
        <v>10</v>
      </c>
      <c r="P51" s="3">
        <v>11</v>
      </c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60" s="11" customFormat="1" ht="25.05" customHeight="1" x14ac:dyDescent="0.3">
      <c r="A52" s="3" t="s">
        <v>894</v>
      </c>
      <c r="B52" s="408">
        <v>16</v>
      </c>
      <c r="C52" s="408" t="s">
        <v>823</v>
      </c>
      <c r="D52" s="5">
        <f>144.52+11.29+12.89+0.3+0.18+1664</f>
        <v>1833.18</v>
      </c>
      <c r="E52" s="595" t="s">
        <v>1297</v>
      </c>
      <c r="F52" s="595"/>
      <c r="G52" s="595"/>
      <c r="H52" s="595"/>
      <c r="I52" s="595"/>
      <c r="J52" s="595"/>
      <c r="K52" s="275">
        <f>144.52+11.29+12.89+0.3+0.18+1664</f>
        <v>1833.18</v>
      </c>
      <c r="L52" s="420"/>
      <c r="M52" s="420"/>
      <c r="N52" s="413" t="s">
        <v>969</v>
      </c>
      <c r="O52" s="98">
        <v>10</v>
      </c>
      <c r="P52" s="3">
        <v>11</v>
      </c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 spans="1:60" s="206" customFormat="1" ht="25.05" customHeight="1" x14ac:dyDescent="0.3">
      <c r="A53" s="237" t="s">
        <v>902</v>
      </c>
      <c r="B53" s="195">
        <v>17</v>
      </c>
      <c r="C53" s="195" t="s">
        <v>823</v>
      </c>
      <c r="D53" s="196">
        <v>2080.41</v>
      </c>
      <c r="E53" s="551" t="s">
        <v>1011</v>
      </c>
      <c r="F53" s="580"/>
      <c r="G53" s="580"/>
      <c r="H53" s="580"/>
      <c r="I53" s="580"/>
      <c r="J53" s="552"/>
      <c r="K53" s="196">
        <v>300</v>
      </c>
      <c r="L53" s="416"/>
      <c r="M53" s="416"/>
      <c r="N53" s="410" t="s">
        <v>1039</v>
      </c>
      <c r="O53" s="235">
        <v>10</v>
      </c>
      <c r="P53" s="197">
        <v>11</v>
      </c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  <c r="AC53" s="205"/>
      <c r="AD53" s="205"/>
      <c r="AE53" s="205"/>
      <c r="AF53" s="205"/>
      <c r="AG53" s="205"/>
      <c r="AH53" s="205"/>
      <c r="AI53" s="205"/>
      <c r="AJ53" s="205"/>
      <c r="AK53" s="205"/>
      <c r="AL53" s="205"/>
      <c r="AM53" s="205"/>
      <c r="AN53" s="205"/>
      <c r="AO53" s="205"/>
      <c r="AP53" s="205"/>
    </row>
    <row r="54" spans="1:60" s="206" customFormat="1" ht="25.05" customHeight="1" x14ac:dyDescent="0.3">
      <c r="A54" s="237" t="s">
        <v>902</v>
      </c>
      <c r="B54" s="195">
        <v>17</v>
      </c>
      <c r="C54" s="195" t="s">
        <v>823</v>
      </c>
      <c r="D54" s="196">
        <v>2080.41</v>
      </c>
      <c r="E54" s="551" t="s">
        <v>1011</v>
      </c>
      <c r="F54" s="580"/>
      <c r="G54" s="580"/>
      <c r="H54" s="580"/>
      <c r="I54" s="580"/>
      <c r="J54" s="552"/>
      <c r="K54" s="196">
        <v>300</v>
      </c>
      <c r="L54" s="416"/>
      <c r="M54" s="416"/>
      <c r="N54" s="410" t="s">
        <v>1049</v>
      </c>
      <c r="O54" s="235">
        <v>10</v>
      </c>
      <c r="P54" s="197">
        <v>11</v>
      </c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  <c r="AJ54" s="205"/>
      <c r="AK54" s="205"/>
      <c r="AL54" s="205"/>
      <c r="AM54" s="205"/>
      <c r="AN54" s="205"/>
      <c r="AO54" s="205"/>
      <c r="AP54" s="205"/>
    </row>
    <row r="55" spans="1:60" s="40" customFormat="1" ht="15" customHeight="1" thickBot="1" x14ac:dyDescent="0.35">
      <c r="A55" s="534" t="s">
        <v>4</v>
      </c>
      <c r="B55" s="549"/>
      <c r="C55" s="549"/>
      <c r="D55" s="549"/>
      <c r="E55" s="549"/>
      <c r="F55" s="549"/>
      <c r="G55" s="549"/>
      <c r="H55" s="549"/>
      <c r="I55" s="549"/>
      <c r="J55" s="535"/>
      <c r="K55" s="411">
        <f>SUM(K48:K54)</f>
        <v>10325.11</v>
      </c>
      <c r="L55" s="408"/>
      <c r="M55" s="408"/>
      <c r="N55" s="408"/>
      <c r="O55" s="408"/>
      <c r="P55" s="408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1"/>
      <c r="AU55" s="11"/>
      <c r="AV55" s="11"/>
      <c r="AW55" s="11"/>
    </row>
    <row r="56" spans="1:60" s="19" customFormat="1" x14ac:dyDescent="0.3">
      <c r="A56" s="179"/>
      <c r="B56" s="180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1"/>
      <c r="P56" s="182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</row>
    <row r="57" spans="1:60" s="40" customFormat="1" x14ac:dyDescent="0.3">
      <c r="A57" s="585"/>
      <c r="B57" s="585"/>
      <c r="C57" s="585"/>
      <c r="D57" s="585"/>
      <c r="E57" s="585"/>
      <c r="F57" s="46"/>
      <c r="G57" s="46"/>
      <c r="H57" s="295"/>
      <c r="I57" s="46"/>
      <c r="J57" s="46"/>
      <c r="K57" s="46"/>
      <c r="L57" s="46"/>
      <c r="M57" s="46"/>
      <c r="N57" s="544" t="s">
        <v>315</v>
      </c>
      <c r="O57" s="544"/>
      <c r="P57" s="545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1"/>
      <c r="AU57" s="11"/>
      <c r="AV57" s="11"/>
      <c r="AW57" s="11"/>
    </row>
    <row r="58" spans="1:60" s="40" customFormat="1" x14ac:dyDescent="0.3">
      <c r="A58" s="206"/>
      <c r="B58" s="223"/>
      <c r="C58" s="223"/>
      <c r="D58" s="224"/>
      <c r="E58" s="223"/>
      <c r="F58" s="46"/>
      <c r="G58" s="46"/>
      <c r="H58" s="295"/>
      <c r="I58" s="11"/>
      <c r="J58" s="11"/>
      <c r="K58" s="87"/>
      <c r="L58" s="87"/>
      <c r="M58" s="87"/>
      <c r="N58" s="527" t="s">
        <v>94</v>
      </c>
      <c r="O58" s="527"/>
      <c r="P58" s="411">
        <f>L36+L44</f>
        <v>1583.5717225159342</v>
      </c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1"/>
      <c r="AU58" s="11"/>
      <c r="AV58" s="11"/>
      <c r="AW58" s="11"/>
    </row>
    <row r="59" spans="1:60" s="40" customFormat="1" x14ac:dyDescent="0.3">
      <c r="A59" s="206"/>
      <c r="B59" s="223"/>
      <c r="C59" s="223"/>
      <c r="D59" s="224"/>
      <c r="E59" s="223"/>
      <c r="F59" s="46"/>
      <c r="G59" s="46"/>
      <c r="H59" s="295"/>
      <c r="I59" s="11"/>
      <c r="J59" s="11"/>
      <c r="K59" s="14"/>
      <c r="L59" s="14"/>
      <c r="M59" s="14"/>
      <c r="N59" s="518" t="s">
        <v>260</v>
      </c>
      <c r="O59" s="518"/>
      <c r="P59" s="411">
        <f>L6</f>
        <v>0</v>
      </c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1"/>
      <c r="AU59" s="11"/>
      <c r="AV59" s="11"/>
      <c r="AW59" s="11"/>
    </row>
    <row r="60" spans="1:60" s="40" customFormat="1" x14ac:dyDescent="0.3">
      <c r="A60" s="206"/>
      <c r="B60" s="223"/>
      <c r="C60" s="223"/>
      <c r="D60" s="224"/>
      <c r="E60" s="223"/>
      <c r="F60" s="46"/>
      <c r="G60" s="46"/>
      <c r="H60" s="295"/>
      <c r="I60" s="11"/>
      <c r="J60" s="11"/>
      <c r="K60" s="14"/>
      <c r="L60" s="14"/>
      <c r="M60" s="14"/>
      <c r="N60" s="520"/>
      <c r="O60" s="520"/>
      <c r="P60" s="52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1"/>
      <c r="AU60" s="11"/>
      <c r="AV60" s="11"/>
      <c r="AW60" s="11"/>
    </row>
    <row r="61" spans="1:60" s="40" customFormat="1" x14ac:dyDescent="0.3">
      <c r="A61" s="206"/>
      <c r="B61" s="223"/>
      <c r="C61" s="223"/>
      <c r="D61" s="224"/>
      <c r="E61" s="223"/>
      <c r="F61" s="46"/>
      <c r="G61" s="46"/>
      <c r="H61" s="295"/>
      <c r="I61" s="11"/>
      <c r="J61" s="11"/>
      <c r="K61" s="62"/>
      <c r="L61" s="62"/>
      <c r="M61" s="62"/>
      <c r="N61" s="520"/>
      <c r="O61" s="520"/>
      <c r="P61" s="52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1"/>
      <c r="AU61" s="11"/>
      <c r="AV61" s="11"/>
      <c r="AW61" s="11"/>
    </row>
    <row r="62" spans="1:60" s="40" customFormat="1" ht="14.4" x14ac:dyDescent="0.3">
      <c r="A62" s="206"/>
      <c r="B62" s="223"/>
      <c r="C62" s="223"/>
      <c r="D62" s="224"/>
      <c r="E62" s="223"/>
      <c r="F62" s="46"/>
      <c r="G62" s="46"/>
      <c r="H62" s="295"/>
      <c r="I62" s="11"/>
      <c r="J62" s="11"/>
      <c r="K62" s="14"/>
      <c r="L62" s="14"/>
      <c r="M62" s="14"/>
      <c r="N62" s="529" t="s">
        <v>12</v>
      </c>
      <c r="O62" s="529"/>
      <c r="P62" s="529"/>
      <c r="Q62" s="175"/>
      <c r="R62" s="178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1"/>
      <c r="AU62" s="11"/>
      <c r="AV62" s="11"/>
      <c r="AW62" s="11"/>
    </row>
    <row r="63" spans="1:60" s="11" customFormat="1" ht="15" customHeight="1" x14ac:dyDescent="0.3">
      <c r="A63" s="206"/>
      <c r="B63" s="223"/>
      <c r="C63" s="223"/>
      <c r="D63" s="224"/>
      <c r="E63" s="223"/>
      <c r="F63" s="46"/>
      <c r="G63" s="46"/>
      <c r="H63" s="295"/>
      <c r="K63" s="63"/>
      <c r="L63" s="63"/>
      <c r="M63" s="63"/>
      <c r="N63" s="592" t="s">
        <v>126</v>
      </c>
      <c r="O63" s="592"/>
      <c r="P63" s="240"/>
      <c r="Q63" s="190"/>
      <c r="R63" s="178"/>
    </row>
    <row r="64" spans="1:60" s="11" customFormat="1" ht="15.6" x14ac:dyDescent="0.3">
      <c r="A64" s="206"/>
      <c r="B64" s="223"/>
      <c r="C64" s="223"/>
      <c r="D64" s="224"/>
      <c r="E64" s="223"/>
      <c r="F64" s="46"/>
      <c r="G64" s="46"/>
      <c r="H64" s="295"/>
      <c r="K64" s="14"/>
      <c r="L64" s="14"/>
      <c r="M64" s="14"/>
      <c r="N64" s="593" t="s">
        <v>127</v>
      </c>
      <c r="O64" s="593"/>
      <c r="P64" s="240">
        <v>1676.7</v>
      </c>
      <c r="Q64" s="175"/>
      <c r="R64" s="178"/>
    </row>
    <row r="65" spans="1:48" s="11" customFormat="1" ht="15" customHeight="1" x14ac:dyDescent="0.3">
      <c r="A65" s="206"/>
      <c r="B65" s="223"/>
      <c r="C65" s="223"/>
      <c r="D65" s="224"/>
      <c r="E65" s="223"/>
      <c r="F65" s="46"/>
      <c r="G65" s="46"/>
      <c r="H65" s="295"/>
      <c r="K65" s="63"/>
      <c r="L65" s="63"/>
      <c r="M65" s="63"/>
      <c r="N65" s="594" t="s">
        <v>1298</v>
      </c>
      <c r="O65" s="594"/>
      <c r="P65" s="239">
        <v>133.54</v>
      </c>
      <c r="Q65" s="190"/>
      <c r="R65" s="178"/>
    </row>
    <row r="66" spans="1:48" s="11" customFormat="1" ht="15.6" x14ac:dyDescent="0.3">
      <c r="A66" s="206"/>
      <c r="B66" s="223"/>
      <c r="C66" s="223"/>
      <c r="D66" s="224"/>
      <c r="E66" s="223"/>
      <c r="F66" s="46"/>
      <c r="G66" s="46"/>
      <c r="H66" s="295"/>
      <c r="K66" s="14"/>
      <c r="L66" s="14"/>
      <c r="M66" s="14"/>
      <c r="N66" s="594" t="s">
        <v>1179</v>
      </c>
      <c r="O66" s="594"/>
      <c r="P66" s="251">
        <v>134.09</v>
      </c>
      <c r="Q66" s="222"/>
      <c r="R66" s="178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</row>
    <row r="67" spans="1:48" s="11" customFormat="1" ht="15.6" x14ac:dyDescent="0.3">
      <c r="A67" s="206"/>
      <c r="B67" s="223"/>
      <c r="C67" s="223"/>
      <c r="D67" s="224"/>
      <c r="E67" s="223"/>
      <c r="F67" s="46"/>
      <c r="G67" s="46"/>
      <c r="H67" s="295"/>
      <c r="K67" s="63"/>
      <c r="L67" s="63"/>
      <c r="M67" s="63"/>
      <c r="N67" s="594"/>
      <c r="O67" s="594"/>
      <c r="P67" s="42"/>
      <c r="Q67" s="175"/>
      <c r="R67" s="178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</row>
    <row r="68" spans="1:48" s="11" customFormat="1" ht="18.600000000000001" customHeight="1" x14ac:dyDescent="0.3">
      <c r="A68" s="206"/>
      <c r="B68" s="223"/>
      <c r="C68" s="223"/>
      <c r="D68" s="224"/>
      <c r="E68" s="223"/>
      <c r="F68" s="46"/>
      <c r="G68" s="46"/>
      <c r="H68" s="295"/>
      <c r="K68" s="63"/>
      <c r="L68" s="63"/>
      <c r="M68" s="63"/>
      <c r="N68" s="586" t="s">
        <v>26</v>
      </c>
      <c r="O68" s="586"/>
      <c r="P68" s="407">
        <f>SUM(P58:P67)</f>
        <v>3527.9017225159341</v>
      </c>
      <c r="Q68" s="175"/>
      <c r="R68" s="178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</row>
    <row r="69" spans="1:48" s="11" customFormat="1" ht="15.6" x14ac:dyDescent="0.3">
      <c r="A69" s="206"/>
      <c r="B69" s="223"/>
      <c r="C69" s="223"/>
      <c r="D69" s="224"/>
      <c r="E69" s="223"/>
      <c r="F69" s="46"/>
      <c r="G69" s="46"/>
      <c r="H69" s="295"/>
      <c r="N69" s="587"/>
      <c r="O69" s="587"/>
      <c r="P69" s="242"/>
      <c r="Q69" s="175"/>
      <c r="R69" s="178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</row>
    <row r="70" spans="1:48" s="11" customFormat="1" ht="14.4" x14ac:dyDescent="0.3">
      <c r="A70" s="206"/>
      <c r="B70" s="223"/>
      <c r="C70" s="223"/>
      <c r="D70" s="224"/>
      <c r="E70" s="223"/>
      <c r="F70" s="46"/>
      <c r="G70" s="46"/>
      <c r="H70" s="295"/>
      <c r="K70" s="63"/>
      <c r="L70" s="63"/>
      <c r="M70" s="63"/>
      <c r="N70" s="564" t="s">
        <v>11</v>
      </c>
      <c r="O70" s="565"/>
      <c r="P70" s="153">
        <f>K6+K36+K44</f>
        <v>22622.453178799049</v>
      </c>
      <c r="Q70" s="175"/>
      <c r="R70" s="178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</row>
    <row r="71" spans="1:48" s="11" customFormat="1" ht="14.4" x14ac:dyDescent="0.3">
      <c r="A71" s="206"/>
      <c r="B71" s="223"/>
      <c r="C71" s="223"/>
      <c r="D71" s="224"/>
      <c r="E71" s="223"/>
      <c r="F71" s="46"/>
      <c r="G71" s="46"/>
      <c r="H71" s="295"/>
      <c r="K71" s="14"/>
      <c r="L71" s="14"/>
      <c r="M71" s="14"/>
      <c r="N71" s="518"/>
      <c r="O71" s="518"/>
      <c r="P71" s="519"/>
      <c r="Q71" s="175"/>
      <c r="R71" s="185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</row>
    <row r="72" spans="1:48" s="11" customFormat="1" ht="14.4" x14ac:dyDescent="0.3">
      <c r="A72" s="206"/>
      <c r="B72" s="223"/>
      <c r="C72" s="223"/>
      <c r="D72" s="224"/>
      <c r="E72" s="223"/>
      <c r="F72" s="46"/>
      <c r="G72" s="46"/>
      <c r="H72" s="295"/>
      <c r="N72" s="513" t="s">
        <v>13</v>
      </c>
      <c r="O72" s="513"/>
      <c r="P72" s="151">
        <f>P70-P68</f>
        <v>19094.551456283116</v>
      </c>
      <c r="Q72" s="175"/>
      <c r="R72" s="176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</row>
    <row r="73" spans="1:48" s="11" customFormat="1" ht="14.4" x14ac:dyDescent="0.3">
      <c r="A73" s="206"/>
      <c r="B73" s="223"/>
      <c r="C73" s="223"/>
      <c r="D73" s="224"/>
      <c r="E73" s="223"/>
      <c r="F73" s="46"/>
      <c r="G73" s="46"/>
      <c r="H73" s="295"/>
      <c r="N73" s="124"/>
      <c r="O73" s="124"/>
      <c r="P73" s="57"/>
      <c r="Q73" s="175"/>
      <c r="R73" s="176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</row>
    <row r="74" spans="1:48" s="11" customFormat="1" ht="14.4" x14ac:dyDescent="0.3">
      <c r="A74" s="206"/>
      <c r="B74" s="223"/>
      <c r="C74" s="223"/>
      <c r="D74" s="224"/>
      <c r="E74" s="223"/>
      <c r="F74" s="46"/>
      <c r="G74" s="46"/>
      <c r="H74" s="295"/>
      <c r="N74" s="124"/>
      <c r="O74" s="124"/>
      <c r="P74" s="57"/>
      <c r="Q74" s="175"/>
      <c r="R74" s="178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</row>
    <row r="75" spans="1:48" s="11" customFormat="1" ht="14.4" x14ac:dyDescent="0.3">
      <c r="A75" s="206"/>
      <c r="B75" s="223"/>
      <c r="C75" s="223"/>
      <c r="D75" s="224"/>
      <c r="E75" s="223"/>
      <c r="F75" s="46"/>
      <c r="G75" s="46"/>
      <c r="H75" s="295"/>
      <c r="K75" s="14"/>
      <c r="L75" s="14"/>
      <c r="M75" s="14"/>
      <c r="N75" s="124"/>
      <c r="O75" s="124"/>
      <c r="P75" s="57"/>
      <c r="Q75" s="175"/>
      <c r="R75" s="178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</row>
    <row r="76" spans="1:48" s="11" customFormat="1" ht="14.4" x14ac:dyDescent="0.3">
      <c r="A76" s="206"/>
      <c r="B76" s="223"/>
      <c r="C76" s="223"/>
      <c r="D76" s="224"/>
      <c r="E76" s="223"/>
      <c r="F76" s="46"/>
      <c r="G76" s="46"/>
      <c r="H76" s="295"/>
      <c r="K76" s="414"/>
      <c r="L76" s="414"/>
      <c r="M76" s="414"/>
      <c r="Q76" s="175"/>
      <c r="R76" s="178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</row>
    <row r="77" spans="1:48" s="11" customFormat="1" ht="14.4" x14ac:dyDescent="0.3">
      <c r="A77" s="206"/>
      <c r="B77" s="223"/>
      <c r="C77" s="223"/>
      <c r="D77" s="224"/>
      <c r="E77" s="223"/>
      <c r="F77" s="46"/>
      <c r="G77" s="46"/>
      <c r="H77" s="295"/>
      <c r="K77" s="14"/>
      <c r="L77" s="14"/>
      <c r="M77" s="14"/>
      <c r="N77" s="414"/>
      <c r="O77" s="14"/>
      <c r="P77" s="57"/>
      <c r="Q77" s="175"/>
      <c r="R77" s="178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</row>
    <row r="78" spans="1:48" s="11" customFormat="1" ht="14.4" x14ac:dyDescent="0.3">
      <c r="A78" s="206"/>
      <c r="B78" s="223"/>
      <c r="C78" s="223"/>
      <c r="D78" s="224"/>
      <c r="E78" s="223"/>
      <c r="F78" s="46"/>
      <c r="G78" s="46"/>
      <c r="H78" s="295"/>
      <c r="K78" s="14"/>
      <c r="L78" s="14"/>
      <c r="M78" s="14"/>
      <c r="O78" s="414"/>
      <c r="P78" s="57"/>
      <c r="Q78" s="175"/>
      <c r="R78" s="178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</row>
    <row r="79" spans="1:48" s="11" customFormat="1" ht="14.4" x14ac:dyDescent="0.3">
      <c r="A79" s="206"/>
      <c r="B79" s="223"/>
      <c r="C79" s="223"/>
      <c r="D79" s="224"/>
      <c r="E79" s="223"/>
      <c r="F79" s="46"/>
      <c r="G79" s="46"/>
      <c r="H79" s="295"/>
      <c r="K79" s="14"/>
      <c r="L79" s="14"/>
      <c r="M79" s="14"/>
      <c r="P79" s="57"/>
      <c r="Q79" s="175"/>
      <c r="R79" s="178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</row>
    <row r="80" spans="1:48" s="11" customFormat="1" x14ac:dyDescent="0.3">
      <c r="A80" s="206"/>
      <c r="B80" s="223"/>
      <c r="C80" s="223"/>
      <c r="D80" s="224"/>
      <c r="E80" s="223"/>
      <c r="F80" s="46"/>
      <c r="G80" s="46"/>
      <c r="H80" s="295"/>
      <c r="K80" s="14"/>
      <c r="L80" s="14"/>
      <c r="M80" s="14"/>
      <c r="N80" s="14"/>
      <c r="O80" s="14"/>
      <c r="P80" s="57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</row>
    <row r="81" spans="1:48" s="69" customFormat="1" x14ac:dyDescent="0.3">
      <c r="A81" s="206"/>
      <c r="B81" s="223"/>
      <c r="C81" s="223"/>
      <c r="D81" s="224"/>
      <c r="E81" s="223"/>
      <c r="F81" s="46"/>
      <c r="G81" s="46"/>
      <c r="H81" s="295"/>
      <c r="I81" s="11"/>
      <c r="J81" s="11"/>
      <c r="K81" s="14"/>
      <c r="L81" s="14"/>
      <c r="M81" s="14"/>
      <c r="N81" s="14"/>
      <c r="O81" s="414"/>
      <c r="P81" s="57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</row>
    <row r="82" spans="1:48" s="69" customFormat="1" x14ac:dyDescent="0.3">
      <c r="A82" s="206"/>
      <c r="B82" s="223"/>
      <c r="C82" s="223"/>
      <c r="D82" s="224"/>
      <c r="E82" s="223"/>
      <c r="F82" s="46"/>
      <c r="G82" s="46"/>
      <c r="H82" s="295"/>
      <c r="I82" s="11"/>
      <c r="J82" s="11"/>
      <c r="K82" s="14"/>
      <c r="L82" s="14"/>
      <c r="M82" s="14"/>
      <c r="N82" s="14"/>
      <c r="O82" s="11"/>
      <c r="P82" s="57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</row>
    <row r="83" spans="1:48" s="69" customFormat="1" x14ac:dyDescent="0.3">
      <c r="A83" s="206"/>
      <c r="B83" s="223"/>
      <c r="C83" s="223"/>
      <c r="D83" s="224"/>
      <c r="E83" s="223"/>
      <c r="F83" s="46"/>
      <c r="G83" s="46"/>
      <c r="H83" s="295"/>
      <c r="I83" s="11"/>
      <c r="J83" s="11"/>
      <c r="K83" s="14"/>
      <c r="L83" s="14"/>
      <c r="M83" s="14"/>
      <c r="N83" s="14"/>
      <c r="O83" s="11"/>
      <c r="P83" s="57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</row>
    <row r="84" spans="1:48" s="69" customFormat="1" x14ac:dyDescent="0.3">
      <c r="A84" s="206"/>
      <c r="B84" s="223"/>
      <c r="C84" s="223"/>
      <c r="D84" s="224"/>
      <c r="E84" s="223"/>
      <c r="F84" s="46"/>
      <c r="G84" s="46"/>
      <c r="H84" s="295"/>
      <c r="I84" s="11"/>
      <c r="J84" s="11"/>
      <c r="K84" s="14"/>
      <c r="L84" s="14"/>
      <c r="M84" s="14"/>
      <c r="N84" s="11"/>
      <c r="O84" s="11"/>
      <c r="P84" s="57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</row>
    <row r="85" spans="1:48" s="69" customFormat="1" x14ac:dyDescent="0.3">
      <c r="A85" s="206"/>
      <c r="B85" s="223"/>
      <c r="C85" s="223"/>
      <c r="D85" s="224"/>
      <c r="E85" s="223"/>
      <c r="F85" s="46"/>
      <c r="G85" s="46"/>
      <c r="H85" s="295"/>
      <c r="I85" s="11"/>
      <c r="J85" s="11"/>
      <c r="K85" s="14"/>
      <c r="L85" s="14"/>
      <c r="M85" s="14"/>
      <c r="N85" s="11"/>
      <c r="O85" s="14"/>
      <c r="P85" s="57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</row>
    <row r="86" spans="1:48" s="69" customFormat="1" x14ac:dyDescent="0.3">
      <c r="A86" s="206"/>
      <c r="B86" s="223"/>
      <c r="C86" s="223"/>
      <c r="D86" s="224"/>
      <c r="E86" s="223"/>
      <c r="F86" s="46"/>
      <c r="G86" s="46"/>
      <c r="H86" s="295"/>
      <c r="I86" s="11"/>
      <c r="J86" s="11"/>
      <c r="K86" s="14"/>
      <c r="L86" s="14"/>
      <c r="M86" s="14"/>
      <c r="N86" s="11"/>
      <c r="O86" s="14"/>
      <c r="P86" s="57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</row>
    <row r="87" spans="1:48" s="69" customFormat="1" x14ac:dyDescent="0.3">
      <c r="A87" s="206"/>
      <c r="B87" s="223"/>
      <c r="C87" s="223"/>
      <c r="D87" s="224"/>
      <c r="E87" s="223"/>
      <c r="F87" s="46"/>
      <c r="G87" s="46"/>
      <c r="H87" s="295"/>
      <c r="I87" s="11"/>
      <c r="J87" s="11"/>
      <c r="K87" s="14"/>
      <c r="L87" s="14"/>
      <c r="M87" s="14"/>
      <c r="N87" s="11"/>
      <c r="O87" s="14"/>
      <c r="P87" s="57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</row>
    <row r="88" spans="1:48" s="69" customFormat="1" x14ac:dyDescent="0.3">
      <c r="A88" s="206"/>
      <c r="B88" s="223"/>
      <c r="C88" s="223"/>
      <c r="D88" s="224"/>
      <c r="E88" s="223"/>
      <c r="F88" s="46"/>
      <c r="G88" s="46"/>
      <c r="H88" s="295"/>
      <c r="I88" s="11"/>
      <c r="J88" s="11"/>
      <c r="K88" s="14"/>
      <c r="L88" s="14"/>
      <c r="M88" s="14"/>
      <c r="N88" s="11"/>
      <c r="O88" s="14"/>
      <c r="P88" s="57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</row>
    <row r="89" spans="1:48" s="69" customFormat="1" x14ac:dyDescent="0.3">
      <c r="A89" s="206"/>
      <c r="B89" s="223"/>
      <c r="C89" s="223"/>
      <c r="D89" s="224"/>
      <c r="E89" s="223"/>
      <c r="F89" s="46"/>
      <c r="G89" s="46"/>
      <c r="H89" s="295"/>
      <c r="I89" s="11"/>
      <c r="J89" s="11"/>
      <c r="K89" s="14"/>
      <c r="L89" s="14"/>
      <c r="M89" s="14"/>
      <c r="N89" s="11"/>
      <c r="O89" s="11"/>
      <c r="P89" s="57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</row>
    <row r="90" spans="1:48" s="69" customFormat="1" x14ac:dyDescent="0.3">
      <c r="A90" s="206"/>
      <c r="B90" s="223"/>
      <c r="C90" s="223"/>
      <c r="D90" s="224"/>
      <c r="E90" s="223"/>
      <c r="F90" s="46"/>
      <c r="G90" s="46"/>
      <c r="H90" s="296"/>
      <c r="I90" s="11"/>
      <c r="J90" s="11"/>
      <c r="K90" s="14"/>
      <c r="L90" s="14"/>
      <c r="M90" s="14"/>
      <c r="N90" s="11"/>
      <c r="O90" s="11"/>
      <c r="P90" s="57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</row>
    <row r="91" spans="1:48" s="69" customFormat="1" x14ac:dyDescent="0.3">
      <c r="A91" s="206"/>
      <c r="B91" s="223"/>
      <c r="C91" s="223"/>
      <c r="D91" s="224"/>
      <c r="E91" s="223"/>
      <c r="F91" s="46"/>
      <c r="G91" s="46"/>
      <c r="H91" s="296"/>
      <c r="I91" s="11"/>
      <c r="J91" s="11"/>
      <c r="K91" s="14"/>
      <c r="L91" s="14"/>
      <c r="M91" s="14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</row>
    <row r="92" spans="1:48" s="69" customFormat="1" x14ac:dyDescent="0.3">
      <c r="A92" s="206"/>
      <c r="B92" s="223"/>
      <c r="C92" s="223"/>
      <c r="D92" s="224"/>
      <c r="E92" s="223"/>
      <c r="F92" s="46"/>
      <c r="G92" s="46"/>
      <c r="H92" s="296"/>
      <c r="K92" s="142"/>
      <c r="L92" s="142"/>
      <c r="M92" s="142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</row>
    <row r="93" spans="1:48" s="70" customFormat="1" x14ac:dyDescent="0.3">
      <c r="A93" s="206"/>
      <c r="B93" s="223"/>
      <c r="C93" s="223"/>
      <c r="D93" s="224"/>
      <c r="E93" s="223"/>
      <c r="F93" s="46"/>
      <c r="G93" s="46"/>
      <c r="H93" s="296"/>
      <c r="I93" s="63"/>
      <c r="J93" s="63"/>
      <c r="K93" s="69"/>
      <c r="L93" s="69"/>
      <c r="M93" s="69"/>
      <c r="N93" s="69"/>
      <c r="O93" s="69"/>
      <c r="P93" s="69"/>
    </row>
    <row r="94" spans="1:48" s="70" customFormat="1" ht="15" customHeight="1" x14ac:dyDescent="0.3">
      <c r="A94" s="206"/>
      <c r="B94" s="223"/>
      <c r="C94" s="223"/>
      <c r="D94" s="224"/>
      <c r="E94" s="223"/>
      <c r="F94" s="46"/>
      <c r="G94" s="46"/>
      <c r="H94" s="296"/>
      <c r="I94" s="11"/>
      <c r="J94" s="63"/>
      <c r="K94" s="142"/>
      <c r="L94" s="142"/>
      <c r="M94" s="142"/>
      <c r="N94" s="69"/>
      <c r="O94" s="69"/>
      <c r="P94" s="69"/>
      <c r="AV94" s="69"/>
    </row>
    <row r="95" spans="1:48" s="70" customFormat="1" x14ac:dyDescent="0.3">
      <c r="A95" s="206"/>
      <c r="B95" s="223"/>
      <c r="C95" s="223"/>
      <c r="D95" s="224"/>
      <c r="E95" s="223"/>
      <c r="F95" s="46"/>
      <c r="G95" s="46"/>
      <c r="H95" s="296"/>
      <c r="I95" s="142"/>
      <c r="J95" s="142"/>
      <c r="K95" s="142"/>
      <c r="L95" s="142"/>
      <c r="M95" s="142"/>
      <c r="N95" s="69"/>
      <c r="O95" s="69"/>
      <c r="P95" s="69"/>
      <c r="AV95" s="69"/>
    </row>
    <row r="96" spans="1:48" s="70" customFormat="1" x14ac:dyDescent="0.3">
      <c r="A96" s="206"/>
      <c r="B96" s="223"/>
      <c r="C96" s="223"/>
      <c r="D96" s="224"/>
      <c r="E96" s="223"/>
      <c r="F96" s="46"/>
      <c r="G96" s="46"/>
      <c r="H96" s="296"/>
      <c r="I96" s="11"/>
      <c r="J96" s="63"/>
      <c r="K96" s="142"/>
      <c r="L96" s="142"/>
      <c r="M96" s="142"/>
      <c r="N96" s="69"/>
      <c r="O96" s="69"/>
      <c r="P96" s="69"/>
      <c r="AV96" s="69"/>
    </row>
    <row r="97" spans="1:48" s="70" customFormat="1" x14ac:dyDescent="0.3">
      <c r="A97" s="206"/>
      <c r="B97" s="223"/>
      <c r="C97" s="223"/>
      <c r="D97" s="224"/>
      <c r="E97" s="223"/>
      <c r="F97" s="46"/>
      <c r="G97" s="46"/>
      <c r="H97" s="296"/>
      <c r="I97" s="142"/>
      <c r="J97" s="142"/>
      <c r="K97" s="142"/>
      <c r="L97" s="142"/>
      <c r="M97" s="142"/>
      <c r="N97" s="69"/>
      <c r="O97" s="69"/>
      <c r="P97" s="69"/>
      <c r="AV97" s="69"/>
    </row>
    <row r="98" spans="1:48" s="70" customFormat="1" x14ac:dyDescent="0.3">
      <c r="A98" s="206"/>
      <c r="B98" s="223"/>
      <c r="C98" s="223"/>
      <c r="D98" s="224"/>
      <c r="E98" s="223"/>
      <c r="F98" s="46"/>
      <c r="G98" s="46"/>
      <c r="H98" s="296"/>
      <c r="I98" s="11"/>
      <c r="J98" s="63"/>
      <c r="K98" s="142"/>
      <c r="L98" s="142"/>
      <c r="M98" s="142"/>
      <c r="N98" s="144"/>
      <c r="O98" s="69"/>
      <c r="P98" s="69"/>
      <c r="AV98" s="69"/>
    </row>
    <row r="99" spans="1:48" s="70" customFormat="1" x14ac:dyDescent="0.3">
      <c r="A99" s="206"/>
      <c r="B99" s="223"/>
      <c r="C99" s="223"/>
      <c r="D99" s="224"/>
      <c r="E99" s="223"/>
      <c r="F99" s="46"/>
      <c r="G99" s="46"/>
      <c r="H99" s="296"/>
      <c r="I99" s="142"/>
      <c r="J99" s="142"/>
      <c r="K99" s="142"/>
      <c r="L99" s="142"/>
      <c r="M99" s="142"/>
      <c r="N99" s="144"/>
      <c r="O99" s="69"/>
      <c r="P99" s="69"/>
      <c r="AV99" s="69"/>
    </row>
    <row r="100" spans="1:48" s="70" customFormat="1" x14ac:dyDescent="0.3">
      <c r="A100" s="206"/>
      <c r="B100" s="223"/>
      <c r="C100" s="223"/>
      <c r="D100" s="224"/>
      <c r="E100" s="223"/>
      <c r="F100" s="46"/>
      <c r="G100" s="46"/>
      <c r="H100" s="296"/>
      <c r="I100" s="11"/>
      <c r="J100" s="63"/>
      <c r="K100" s="142"/>
      <c r="L100" s="142"/>
      <c r="M100" s="142"/>
      <c r="N100" s="144"/>
      <c r="O100" s="69"/>
      <c r="AV100" s="69"/>
    </row>
    <row r="101" spans="1:48" s="70" customFormat="1" x14ac:dyDescent="0.3">
      <c r="A101" s="206"/>
      <c r="B101" s="223"/>
      <c r="C101" s="223"/>
      <c r="D101" s="224"/>
      <c r="E101" s="223"/>
      <c r="F101" s="46"/>
      <c r="G101" s="46"/>
      <c r="H101" s="296"/>
      <c r="I101" s="142"/>
      <c r="J101" s="142"/>
      <c r="K101" s="142"/>
      <c r="L101" s="142"/>
      <c r="M101" s="142"/>
      <c r="N101" s="144"/>
      <c r="O101" s="69"/>
      <c r="AV101" s="69"/>
    </row>
    <row r="102" spans="1:48" s="70" customFormat="1" x14ac:dyDescent="0.3">
      <c r="A102" s="206"/>
      <c r="B102" s="223"/>
      <c r="C102" s="223"/>
      <c r="D102" s="224"/>
      <c r="E102" s="223"/>
      <c r="F102" s="46"/>
      <c r="G102" s="46"/>
      <c r="H102" s="296"/>
      <c r="I102" s="11"/>
      <c r="J102" s="63"/>
      <c r="K102" s="142"/>
      <c r="L102" s="142"/>
      <c r="M102" s="142"/>
      <c r="N102" s="144"/>
      <c r="O102" s="69"/>
      <c r="AV102" s="69"/>
    </row>
    <row r="103" spans="1:48" s="70" customFormat="1" x14ac:dyDescent="0.3">
      <c r="A103" s="148"/>
      <c r="B103" s="225"/>
      <c r="C103" s="225"/>
      <c r="D103" s="225"/>
      <c r="E103" s="225"/>
      <c r="F103" s="46"/>
      <c r="G103" s="46"/>
      <c r="H103" s="296"/>
      <c r="I103" s="142"/>
      <c r="J103" s="142"/>
      <c r="K103" s="142"/>
      <c r="L103" s="142"/>
      <c r="M103" s="142"/>
      <c r="N103" s="144"/>
      <c r="O103" s="144"/>
      <c r="AV103" s="69"/>
    </row>
    <row r="104" spans="1:48" s="70" customFormat="1" x14ac:dyDescent="0.3">
      <c r="A104" s="69"/>
      <c r="B104" s="69"/>
      <c r="C104" s="69"/>
      <c r="D104" s="69"/>
      <c r="E104" s="69"/>
      <c r="F104" s="69"/>
      <c r="G104" s="69"/>
      <c r="H104" s="297"/>
      <c r="I104" s="142"/>
      <c r="J104" s="142"/>
      <c r="K104" s="142"/>
      <c r="L104" s="142"/>
      <c r="M104" s="142"/>
      <c r="N104" s="144"/>
      <c r="O104" s="144"/>
      <c r="AV104" s="69"/>
    </row>
    <row r="105" spans="1:48" s="70" customFormat="1" x14ac:dyDescent="0.3">
      <c r="A105" s="69"/>
      <c r="B105" s="69"/>
      <c r="C105" s="69"/>
      <c r="D105" s="69"/>
      <c r="E105" s="69"/>
      <c r="F105" s="69"/>
      <c r="G105" s="69"/>
      <c r="H105" s="297"/>
      <c r="I105" s="69"/>
      <c r="J105" s="69"/>
      <c r="K105" s="142"/>
      <c r="L105" s="142"/>
      <c r="M105" s="142"/>
      <c r="N105" s="144"/>
      <c r="O105" s="144"/>
      <c r="AV105" s="69"/>
    </row>
    <row r="106" spans="1:48" s="70" customFormat="1" x14ac:dyDescent="0.3">
      <c r="A106" s="69"/>
      <c r="B106" s="69"/>
      <c r="C106" s="69"/>
      <c r="D106" s="69"/>
      <c r="E106" s="69"/>
      <c r="F106" s="69"/>
      <c r="G106" s="69"/>
      <c r="H106" s="297"/>
      <c r="I106" s="69"/>
      <c r="J106" s="69"/>
      <c r="K106" s="142"/>
      <c r="L106" s="142"/>
      <c r="M106" s="142"/>
      <c r="N106" s="144"/>
      <c r="O106" s="144"/>
      <c r="AV106" s="69"/>
    </row>
    <row r="107" spans="1:48" s="70" customFormat="1" x14ac:dyDescent="0.3">
      <c r="A107" s="69"/>
      <c r="B107" s="69"/>
      <c r="C107" s="69"/>
      <c r="D107" s="69"/>
      <c r="E107" s="69"/>
      <c r="F107" s="69"/>
      <c r="G107" s="69"/>
      <c r="H107" s="297"/>
      <c r="I107" s="69"/>
      <c r="J107" s="69"/>
      <c r="K107" s="142"/>
      <c r="L107" s="142"/>
      <c r="M107" s="142"/>
      <c r="N107" s="144"/>
      <c r="O107" s="144"/>
      <c r="AV107" s="69"/>
    </row>
    <row r="108" spans="1:48" s="70" customFormat="1" x14ac:dyDescent="0.3">
      <c r="A108" s="69"/>
      <c r="B108" s="69"/>
      <c r="C108" s="69"/>
      <c r="D108" s="69"/>
      <c r="E108" s="69"/>
      <c r="F108" s="69"/>
      <c r="G108" s="69"/>
      <c r="H108" s="297"/>
      <c r="I108" s="69"/>
      <c r="J108" s="69"/>
      <c r="K108" s="142"/>
      <c r="L108" s="142"/>
      <c r="M108" s="142"/>
      <c r="N108" s="144"/>
      <c r="O108" s="144"/>
      <c r="AV108" s="69"/>
    </row>
    <row r="109" spans="1:48" s="70" customFormat="1" x14ac:dyDescent="0.3">
      <c r="A109" s="69"/>
      <c r="B109" s="69"/>
      <c r="C109" s="69"/>
      <c r="D109" s="69"/>
      <c r="E109" s="69"/>
      <c r="F109" s="69"/>
      <c r="G109" s="69"/>
      <c r="H109" s="297"/>
      <c r="I109" s="69"/>
      <c r="J109" s="69"/>
      <c r="K109" s="142"/>
      <c r="L109" s="142"/>
      <c r="M109" s="142"/>
      <c r="N109" s="144"/>
      <c r="O109" s="144"/>
      <c r="AV109" s="69"/>
    </row>
    <row r="110" spans="1:48" s="70" customFormat="1" x14ac:dyDescent="0.3">
      <c r="A110" s="69"/>
      <c r="B110" s="69"/>
      <c r="C110" s="69"/>
      <c r="D110" s="69"/>
      <c r="E110" s="69"/>
      <c r="F110" s="69"/>
      <c r="G110" s="69"/>
      <c r="H110" s="297"/>
      <c r="I110" s="69"/>
      <c r="J110" s="69"/>
      <c r="K110" s="142"/>
      <c r="L110" s="142"/>
      <c r="M110" s="142"/>
      <c r="N110" s="144"/>
      <c r="O110" s="144"/>
      <c r="AV110" s="69"/>
    </row>
    <row r="111" spans="1:48" s="70" customFormat="1" x14ac:dyDescent="0.3">
      <c r="F111" s="69"/>
      <c r="G111" s="69"/>
      <c r="H111" s="297"/>
      <c r="I111" s="69"/>
      <c r="J111" s="69"/>
      <c r="K111" s="142"/>
      <c r="L111" s="142"/>
      <c r="M111" s="142"/>
      <c r="N111" s="144"/>
      <c r="O111" s="144"/>
      <c r="AV111" s="69"/>
    </row>
    <row r="112" spans="1:48" s="70" customFormat="1" x14ac:dyDescent="0.3">
      <c r="H112" s="298"/>
      <c r="I112" s="69"/>
      <c r="J112" s="69"/>
      <c r="K112" s="142"/>
      <c r="L112" s="142"/>
      <c r="M112" s="142"/>
      <c r="N112" s="144"/>
      <c r="O112" s="144"/>
      <c r="AV112" s="69"/>
    </row>
    <row r="113" spans="8:48" s="70" customFormat="1" x14ac:dyDescent="0.3">
      <c r="H113" s="298"/>
      <c r="K113" s="142"/>
      <c r="L113" s="142"/>
      <c r="M113" s="142"/>
      <c r="N113" s="144"/>
      <c r="O113" s="144"/>
      <c r="AV113" s="69"/>
    </row>
    <row r="114" spans="8:48" s="70" customFormat="1" x14ac:dyDescent="0.3">
      <c r="H114" s="298"/>
      <c r="K114" s="142"/>
      <c r="L114" s="142"/>
      <c r="M114" s="142"/>
      <c r="N114" s="144"/>
      <c r="O114" s="144"/>
      <c r="AV114" s="69"/>
    </row>
    <row r="115" spans="8:48" s="70" customFormat="1" x14ac:dyDescent="0.3">
      <c r="H115" s="298"/>
      <c r="K115" s="142"/>
      <c r="L115" s="142"/>
      <c r="M115" s="142"/>
      <c r="N115" s="144"/>
      <c r="O115" s="144"/>
      <c r="AV115" s="69"/>
    </row>
    <row r="116" spans="8:48" s="70" customFormat="1" x14ac:dyDescent="0.3">
      <c r="H116" s="298"/>
      <c r="K116" s="142"/>
      <c r="L116" s="142"/>
      <c r="M116" s="142"/>
      <c r="N116" s="144"/>
      <c r="O116" s="144"/>
      <c r="AV116" s="69"/>
    </row>
    <row r="117" spans="8:48" s="70" customFormat="1" x14ac:dyDescent="0.3">
      <c r="H117" s="298"/>
      <c r="K117" s="142"/>
      <c r="L117" s="142"/>
      <c r="M117" s="142"/>
      <c r="N117" s="144"/>
      <c r="O117" s="144"/>
      <c r="AV117" s="69"/>
    </row>
    <row r="118" spans="8:48" s="70" customFormat="1" x14ac:dyDescent="0.3">
      <c r="H118" s="298"/>
      <c r="K118" s="142"/>
      <c r="L118" s="142"/>
      <c r="M118" s="142"/>
      <c r="N118" s="144"/>
      <c r="O118" s="144"/>
      <c r="AV118" s="69"/>
    </row>
    <row r="119" spans="8:48" s="70" customFormat="1" x14ac:dyDescent="0.3">
      <c r="H119" s="298"/>
      <c r="K119" s="142"/>
      <c r="L119" s="142"/>
      <c r="M119" s="142"/>
      <c r="N119" s="144"/>
      <c r="O119" s="144"/>
      <c r="AV119" s="69"/>
    </row>
    <row r="120" spans="8:48" s="70" customFormat="1" x14ac:dyDescent="0.3">
      <c r="H120" s="298"/>
      <c r="K120" s="142"/>
      <c r="L120" s="142"/>
      <c r="M120" s="142"/>
      <c r="N120" s="144"/>
      <c r="O120" s="144"/>
      <c r="AV120" s="69"/>
    </row>
    <row r="121" spans="8:48" s="70" customFormat="1" x14ac:dyDescent="0.3">
      <c r="H121" s="298"/>
      <c r="K121" s="142"/>
      <c r="L121" s="142"/>
      <c r="M121" s="142"/>
      <c r="N121" s="144"/>
      <c r="O121" s="144"/>
      <c r="AV121" s="69"/>
    </row>
    <row r="122" spans="8:48" s="70" customFormat="1" x14ac:dyDescent="0.3">
      <c r="H122" s="298"/>
      <c r="K122" s="142"/>
      <c r="L122" s="142"/>
      <c r="M122" s="142"/>
      <c r="N122" s="144"/>
      <c r="O122" s="144"/>
      <c r="AV122" s="69"/>
    </row>
    <row r="123" spans="8:48" s="70" customFormat="1" x14ac:dyDescent="0.3">
      <c r="H123" s="298"/>
      <c r="K123" s="142"/>
      <c r="L123" s="142"/>
      <c r="M123" s="142"/>
      <c r="N123" s="144"/>
      <c r="O123" s="144"/>
      <c r="AV123" s="69"/>
    </row>
    <row r="124" spans="8:48" s="70" customFormat="1" x14ac:dyDescent="0.3">
      <c r="H124" s="298"/>
      <c r="K124" s="142"/>
      <c r="L124" s="142"/>
      <c r="M124" s="142"/>
      <c r="N124" s="144"/>
      <c r="O124" s="144"/>
      <c r="AV124" s="69"/>
    </row>
    <row r="125" spans="8:48" s="70" customFormat="1" x14ac:dyDescent="0.3">
      <c r="H125" s="298"/>
      <c r="K125" s="142"/>
      <c r="L125" s="142"/>
      <c r="M125" s="142"/>
      <c r="N125" s="144"/>
      <c r="O125" s="144"/>
      <c r="AV125" s="69"/>
    </row>
    <row r="126" spans="8:48" s="70" customFormat="1" x14ac:dyDescent="0.3">
      <c r="H126" s="298"/>
      <c r="K126" s="142"/>
      <c r="L126" s="142"/>
      <c r="M126" s="142"/>
      <c r="N126" s="144"/>
      <c r="O126" s="144"/>
      <c r="AV126" s="69"/>
    </row>
    <row r="127" spans="8:48" s="70" customFormat="1" x14ac:dyDescent="0.3">
      <c r="H127" s="298"/>
      <c r="K127" s="142"/>
      <c r="L127" s="142"/>
      <c r="M127" s="142"/>
      <c r="N127" s="144"/>
      <c r="O127" s="144"/>
      <c r="AV127" s="69"/>
    </row>
    <row r="128" spans="8:48" s="70" customFormat="1" x14ac:dyDescent="0.3">
      <c r="H128" s="298"/>
      <c r="K128" s="142"/>
      <c r="L128" s="142"/>
      <c r="M128" s="142"/>
      <c r="N128" s="144"/>
      <c r="O128" s="144"/>
      <c r="AV128" s="69"/>
    </row>
    <row r="129" spans="8:48" s="70" customFormat="1" x14ac:dyDescent="0.3">
      <c r="H129" s="298"/>
      <c r="K129" s="142"/>
      <c r="L129" s="142"/>
      <c r="M129" s="142"/>
      <c r="N129" s="144"/>
      <c r="O129" s="144"/>
      <c r="AV129" s="69"/>
    </row>
    <row r="130" spans="8:48" s="70" customFormat="1" x14ac:dyDescent="0.3">
      <c r="H130" s="298"/>
      <c r="K130" s="142"/>
      <c r="L130" s="142"/>
      <c r="M130" s="142"/>
      <c r="N130" s="144"/>
      <c r="O130" s="144"/>
      <c r="AV130" s="69"/>
    </row>
    <row r="131" spans="8:48" s="70" customFormat="1" x14ac:dyDescent="0.3">
      <c r="H131" s="298"/>
      <c r="K131" s="142"/>
      <c r="L131" s="142"/>
      <c r="M131" s="142"/>
      <c r="N131" s="144"/>
      <c r="O131" s="144"/>
      <c r="AV131" s="69"/>
    </row>
    <row r="132" spans="8:48" s="70" customFormat="1" x14ac:dyDescent="0.3">
      <c r="H132" s="298"/>
      <c r="K132" s="142"/>
      <c r="L132" s="142"/>
      <c r="M132" s="142"/>
      <c r="N132" s="144"/>
      <c r="O132" s="144"/>
      <c r="AV132" s="69"/>
    </row>
    <row r="133" spans="8:48" s="70" customFormat="1" x14ac:dyDescent="0.3">
      <c r="H133" s="298"/>
      <c r="K133" s="142"/>
      <c r="L133" s="142"/>
      <c r="M133" s="142"/>
      <c r="N133" s="144"/>
      <c r="O133" s="144"/>
      <c r="AV133" s="69"/>
    </row>
    <row r="134" spans="8:48" s="70" customFormat="1" x14ac:dyDescent="0.3">
      <c r="H134" s="298"/>
      <c r="K134" s="142"/>
      <c r="L134" s="142"/>
      <c r="M134" s="142"/>
      <c r="N134" s="144"/>
      <c r="O134" s="144"/>
      <c r="AV134" s="69"/>
    </row>
    <row r="135" spans="8:48" s="70" customFormat="1" x14ac:dyDescent="0.3">
      <c r="H135" s="298"/>
      <c r="K135" s="142"/>
      <c r="L135" s="142"/>
      <c r="M135" s="142"/>
      <c r="N135" s="144"/>
      <c r="O135" s="144"/>
      <c r="AV135" s="69"/>
    </row>
    <row r="136" spans="8:48" s="70" customFormat="1" x14ac:dyDescent="0.3">
      <c r="H136" s="298"/>
      <c r="K136" s="142"/>
      <c r="L136" s="142"/>
      <c r="M136" s="142"/>
      <c r="N136" s="144"/>
      <c r="O136" s="144"/>
      <c r="AV136" s="69"/>
    </row>
    <row r="137" spans="8:48" s="70" customFormat="1" x14ac:dyDescent="0.3">
      <c r="H137" s="298"/>
      <c r="K137" s="142"/>
      <c r="L137" s="142"/>
      <c r="M137" s="142"/>
      <c r="N137" s="144"/>
      <c r="O137" s="144"/>
      <c r="AV137" s="69"/>
    </row>
    <row r="138" spans="8:48" s="70" customFormat="1" x14ac:dyDescent="0.3">
      <c r="H138" s="298"/>
      <c r="K138" s="142"/>
      <c r="L138" s="142"/>
      <c r="M138" s="142"/>
      <c r="N138" s="144"/>
      <c r="O138" s="144"/>
      <c r="AV138" s="69"/>
    </row>
    <row r="139" spans="8:48" s="70" customFormat="1" x14ac:dyDescent="0.3">
      <c r="H139" s="298"/>
      <c r="K139" s="142"/>
      <c r="L139" s="142"/>
      <c r="M139" s="142"/>
      <c r="N139" s="144"/>
      <c r="O139" s="144"/>
      <c r="AV139" s="69"/>
    </row>
    <row r="140" spans="8:48" s="70" customFormat="1" x14ac:dyDescent="0.3">
      <c r="H140" s="298"/>
      <c r="K140" s="142"/>
      <c r="L140" s="142"/>
      <c r="M140" s="142"/>
      <c r="N140" s="144"/>
      <c r="O140" s="144"/>
      <c r="AV140" s="69"/>
    </row>
    <row r="141" spans="8:48" s="70" customFormat="1" x14ac:dyDescent="0.3">
      <c r="H141" s="298"/>
      <c r="K141" s="142"/>
      <c r="L141" s="142"/>
      <c r="M141" s="142"/>
      <c r="N141" s="144"/>
      <c r="O141" s="144"/>
      <c r="AV141" s="69"/>
    </row>
    <row r="142" spans="8:48" s="70" customFormat="1" x14ac:dyDescent="0.3">
      <c r="H142" s="298"/>
      <c r="K142" s="142"/>
      <c r="L142" s="142"/>
      <c r="M142" s="142"/>
      <c r="N142" s="144"/>
      <c r="O142" s="144"/>
      <c r="AV142" s="69"/>
    </row>
    <row r="143" spans="8:48" s="70" customFormat="1" x14ac:dyDescent="0.3">
      <c r="H143" s="298"/>
      <c r="K143" s="142"/>
      <c r="L143" s="142"/>
      <c r="M143" s="142"/>
      <c r="N143" s="144"/>
      <c r="O143" s="144"/>
      <c r="AV143" s="69"/>
    </row>
    <row r="144" spans="8:48" s="70" customFormat="1" x14ac:dyDescent="0.3">
      <c r="H144" s="298"/>
      <c r="K144" s="142"/>
      <c r="L144" s="142"/>
      <c r="M144" s="142"/>
      <c r="N144" s="144"/>
      <c r="O144" s="144"/>
      <c r="AV144" s="69"/>
    </row>
    <row r="145" spans="8:48" s="70" customFormat="1" x14ac:dyDescent="0.3">
      <c r="H145" s="298"/>
      <c r="K145" s="142"/>
      <c r="L145" s="142"/>
      <c r="M145" s="142"/>
      <c r="N145" s="144"/>
      <c r="O145" s="144"/>
      <c r="AV145" s="69"/>
    </row>
    <row r="146" spans="8:48" s="70" customFormat="1" x14ac:dyDescent="0.3">
      <c r="H146" s="298"/>
      <c r="K146" s="142"/>
      <c r="L146" s="142"/>
      <c r="M146" s="142"/>
      <c r="N146" s="144"/>
      <c r="O146" s="144"/>
      <c r="AV146" s="69"/>
    </row>
    <row r="147" spans="8:48" s="70" customFormat="1" x14ac:dyDescent="0.3">
      <c r="H147" s="298"/>
      <c r="K147" s="142"/>
      <c r="L147" s="142"/>
      <c r="M147" s="142"/>
      <c r="N147" s="144"/>
      <c r="O147" s="144"/>
      <c r="AV147" s="69"/>
    </row>
    <row r="148" spans="8:48" s="70" customFormat="1" x14ac:dyDescent="0.3">
      <c r="H148" s="298"/>
      <c r="K148" s="142"/>
      <c r="L148" s="142"/>
      <c r="M148" s="142"/>
      <c r="N148" s="144"/>
      <c r="O148" s="144"/>
      <c r="AV148" s="69"/>
    </row>
    <row r="149" spans="8:48" s="70" customFormat="1" x14ac:dyDescent="0.3">
      <c r="H149" s="298"/>
      <c r="K149" s="142"/>
      <c r="L149" s="142"/>
      <c r="M149" s="142"/>
      <c r="N149" s="144"/>
      <c r="O149" s="144"/>
      <c r="AV149" s="69"/>
    </row>
    <row r="150" spans="8:48" s="70" customFormat="1" x14ac:dyDescent="0.3">
      <c r="H150" s="298"/>
      <c r="K150" s="142"/>
      <c r="L150" s="142"/>
      <c r="M150" s="142"/>
      <c r="N150" s="144"/>
      <c r="O150" s="144"/>
      <c r="AV150" s="69"/>
    </row>
    <row r="151" spans="8:48" s="70" customFormat="1" x14ac:dyDescent="0.3">
      <c r="H151" s="298"/>
      <c r="K151" s="142"/>
      <c r="L151" s="142"/>
      <c r="M151" s="142"/>
      <c r="N151" s="144"/>
      <c r="O151" s="144"/>
      <c r="AV151" s="69"/>
    </row>
    <row r="152" spans="8:48" s="70" customFormat="1" x14ac:dyDescent="0.3">
      <c r="H152" s="298"/>
      <c r="K152" s="142"/>
      <c r="L152" s="142"/>
      <c r="M152" s="142"/>
      <c r="N152" s="144"/>
      <c r="O152" s="144"/>
      <c r="AV152" s="69"/>
    </row>
    <row r="153" spans="8:48" s="70" customFormat="1" x14ac:dyDescent="0.3">
      <c r="H153" s="298"/>
      <c r="K153" s="142"/>
      <c r="L153" s="142"/>
      <c r="M153" s="142"/>
      <c r="N153" s="144"/>
      <c r="O153" s="144"/>
      <c r="AV153" s="69"/>
    </row>
    <row r="154" spans="8:48" s="70" customFormat="1" x14ac:dyDescent="0.3">
      <c r="H154" s="298"/>
      <c r="K154" s="142"/>
      <c r="L154" s="142"/>
      <c r="M154" s="142"/>
      <c r="N154" s="144"/>
      <c r="O154" s="144"/>
      <c r="AV154" s="69"/>
    </row>
    <row r="155" spans="8:48" s="70" customFormat="1" x14ac:dyDescent="0.3">
      <c r="H155" s="298"/>
      <c r="K155" s="142"/>
      <c r="L155" s="142"/>
      <c r="M155" s="142"/>
      <c r="N155" s="144"/>
      <c r="O155" s="144"/>
      <c r="AV155" s="69"/>
    </row>
    <row r="156" spans="8:48" s="70" customFormat="1" x14ac:dyDescent="0.3">
      <c r="H156" s="298"/>
      <c r="K156" s="142"/>
      <c r="L156" s="142"/>
      <c r="M156" s="142"/>
      <c r="N156" s="144"/>
      <c r="O156" s="144"/>
      <c r="AV156" s="69"/>
    </row>
    <row r="157" spans="8:48" s="70" customFormat="1" x14ac:dyDescent="0.3">
      <c r="H157" s="298"/>
      <c r="K157" s="142"/>
      <c r="L157" s="142"/>
      <c r="M157" s="142"/>
      <c r="N157" s="144"/>
      <c r="O157" s="144"/>
      <c r="AV157" s="69"/>
    </row>
    <row r="158" spans="8:48" s="70" customFormat="1" x14ac:dyDescent="0.3">
      <c r="H158" s="298"/>
      <c r="K158" s="142"/>
      <c r="L158" s="142"/>
      <c r="M158" s="142"/>
      <c r="N158" s="144"/>
      <c r="O158" s="144"/>
      <c r="AV158" s="69"/>
    </row>
    <row r="159" spans="8:48" s="70" customFormat="1" x14ac:dyDescent="0.3">
      <c r="H159" s="298"/>
      <c r="K159" s="142"/>
      <c r="L159" s="142"/>
      <c r="M159" s="142"/>
      <c r="N159" s="144"/>
      <c r="O159" s="144"/>
      <c r="AV159" s="69"/>
    </row>
    <row r="160" spans="8:48" s="70" customFormat="1" x14ac:dyDescent="0.3">
      <c r="H160" s="298"/>
      <c r="K160" s="142"/>
      <c r="L160" s="142"/>
      <c r="M160" s="142"/>
      <c r="N160" s="144"/>
      <c r="O160" s="144"/>
      <c r="AV160" s="69"/>
    </row>
    <row r="161" spans="1:49" s="70" customFormat="1" x14ac:dyDescent="0.3">
      <c r="H161" s="298"/>
      <c r="K161" s="142"/>
      <c r="L161" s="142"/>
      <c r="M161" s="142"/>
      <c r="N161" s="144"/>
      <c r="O161" s="144"/>
      <c r="AV161" s="69"/>
    </row>
    <row r="162" spans="1:49" s="70" customFormat="1" x14ac:dyDescent="0.3">
      <c r="H162" s="298"/>
      <c r="K162" s="142"/>
      <c r="L162" s="142"/>
      <c r="M162" s="142"/>
      <c r="N162" s="144"/>
      <c r="O162" s="144"/>
      <c r="AV162" s="69"/>
    </row>
    <row r="163" spans="1:49" s="70" customFormat="1" x14ac:dyDescent="0.3">
      <c r="H163" s="298"/>
      <c r="K163" s="142"/>
      <c r="L163" s="142"/>
      <c r="M163" s="142"/>
      <c r="N163" s="144"/>
      <c r="O163" s="144"/>
      <c r="AV163" s="69"/>
    </row>
    <row r="164" spans="1:49" s="70" customFormat="1" x14ac:dyDescent="0.3">
      <c r="H164" s="298"/>
      <c r="K164" s="142"/>
      <c r="L164" s="142"/>
      <c r="M164" s="142"/>
      <c r="N164" s="144"/>
      <c r="O164" s="144"/>
      <c r="AV164" s="69"/>
    </row>
    <row r="165" spans="1:49" s="70" customFormat="1" x14ac:dyDescent="0.3">
      <c r="H165" s="298"/>
      <c r="K165" s="142"/>
      <c r="L165" s="142"/>
      <c r="M165" s="142"/>
      <c r="N165" s="144"/>
      <c r="O165" s="144"/>
      <c r="AV165" s="69"/>
    </row>
    <row r="166" spans="1:49" s="70" customFormat="1" x14ac:dyDescent="0.3">
      <c r="H166" s="298"/>
      <c r="K166" s="142"/>
      <c r="L166" s="142"/>
      <c r="M166" s="142"/>
      <c r="N166" s="144"/>
      <c r="O166" s="144"/>
      <c r="AV166" s="69"/>
    </row>
    <row r="167" spans="1:49" s="70" customFormat="1" x14ac:dyDescent="0.3">
      <c r="H167" s="298"/>
      <c r="K167" s="142"/>
      <c r="L167" s="142"/>
      <c r="M167" s="142"/>
      <c r="N167" s="144"/>
      <c r="O167" s="144"/>
      <c r="AV167" s="69"/>
    </row>
    <row r="168" spans="1:49" s="145" customFormat="1" x14ac:dyDescent="0.3">
      <c r="A168" s="70"/>
      <c r="B168" s="70"/>
      <c r="C168" s="70"/>
      <c r="D168" s="70"/>
      <c r="E168" s="70"/>
      <c r="F168" s="70"/>
      <c r="G168" s="70"/>
      <c r="H168" s="298"/>
      <c r="I168" s="70"/>
      <c r="J168" s="70"/>
      <c r="K168" s="142"/>
      <c r="L168" s="142"/>
      <c r="M168" s="142"/>
      <c r="N168" s="144"/>
      <c r="O168" s="144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69"/>
      <c r="AW168" s="70"/>
    </row>
    <row r="169" spans="1:49" s="145" customFormat="1" x14ac:dyDescent="0.3">
      <c r="A169" s="70"/>
      <c r="B169" s="70"/>
      <c r="C169" s="70"/>
      <c r="D169" s="70"/>
      <c r="E169" s="70"/>
      <c r="F169" s="70"/>
      <c r="G169" s="70"/>
      <c r="H169" s="298"/>
      <c r="I169" s="70"/>
      <c r="J169" s="70"/>
      <c r="K169" s="142"/>
      <c r="L169" s="142"/>
      <c r="M169" s="142"/>
      <c r="N169" s="144"/>
      <c r="O169" s="144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69"/>
      <c r="AW169" s="70"/>
    </row>
    <row r="170" spans="1:49" s="145" customFormat="1" x14ac:dyDescent="0.3">
      <c r="A170" s="70"/>
      <c r="B170" s="70"/>
      <c r="C170" s="70"/>
      <c r="D170" s="70"/>
      <c r="E170" s="70"/>
      <c r="F170" s="70"/>
      <c r="G170" s="70"/>
      <c r="H170" s="298"/>
      <c r="I170" s="70"/>
      <c r="J170" s="70"/>
      <c r="K170" s="142"/>
      <c r="L170" s="142"/>
      <c r="M170" s="142"/>
      <c r="N170" s="144"/>
      <c r="O170" s="144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69"/>
      <c r="AW170" s="70"/>
    </row>
    <row r="171" spans="1:49" s="145" customFormat="1" x14ac:dyDescent="0.3">
      <c r="A171" s="70"/>
      <c r="B171" s="70"/>
      <c r="C171" s="70"/>
      <c r="D171" s="70"/>
      <c r="E171" s="70"/>
      <c r="F171" s="70"/>
      <c r="G171" s="70"/>
      <c r="H171" s="298"/>
      <c r="I171" s="70"/>
      <c r="J171" s="70"/>
      <c r="K171" s="142"/>
      <c r="L171" s="142"/>
      <c r="M171" s="142"/>
      <c r="N171" s="144"/>
      <c r="O171" s="144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69"/>
      <c r="AW171" s="70"/>
    </row>
    <row r="172" spans="1:49" s="145" customFormat="1" x14ac:dyDescent="0.3">
      <c r="A172" s="70"/>
      <c r="B172" s="70"/>
      <c r="C172" s="70"/>
      <c r="D172" s="70"/>
      <c r="E172" s="70"/>
      <c r="F172" s="70"/>
      <c r="G172" s="70"/>
      <c r="H172" s="298"/>
      <c r="I172" s="70"/>
      <c r="J172" s="70"/>
      <c r="K172" s="142"/>
      <c r="L172" s="142"/>
      <c r="M172" s="142"/>
      <c r="N172" s="144"/>
      <c r="O172" s="144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69"/>
      <c r="AW172" s="70"/>
    </row>
    <row r="173" spans="1:49" s="145" customFormat="1" x14ac:dyDescent="0.3">
      <c r="A173" s="70"/>
      <c r="B173" s="70"/>
      <c r="C173" s="70"/>
      <c r="D173" s="70"/>
      <c r="E173" s="70"/>
      <c r="F173" s="70"/>
      <c r="G173" s="70"/>
      <c r="H173" s="298"/>
      <c r="I173" s="70"/>
      <c r="J173" s="70"/>
      <c r="K173" s="142"/>
      <c r="L173" s="142"/>
      <c r="M173" s="142"/>
      <c r="N173" s="144"/>
      <c r="O173" s="144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69"/>
      <c r="AW173" s="70"/>
    </row>
    <row r="174" spans="1:49" s="145" customFormat="1" x14ac:dyDescent="0.3">
      <c r="A174" s="70"/>
      <c r="B174" s="70"/>
      <c r="C174" s="70"/>
      <c r="D174" s="70"/>
      <c r="E174" s="70"/>
      <c r="F174" s="70"/>
      <c r="G174" s="70"/>
      <c r="H174" s="298"/>
      <c r="I174" s="70"/>
      <c r="J174" s="70"/>
      <c r="K174" s="142"/>
      <c r="L174" s="142"/>
      <c r="M174" s="142"/>
      <c r="N174" s="144"/>
      <c r="O174" s="144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69"/>
      <c r="AW174" s="70"/>
    </row>
    <row r="175" spans="1:49" s="145" customFormat="1" x14ac:dyDescent="0.3">
      <c r="A175" s="70"/>
      <c r="B175" s="70"/>
      <c r="C175" s="70"/>
      <c r="D175" s="70"/>
      <c r="E175" s="70"/>
      <c r="F175" s="70"/>
      <c r="G175" s="70"/>
      <c r="H175" s="298"/>
      <c r="I175" s="70"/>
      <c r="J175" s="70"/>
      <c r="K175" s="142"/>
      <c r="L175" s="142"/>
      <c r="M175" s="142"/>
      <c r="N175" s="147"/>
      <c r="O175" s="144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69"/>
      <c r="AW175" s="70"/>
    </row>
    <row r="176" spans="1:49" s="145" customFormat="1" x14ac:dyDescent="0.3">
      <c r="A176" s="70"/>
      <c r="B176" s="70"/>
      <c r="C176" s="70"/>
      <c r="D176" s="70"/>
      <c r="E176" s="70"/>
      <c r="F176" s="70"/>
      <c r="G176" s="70"/>
      <c r="H176" s="298"/>
      <c r="I176" s="70"/>
      <c r="J176" s="70"/>
      <c r="K176" s="142"/>
      <c r="L176" s="142"/>
      <c r="M176" s="142"/>
      <c r="N176" s="147"/>
      <c r="O176" s="144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69"/>
      <c r="AW176" s="70"/>
    </row>
    <row r="177" spans="1:49" s="145" customFormat="1" x14ac:dyDescent="0.3">
      <c r="A177" s="70"/>
      <c r="B177" s="70"/>
      <c r="C177" s="70"/>
      <c r="D177" s="70"/>
      <c r="E177" s="70"/>
      <c r="F177" s="70"/>
      <c r="G177" s="70"/>
      <c r="H177" s="298"/>
      <c r="I177" s="70"/>
      <c r="J177" s="70"/>
      <c r="K177" s="142"/>
      <c r="L177" s="142"/>
      <c r="M177" s="142"/>
      <c r="N177" s="147"/>
      <c r="O177" s="144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69"/>
      <c r="AW177" s="70"/>
    </row>
    <row r="178" spans="1:49" s="145" customFormat="1" x14ac:dyDescent="0.3">
      <c r="A178" s="70"/>
      <c r="B178" s="70"/>
      <c r="C178" s="70"/>
      <c r="D178" s="70"/>
      <c r="E178" s="70"/>
      <c r="F178" s="70"/>
      <c r="G178" s="70"/>
      <c r="H178" s="298"/>
      <c r="I178" s="70"/>
      <c r="J178" s="70"/>
      <c r="K178" s="142"/>
      <c r="L178" s="142"/>
      <c r="M178" s="142"/>
      <c r="N178" s="147"/>
      <c r="O178" s="144"/>
      <c r="P178" s="149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69"/>
      <c r="AW178" s="70"/>
    </row>
    <row r="179" spans="1:49" s="145" customFormat="1" x14ac:dyDescent="0.3">
      <c r="A179" s="70"/>
      <c r="B179" s="70"/>
      <c r="C179" s="70"/>
      <c r="D179" s="70"/>
      <c r="E179" s="70"/>
      <c r="F179" s="70"/>
      <c r="G179" s="70"/>
      <c r="H179" s="298"/>
      <c r="I179" s="70"/>
      <c r="J179" s="70"/>
      <c r="K179" s="142"/>
      <c r="L179" s="142"/>
      <c r="M179" s="142"/>
      <c r="N179" s="147"/>
      <c r="O179" s="144"/>
      <c r="P179" s="149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69"/>
      <c r="AW179" s="70"/>
    </row>
    <row r="180" spans="1:49" s="145" customFormat="1" x14ac:dyDescent="0.3">
      <c r="A180" s="70"/>
      <c r="B180" s="70"/>
      <c r="C180" s="70"/>
      <c r="D180" s="70"/>
      <c r="E180" s="70"/>
      <c r="F180" s="70"/>
      <c r="G180" s="70"/>
      <c r="H180" s="298"/>
      <c r="I180" s="70"/>
      <c r="J180" s="70"/>
      <c r="K180" s="146"/>
      <c r="L180" s="146"/>
      <c r="M180" s="146"/>
      <c r="N180" s="147"/>
      <c r="O180" s="147"/>
      <c r="P180" s="149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69"/>
      <c r="AW180" s="70"/>
    </row>
    <row r="181" spans="1:49" s="145" customFormat="1" x14ac:dyDescent="0.3">
      <c r="A181" s="70"/>
      <c r="B181" s="70"/>
      <c r="C181" s="70"/>
      <c r="D181" s="70"/>
      <c r="E181" s="70"/>
      <c r="F181" s="70"/>
      <c r="G181" s="70"/>
      <c r="H181" s="298"/>
      <c r="I181" s="70"/>
      <c r="J181" s="70"/>
      <c r="K181" s="146"/>
      <c r="L181" s="146"/>
      <c r="M181" s="146"/>
      <c r="N181" s="147"/>
      <c r="O181" s="147"/>
      <c r="P181" s="149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69"/>
      <c r="AW181" s="70"/>
    </row>
    <row r="182" spans="1:49" s="145" customFormat="1" x14ac:dyDescent="0.3">
      <c r="A182" s="70"/>
      <c r="B182" s="70"/>
      <c r="C182" s="70"/>
      <c r="D182" s="70"/>
      <c r="E182" s="70"/>
      <c r="F182" s="70"/>
      <c r="G182" s="70"/>
      <c r="H182" s="298"/>
      <c r="I182" s="70"/>
      <c r="J182" s="70"/>
      <c r="K182" s="146"/>
      <c r="L182" s="146"/>
      <c r="M182" s="146"/>
      <c r="N182" s="147"/>
      <c r="O182" s="147"/>
      <c r="P182" s="149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69"/>
      <c r="AW182" s="70"/>
    </row>
    <row r="183" spans="1:49" s="145" customFormat="1" x14ac:dyDescent="0.3">
      <c r="A183" s="70"/>
      <c r="B183" s="70"/>
      <c r="C183" s="70"/>
      <c r="D183" s="70"/>
      <c r="E183" s="70"/>
      <c r="F183" s="70"/>
      <c r="G183" s="70"/>
      <c r="H183" s="298"/>
      <c r="I183" s="70"/>
      <c r="J183" s="70"/>
      <c r="K183" s="146"/>
      <c r="L183" s="146"/>
      <c r="M183" s="146"/>
      <c r="N183" s="147"/>
      <c r="O183" s="147"/>
      <c r="P183" s="149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69"/>
      <c r="AW183" s="70"/>
    </row>
    <row r="184" spans="1:49" s="145" customFormat="1" x14ac:dyDescent="0.3">
      <c r="A184" s="70"/>
      <c r="B184" s="70"/>
      <c r="C184" s="70"/>
      <c r="D184" s="70"/>
      <c r="E184" s="70"/>
      <c r="F184" s="70"/>
      <c r="G184" s="70"/>
      <c r="H184" s="298"/>
      <c r="I184" s="70"/>
      <c r="J184" s="70"/>
      <c r="K184" s="146"/>
      <c r="L184" s="146"/>
      <c r="M184" s="146"/>
      <c r="N184" s="147"/>
      <c r="O184" s="147"/>
      <c r="P184" s="149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69"/>
      <c r="AW184" s="70"/>
    </row>
    <row r="185" spans="1:49" x14ac:dyDescent="0.3">
      <c r="A185" s="70"/>
      <c r="B185" s="70"/>
      <c r="C185" s="70"/>
      <c r="D185" s="70"/>
      <c r="E185" s="70"/>
      <c r="F185" s="70"/>
      <c r="G185" s="70"/>
      <c r="H185" s="298"/>
      <c r="I185" s="70"/>
      <c r="J185" s="70"/>
      <c r="K185" s="146"/>
      <c r="L185" s="146"/>
      <c r="M185" s="146"/>
      <c r="N185" s="147"/>
      <c r="O185" s="147"/>
      <c r="P185" s="149"/>
      <c r="AV185" s="148"/>
      <c r="AW185" s="148"/>
    </row>
    <row r="186" spans="1:49" x14ac:dyDescent="0.3">
      <c r="A186" s="70"/>
      <c r="B186" s="70"/>
      <c r="C186" s="70"/>
      <c r="D186" s="70"/>
      <c r="E186" s="70"/>
      <c r="F186" s="70"/>
      <c r="G186" s="70"/>
      <c r="H186" s="298"/>
      <c r="I186" s="70"/>
      <c r="J186" s="70"/>
      <c r="K186" s="146"/>
      <c r="L186" s="146"/>
      <c r="M186" s="146"/>
      <c r="N186" s="147"/>
      <c r="O186" s="147"/>
      <c r="P186" s="149"/>
      <c r="AV186" s="148"/>
      <c r="AW186" s="148"/>
    </row>
    <row r="187" spans="1:49" x14ac:dyDescent="0.3">
      <c r="A187" s="70"/>
      <c r="B187" s="70"/>
      <c r="C187" s="70"/>
      <c r="D187" s="70"/>
      <c r="E187" s="70"/>
      <c r="F187" s="70"/>
      <c r="G187" s="70"/>
      <c r="H187" s="298"/>
      <c r="I187" s="70"/>
      <c r="J187" s="70"/>
      <c r="K187" s="146"/>
      <c r="L187" s="146"/>
      <c r="M187" s="146"/>
      <c r="N187" s="147"/>
      <c r="O187" s="147"/>
      <c r="P187" s="149"/>
      <c r="AV187" s="148"/>
      <c r="AW187" s="148"/>
    </row>
    <row r="188" spans="1:49" x14ac:dyDescent="0.3">
      <c r="A188" s="149"/>
      <c r="B188" s="149"/>
      <c r="C188" s="149"/>
      <c r="D188" s="149"/>
      <c r="E188" s="149"/>
      <c r="F188" s="70"/>
      <c r="G188" s="70"/>
      <c r="H188" s="298"/>
      <c r="I188" s="70"/>
      <c r="J188" s="70"/>
      <c r="K188" s="146"/>
      <c r="L188" s="146"/>
      <c r="M188" s="146"/>
      <c r="N188" s="147"/>
      <c r="O188" s="147"/>
      <c r="P188" s="149"/>
      <c r="AV188" s="148"/>
      <c r="AW188" s="148"/>
    </row>
    <row r="189" spans="1:49" x14ac:dyDescent="0.3">
      <c r="A189" s="149"/>
      <c r="B189" s="149"/>
      <c r="C189" s="149"/>
      <c r="D189" s="149"/>
      <c r="E189" s="149"/>
      <c r="F189" s="149"/>
      <c r="G189" s="149"/>
      <c r="H189" s="299"/>
      <c r="I189" s="70"/>
      <c r="J189" s="70"/>
      <c r="K189" s="146"/>
      <c r="L189" s="146"/>
      <c r="M189" s="146"/>
      <c r="N189" s="147"/>
      <c r="O189" s="147"/>
      <c r="P189" s="149"/>
      <c r="AV189" s="148"/>
      <c r="AW189" s="148"/>
    </row>
    <row r="190" spans="1:49" x14ac:dyDescent="0.3">
      <c r="A190" s="149"/>
      <c r="B190" s="149"/>
      <c r="C190" s="149"/>
      <c r="D190" s="149"/>
      <c r="E190" s="149"/>
      <c r="F190" s="149"/>
      <c r="G190" s="149"/>
      <c r="H190" s="299"/>
      <c r="I190" s="149"/>
      <c r="J190" s="149"/>
      <c r="K190" s="146"/>
      <c r="L190" s="146"/>
      <c r="M190" s="146"/>
      <c r="N190" s="147"/>
      <c r="O190" s="147"/>
      <c r="AV190" s="148"/>
      <c r="AW190" s="148"/>
    </row>
    <row r="191" spans="1:49" x14ac:dyDescent="0.3">
      <c r="A191" s="149"/>
      <c r="B191" s="149"/>
      <c r="C191" s="149"/>
      <c r="D191" s="149"/>
      <c r="E191" s="149"/>
      <c r="F191" s="149"/>
      <c r="G191" s="149"/>
      <c r="H191" s="299"/>
      <c r="I191" s="149"/>
      <c r="J191" s="149"/>
      <c r="K191" s="146"/>
      <c r="L191" s="146"/>
      <c r="M191" s="146"/>
      <c r="N191" s="147"/>
      <c r="O191" s="147"/>
      <c r="AV191" s="148"/>
      <c r="AW191" s="148"/>
    </row>
    <row r="192" spans="1:49" x14ac:dyDescent="0.3">
      <c r="A192" s="149"/>
      <c r="B192" s="149"/>
      <c r="C192" s="149"/>
      <c r="D192" s="149"/>
      <c r="E192" s="149"/>
      <c r="F192" s="149"/>
      <c r="G192" s="149"/>
      <c r="H192" s="299"/>
      <c r="I192" s="149"/>
      <c r="J192" s="149"/>
      <c r="K192" s="146"/>
      <c r="L192" s="146"/>
      <c r="M192" s="146"/>
      <c r="O192" s="147"/>
      <c r="AV192" s="148"/>
      <c r="AW192" s="148"/>
    </row>
    <row r="193" spans="1:49" x14ac:dyDescent="0.3">
      <c r="A193" s="149"/>
      <c r="B193" s="149"/>
      <c r="C193" s="149"/>
      <c r="D193" s="149"/>
      <c r="E193" s="149"/>
      <c r="F193" s="149"/>
      <c r="G193" s="149"/>
      <c r="H193" s="299"/>
      <c r="I193" s="149"/>
      <c r="J193" s="149"/>
      <c r="K193" s="146"/>
      <c r="L193" s="146"/>
      <c r="M193" s="146"/>
      <c r="O193" s="147"/>
      <c r="AV193" s="148"/>
      <c r="AW193" s="148"/>
    </row>
    <row r="194" spans="1:49" x14ac:dyDescent="0.3">
      <c r="A194" s="149"/>
      <c r="B194" s="149"/>
      <c r="C194" s="149"/>
      <c r="D194" s="149"/>
      <c r="E194" s="149"/>
      <c r="F194" s="149"/>
      <c r="G194" s="149"/>
      <c r="H194" s="299"/>
      <c r="I194" s="149"/>
      <c r="J194" s="149"/>
      <c r="K194" s="146"/>
      <c r="L194" s="146"/>
      <c r="M194" s="146"/>
      <c r="O194" s="147"/>
      <c r="AV194" s="148"/>
      <c r="AW194" s="148"/>
    </row>
    <row r="195" spans="1:49" x14ac:dyDescent="0.3">
      <c r="A195" s="149"/>
      <c r="B195" s="149"/>
      <c r="C195" s="149"/>
      <c r="D195" s="149"/>
      <c r="E195" s="149"/>
      <c r="F195" s="149"/>
      <c r="G195" s="149"/>
      <c r="H195" s="299"/>
      <c r="I195" s="149"/>
      <c r="J195" s="149"/>
      <c r="K195" s="146"/>
      <c r="L195" s="146"/>
      <c r="M195" s="146"/>
      <c r="O195" s="147"/>
      <c r="AV195" s="148"/>
      <c r="AW195" s="148"/>
    </row>
    <row r="196" spans="1:49" x14ac:dyDescent="0.3">
      <c r="A196" s="149"/>
      <c r="B196" s="149"/>
      <c r="C196" s="149"/>
      <c r="D196" s="149"/>
      <c r="E196" s="149"/>
      <c r="F196" s="149"/>
      <c r="G196" s="149"/>
      <c r="H196" s="299"/>
      <c r="I196" s="149"/>
      <c r="J196" s="149"/>
      <c r="K196" s="146"/>
      <c r="L196" s="146"/>
      <c r="M196" s="146"/>
      <c r="N196" s="148"/>
      <c r="O196" s="147"/>
      <c r="AV196" s="148"/>
      <c r="AW196" s="148"/>
    </row>
    <row r="197" spans="1:49" x14ac:dyDescent="0.3">
      <c r="A197" s="149"/>
      <c r="B197" s="149"/>
      <c r="C197" s="149"/>
      <c r="D197" s="149"/>
      <c r="E197" s="149"/>
      <c r="F197" s="149"/>
      <c r="G197" s="149"/>
      <c r="H197" s="299"/>
      <c r="I197" s="149"/>
      <c r="J197" s="149"/>
    </row>
    <row r="198" spans="1:49" x14ac:dyDescent="0.3">
      <c r="A198" s="149"/>
      <c r="B198" s="149"/>
      <c r="C198" s="149"/>
      <c r="D198" s="149"/>
      <c r="E198" s="149"/>
      <c r="F198" s="149"/>
      <c r="G198" s="149"/>
      <c r="H198" s="299"/>
      <c r="I198" s="149"/>
      <c r="J198" s="14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69"/>
      <c r="AJ198" s="69"/>
      <c r="AK198" s="69"/>
      <c r="AL198" s="69"/>
      <c r="AM198" s="69"/>
      <c r="AN198" s="69"/>
      <c r="AO198" s="69"/>
      <c r="AP198" s="69"/>
      <c r="AQ198" s="69"/>
      <c r="AR198" s="69"/>
      <c r="AS198" s="69"/>
      <c r="AT198" s="69"/>
      <c r="AU198" s="69"/>
      <c r="AV198" s="148"/>
      <c r="AW198" s="148"/>
    </row>
    <row r="199" spans="1:49" x14ac:dyDescent="0.3">
      <c r="A199" s="149"/>
      <c r="B199" s="149"/>
      <c r="C199" s="149"/>
      <c r="D199" s="149"/>
      <c r="E199" s="149"/>
      <c r="F199" s="149"/>
      <c r="G199" s="149"/>
      <c r="H199" s="299"/>
      <c r="I199" s="149"/>
      <c r="J199" s="149"/>
    </row>
    <row r="200" spans="1:49" x14ac:dyDescent="0.3">
      <c r="A200" s="149"/>
      <c r="B200" s="149"/>
      <c r="C200" s="149"/>
      <c r="D200" s="149"/>
      <c r="E200" s="149"/>
      <c r="F200" s="149"/>
      <c r="G200" s="149"/>
      <c r="H200" s="299"/>
      <c r="I200" s="149"/>
      <c r="J200" s="149"/>
    </row>
    <row r="201" spans="1:49" x14ac:dyDescent="0.3">
      <c r="A201" s="149"/>
      <c r="B201" s="149"/>
      <c r="C201" s="149"/>
      <c r="D201" s="149"/>
      <c r="E201" s="149"/>
      <c r="F201" s="149"/>
      <c r="G201" s="149"/>
      <c r="H201" s="299"/>
      <c r="I201" s="149"/>
      <c r="J201" s="149"/>
    </row>
    <row r="202" spans="1:49" x14ac:dyDescent="0.3">
      <c r="A202" s="149"/>
      <c r="B202" s="149"/>
      <c r="C202" s="149"/>
      <c r="D202" s="149"/>
      <c r="E202" s="149"/>
      <c r="F202" s="149"/>
      <c r="G202" s="149"/>
      <c r="H202" s="299"/>
      <c r="I202" s="149"/>
      <c r="J202" s="149"/>
    </row>
    <row r="203" spans="1:49" x14ac:dyDescent="0.3">
      <c r="A203" s="149"/>
      <c r="B203" s="149"/>
      <c r="C203" s="149"/>
      <c r="D203" s="149"/>
      <c r="E203" s="149"/>
      <c r="F203" s="149"/>
      <c r="G203" s="149"/>
      <c r="H203" s="299"/>
      <c r="I203" s="149"/>
      <c r="J203" s="149"/>
    </row>
    <row r="204" spans="1:49" x14ac:dyDescent="0.3">
      <c r="A204" s="149"/>
      <c r="B204" s="149"/>
      <c r="C204" s="149"/>
      <c r="D204" s="149"/>
      <c r="E204" s="149"/>
      <c r="F204" s="149"/>
      <c r="G204" s="149"/>
      <c r="H204" s="299"/>
      <c r="I204" s="149"/>
      <c r="J204" s="149"/>
    </row>
    <row r="205" spans="1:49" x14ac:dyDescent="0.3">
      <c r="F205" s="149"/>
      <c r="G205" s="149"/>
      <c r="H205" s="299"/>
      <c r="I205" s="149"/>
      <c r="J205" s="149"/>
    </row>
    <row r="206" spans="1:49" x14ac:dyDescent="0.3">
      <c r="I206" s="149"/>
      <c r="J206" s="149"/>
    </row>
    <row r="210" spans="11:13" x14ac:dyDescent="0.3">
      <c r="K210" s="148"/>
      <c r="L210" s="148"/>
      <c r="M210" s="148"/>
    </row>
    <row r="1048534" spans="1:60" x14ac:dyDescent="0.3">
      <c r="P1048534" s="57"/>
    </row>
    <row r="1048542" spans="1:60" s="70" customFormat="1" x14ac:dyDescent="0.3">
      <c r="A1048542" s="148"/>
      <c r="B1048542" s="148"/>
      <c r="C1048542" s="148"/>
      <c r="D1048542" s="148"/>
      <c r="E1048542" s="148"/>
      <c r="F1048542" s="148"/>
      <c r="G1048542" s="148"/>
      <c r="H1048542" s="297"/>
      <c r="I1048542" s="148"/>
      <c r="J1048542" s="148"/>
      <c r="K1048542" s="150"/>
      <c r="L1048542" s="150"/>
      <c r="M1048542" s="150"/>
      <c r="N1048542" s="150"/>
      <c r="O1048542" s="150"/>
      <c r="P1048542" s="148"/>
      <c r="AV1048542" s="69"/>
      <c r="AW1048542" s="69"/>
      <c r="AX1048542" s="148"/>
      <c r="AY1048542" s="148"/>
      <c r="AZ1048542" s="148"/>
      <c r="BA1048542" s="148"/>
      <c r="BB1048542" s="148"/>
      <c r="BC1048542" s="148"/>
      <c r="BD1048542" s="148"/>
      <c r="BE1048542" s="148"/>
      <c r="BF1048542" s="148"/>
      <c r="BG1048542" s="148"/>
      <c r="BH1048542" s="148"/>
    </row>
  </sheetData>
  <mergeCells count="40">
    <mergeCell ref="N69:O69"/>
    <mergeCell ref="N70:O70"/>
    <mergeCell ref="N71:P71"/>
    <mergeCell ref="N72:O72"/>
    <mergeCell ref="N63:O63"/>
    <mergeCell ref="N64:O64"/>
    <mergeCell ref="N65:O65"/>
    <mergeCell ref="N66:O66"/>
    <mergeCell ref="N67:O67"/>
    <mergeCell ref="N68:O68"/>
    <mergeCell ref="N62:P62"/>
    <mergeCell ref="E50:J50"/>
    <mergeCell ref="E51:J51"/>
    <mergeCell ref="E52:J52"/>
    <mergeCell ref="E53:J53"/>
    <mergeCell ref="E54:J54"/>
    <mergeCell ref="A55:J55"/>
    <mergeCell ref="A57:E57"/>
    <mergeCell ref="N57:P57"/>
    <mergeCell ref="N58:O58"/>
    <mergeCell ref="N59:O59"/>
    <mergeCell ref="N60:P61"/>
    <mergeCell ref="E49:J49"/>
    <mergeCell ref="E38:J38"/>
    <mergeCell ref="E39:J39"/>
    <mergeCell ref="E40:J40"/>
    <mergeCell ref="E41:J41"/>
    <mergeCell ref="E42:J42"/>
    <mergeCell ref="E43:J43"/>
    <mergeCell ref="B44:J44"/>
    <mergeCell ref="A45:N45"/>
    <mergeCell ref="A46:P46"/>
    <mergeCell ref="E47:J47"/>
    <mergeCell ref="E48:J48"/>
    <mergeCell ref="A37:P37"/>
    <mergeCell ref="A1:P1"/>
    <mergeCell ref="A2:P2"/>
    <mergeCell ref="A6:B6"/>
    <mergeCell ref="A7:P7"/>
    <mergeCell ref="A36:B36"/>
  </mergeCells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617C7-AE25-4D15-B7DF-701827F33775}">
  <dimension ref="A1:BH1048543"/>
  <sheetViews>
    <sheetView zoomScale="72" zoomScaleNormal="72" workbookViewId="0">
      <selection sqref="A1:XFD1048576"/>
    </sheetView>
  </sheetViews>
  <sheetFormatPr defaultColWidth="9.109375" defaultRowHeight="13.8" x14ac:dyDescent="0.3"/>
  <cols>
    <col min="1" max="1" width="50.6640625" style="148" bestFit="1" customWidth="1"/>
    <col min="2" max="2" width="8.33203125" style="148" bestFit="1" customWidth="1"/>
    <col min="3" max="3" width="17.33203125" style="148" customWidth="1"/>
    <col min="4" max="4" width="17.109375" style="148" bestFit="1" customWidth="1"/>
    <col min="5" max="5" width="18.33203125" style="148" customWidth="1"/>
    <col min="6" max="6" width="17.109375" style="148" bestFit="1" customWidth="1"/>
    <col min="7" max="7" width="16" style="148" bestFit="1" customWidth="1"/>
    <col min="8" max="8" width="15.88671875" style="297" bestFit="1" customWidth="1"/>
    <col min="9" max="9" width="12.6640625" style="148" customWidth="1"/>
    <col min="10" max="10" width="19.109375" style="148" customWidth="1"/>
    <col min="11" max="11" width="16.77734375" style="150" bestFit="1" customWidth="1"/>
    <col min="12" max="12" width="15.88671875" style="150" bestFit="1" customWidth="1"/>
    <col min="13" max="13" width="17.109375" style="150" bestFit="1" customWidth="1"/>
    <col min="14" max="14" width="130.5546875" style="150" customWidth="1"/>
    <col min="15" max="15" width="8.6640625" style="150" customWidth="1"/>
    <col min="16" max="16" width="16.77734375" style="148" bestFit="1" customWidth="1"/>
    <col min="17" max="18" width="13.109375" style="70" bestFit="1" customWidth="1"/>
    <col min="19" max="47" width="9.109375" style="70"/>
    <col min="48" max="49" width="9.109375" style="69"/>
    <col min="50" max="16384" width="9.109375" style="148"/>
  </cols>
  <sheetData>
    <row r="1" spans="1:42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</row>
    <row r="2" spans="1:42" s="10" customFormat="1" ht="28.5" customHeight="1" x14ac:dyDescent="0.3">
      <c r="A2" s="571" t="s">
        <v>1275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3"/>
    </row>
    <row r="3" spans="1:42" s="10" customFormat="1" ht="33.6" customHeight="1" x14ac:dyDescent="0.3">
      <c r="A3" s="83" t="s">
        <v>3</v>
      </c>
      <c r="B3" s="83" t="s">
        <v>0</v>
      </c>
      <c r="C3" s="83" t="s">
        <v>821</v>
      </c>
      <c r="D3" s="84" t="s">
        <v>1</v>
      </c>
      <c r="E3" s="84" t="s">
        <v>68</v>
      </c>
      <c r="F3" s="84" t="s">
        <v>69</v>
      </c>
      <c r="G3" s="85" t="s">
        <v>2</v>
      </c>
      <c r="H3" s="85" t="s">
        <v>592</v>
      </c>
      <c r="I3" s="84" t="s">
        <v>6</v>
      </c>
      <c r="J3" s="84" t="s">
        <v>7</v>
      </c>
      <c r="K3" s="84" t="s">
        <v>4</v>
      </c>
      <c r="L3" s="84" t="s">
        <v>5</v>
      </c>
      <c r="M3" s="84" t="s">
        <v>70</v>
      </c>
      <c r="N3" s="83" t="s">
        <v>59</v>
      </c>
      <c r="O3" s="86" t="s">
        <v>8</v>
      </c>
      <c r="P3" s="86" t="s">
        <v>10</v>
      </c>
    </row>
    <row r="4" spans="1:42" s="444" customFormat="1" ht="24.6" customHeight="1" x14ac:dyDescent="0.3">
      <c r="A4" s="3" t="s">
        <v>1282</v>
      </c>
      <c r="B4" s="444">
        <v>14</v>
      </c>
      <c r="C4" s="436" t="s">
        <v>828</v>
      </c>
      <c r="D4" s="5">
        <f>680</f>
        <v>680</v>
      </c>
      <c r="E4" s="447">
        <v>0</v>
      </c>
      <c r="F4" s="5">
        <f t="shared" ref="F4" si="0">D4-E4</f>
        <v>680</v>
      </c>
      <c r="G4" s="447">
        <f>50</f>
        <v>50</v>
      </c>
      <c r="H4" s="447">
        <f t="shared" ref="H4" si="1">(1827.9/27)</f>
        <v>67.7</v>
      </c>
      <c r="I4" s="447">
        <f>'[2]GERAL 2025'!I43</f>
        <v>1.3720449172576832</v>
      </c>
      <c r="J4" s="447">
        <v>0</v>
      </c>
      <c r="K4" s="438">
        <f>SUM(F4:J4)</f>
        <v>799.0720449172577</v>
      </c>
      <c r="L4" s="447">
        <f>60%*(D4+G4)</f>
        <v>438</v>
      </c>
      <c r="M4" s="447">
        <f>K4-L4</f>
        <v>361.0720449172577</v>
      </c>
      <c r="N4" s="5" t="s">
        <v>1299</v>
      </c>
      <c r="O4" s="3">
        <v>10</v>
      </c>
      <c r="P4" s="3">
        <v>11</v>
      </c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422"/>
      <c r="AM4" s="423"/>
      <c r="AN4" s="423"/>
      <c r="AO4" s="423"/>
      <c r="AP4" s="423"/>
    </row>
    <row r="5" spans="1:42" s="206" customFormat="1" ht="24.6" customHeight="1" x14ac:dyDescent="0.3">
      <c r="A5" s="195"/>
      <c r="B5" s="432"/>
      <c r="C5" s="432"/>
      <c r="D5" s="196">
        <v>0</v>
      </c>
      <c r="E5" s="443">
        <v>0</v>
      </c>
      <c r="F5" s="196">
        <f>D5-E5</f>
        <v>0</v>
      </c>
      <c r="G5" s="443">
        <v>0</v>
      </c>
      <c r="H5" s="443">
        <v>0</v>
      </c>
      <c r="I5" s="443">
        <v>0</v>
      </c>
      <c r="J5" s="443">
        <v>0</v>
      </c>
      <c r="K5" s="433">
        <f>SUM(F5:J5)</f>
        <v>0</v>
      </c>
      <c r="L5" s="443">
        <f>60%*(D5+G5)</f>
        <v>0</v>
      </c>
      <c r="M5" s="443">
        <f>K5-L5</f>
        <v>0</v>
      </c>
      <c r="N5" s="432"/>
      <c r="O5" s="197"/>
      <c r="P5" s="197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</row>
    <row r="6" spans="1:42" s="10" customFormat="1" ht="25.05" customHeight="1" x14ac:dyDescent="0.3">
      <c r="A6" s="518" t="s">
        <v>4</v>
      </c>
      <c r="B6" s="518"/>
      <c r="C6" s="435"/>
      <c r="D6" s="438">
        <f>SUM(D4:D5)</f>
        <v>680</v>
      </c>
      <c r="E6" s="438">
        <f t="shared" ref="E6:J6" si="2">SUM(E4:E5)</f>
        <v>0</v>
      </c>
      <c r="F6" s="438">
        <f t="shared" si="2"/>
        <v>680</v>
      </c>
      <c r="G6" s="438">
        <f t="shared" si="2"/>
        <v>50</v>
      </c>
      <c r="H6" s="438">
        <f t="shared" si="2"/>
        <v>67.7</v>
      </c>
      <c r="I6" s="438">
        <f t="shared" si="2"/>
        <v>1.3720449172576832</v>
      </c>
      <c r="J6" s="438">
        <f t="shared" si="2"/>
        <v>0</v>
      </c>
      <c r="K6" s="438">
        <f>SUM(K4:K5)</f>
        <v>799.0720449172577</v>
      </c>
      <c r="L6" s="438">
        <f>SUM(L4:L5)</f>
        <v>438</v>
      </c>
      <c r="M6" s="438">
        <f>SUM(M4:M5)</f>
        <v>361.0720449172577</v>
      </c>
      <c r="N6" s="436"/>
      <c r="O6" s="3"/>
      <c r="P6" s="3"/>
    </row>
    <row r="7" spans="1:42" s="10" customFormat="1" ht="25.05" customHeight="1" x14ac:dyDescent="0.3">
      <c r="A7" s="571" t="s">
        <v>1276</v>
      </c>
      <c r="B7" s="572"/>
      <c r="C7" s="572"/>
      <c r="D7" s="572"/>
      <c r="E7" s="572"/>
      <c r="F7" s="572"/>
      <c r="G7" s="572"/>
      <c r="H7" s="572"/>
      <c r="I7" s="572"/>
      <c r="J7" s="572"/>
      <c r="K7" s="572"/>
      <c r="L7" s="572"/>
      <c r="M7" s="572"/>
      <c r="N7" s="572"/>
      <c r="O7" s="572"/>
      <c r="P7" s="573"/>
    </row>
    <row r="8" spans="1:42" s="11" customFormat="1" ht="34.799999999999997" customHeight="1" x14ac:dyDescent="0.3">
      <c r="A8" s="83" t="s">
        <v>3</v>
      </c>
      <c r="B8" s="83" t="s">
        <v>0</v>
      </c>
      <c r="C8" s="83" t="s">
        <v>821</v>
      </c>
      <c r="D8" s="84" t="s">
        <v>1</v>
      </c>
      <c r="E8" s="84" t="s">
        <v>68</v>
      </c>
      <c r="F8" s="84" t="s">
        <v>69</v>
      </c>
      <c r="G8" s="85" t="s">
        <v>2</v>
      </c>
      <c r="H8" s="85" t="s">
        <v>592</v>
      </c>
      <c r="I8" s="84" t="s">
        <v>6</v>
      </c>
      <c r="J8" s="84" t="s">
        <v>7</v>
      </c>
      <c r="K8" s="84" t="s">
        <v>4</v>
      </c>
      <c r="L8" s="84" t="s">
        <v>5</v>
      </c>
      <c r="M8" s="84" t="s">
        <v>70</v>
      </c>
      <c r="N8" s="83" t="s">
        <v>59</v>
      </c>
      <c r="O8" s="86" t="s">
        <v>8</v>
      </c>
      <c r="P8" s="86" t="s">
        <v>10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</row>
    <row r="9" spans="1:42" s="441" customFormat="1" ht="24.6" customHeight="1" x14ac:dyDescent="0.3">
      <c r="A9" s="88" t="s">
        <v>1079</v>
      </c>
      <c r="B9" s="436">
        <v>1</v>
      </c>
      <c r="C9" s="435" t="s">
        <v>830</v>
      </c>
      <c r="D9" s="5">
        <v>637.22</v>
      </c>
      <c r="E9" s="447">
        <v>0</v>
      </c>
      <c r="F9" s="447">
        <f t="shared" ref="F9:F25" si="3">D9-E9</f>
        <v>637.22</v>
      </c>
      <c r="G9" s="5">
        <v>52.23</v>
      </c>
      <c r="H9" s="447">
        <f>(1827.9/27)</f>
        <v>67.7</v>
      </c>
      <c r="I9" s="447">
        <f>'[2]GERAL 2025'!I3</f>
        <v>1.3720449172576832</v>
      </c>
      <c r="J9" s="447">
        <v>133.16999999999999</v>
      </c>
      <c r="K9" s="438">
        <f t="shared" ref="K9:K35" si="4">SUM(F9:J9)</f>
        <v>891.6920449172577</v>
      </c>
      <c r="L9" s="447">
        <f>7%*K9</f>
        <v>62.418443144208048</v>
      </c>
      <c r="M9" s="447">
        <f>K9-L9</f>
        <v>829.27360177304968</v>
      </c>
      <c r="N9" s="5" t="s">
        <v>1300</v>
      </c>
      <c r="O9" s="3">
        <v>10</v>
      </c>
      <c r="P9" s="3">
        <v>11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s="96" customFormat="1" ht="26.4" customHeight="1" x14ac:dyDescent="0.3">
      <c r="A10" s="436" t="s">
        <v>1210</v>
      </c>
      <c r="B10" s="444">
        <v>2</v>
      </c>
      <c r="C10" s="436" t="s">
        <v>822</v>
      </c>
      <c r="D10" s="5">
        <f>660</f>
        <v>660</v>
      </c>
      <c r="E10" s="5">
        <v>0</v>
      </c>
      <c r="F10" s="5">
        <f t="shared" si="3"/>
        <v>660</v>
      </c>
      <c r="G10" s="5">
        <f>50</f>
        <v>50</v>
      </c>
      <c r="H10" s="447">
        <f t="shared" ref="H10:H35" si="5">(1827.9/27)</f>
        <v>67.7</v>
      </c>
      <c r="I10" s="447">
        <f>'[2]GERAL 2025'!I40</f>
        <v>1.3720449172576832</v>
      </c>
      <c r="J10" s="5">
        <v>0</v>
      </c>
      <c r="K10" s="438">
        <f t="shared" si="4"/>
        <v>779.0720449172577</v>
      </c>
      <c r="L10" s="447">
        <f>7%*K10</f>
        <v>54.535043144208046</v>
      </c>
      <c r="M10" s="447">
        <f t="shared" ref="M10:M34" si="6">K10-L10</f>
        <v>724.53700177304961</v>
      </c>
      <c r="N10" s="436" t="s">
        <v>1299</v>
      </c>
      <c r="O10" s="3">
        <v>10</v>
      </c>
      <c r="P10" s="3">
        <v>11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16"/>
      <c r="AM10" s="17"/>
      <c r="AN10" s="17"/>
      <c r="AO10" s="17"/>
      <c r="AP10" s="17"/>
    </row>
    <row r="11" spans="1:42" s="6" customFormat="1" ht="24.6" customHeight="1" x14ac:dyDescent="0.3">
      <c r="A11" s="436" t="s">
        <v>1005</v>
      </c>
      <c r="B11" s="444">
        <v>3</v>
      </c>
      <c r="C11" s="436" t="s">
        <v>822</v>
      </c>
      <c r="D11" s="5">
        <v>0</v>
      </c>
      <c r="E11" s="5">
        <v>0</v>
      </c>
      <c r="F11" s="5">
        <f t="shared" si="3"/>
        <v>0</v>
      </c>
      <c r="G11" s="5"/>
      <c r="H11" s="447">
        <v>0</v>
      </c>
      <c r="I11" s="447">
        <v>0</v>
      </c>
      <c r="J11" s="5">
        <v>0</v>
      </c>
      <c r="K11" s="438">
        <f t="shared" si="4"/>
        <v>0</v>
      </c>
      <c r="L11" s="447">
        <f>7%*K11</f>
        <v>0</v>
      </c>
      <c r="M11" s="447">
        <f>K11-L11</f>
        <v>0</v>
      </c>
      <c r="N11" s="436" t="s">
        <v>179</v>
      </c>
      <c r="O11" s="3">
        <v>10</v>
      </c>
      <c r="P11" s="3">
        <v>11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</row>
    <row r="12" spans="1:42" s="441" customFormat="1" ht="24.6" customHeight="1" x14ac:dyDescent="0.3">
      <c r="A12" s="436" t="s">
        <v>1133</v>
      </c>
      <c r="B12" s="436">
        <v>4</v>
      </c>
      <c r="C12" s="436" t="s">
        <v>829</v>
      </c>
      <c r="D12" s="5">
        <f>660</f>
        <v>660</v>
      </c>
      <c r="E12" s="5">
        <v>0</v>
      </c>
      <c r="F12" s="5">
        <f t="shared" si="3"/>
        <v>660</v>
      </c>
      <c r="G12" s="447">
        <f>50</f>
        <v>50</v>
      </c>
      <c r="H12" s="447">
        <f t="shared" si="5"/>
        <v>67.7</v>
      </c>
      <c r="I12" s="447">
        <f>'[2]GERAL 2025'!I34</f>
        <v>1.3720449172576832</v>
      </c>
      <c r="J12" s="447">
        <v>0</v>
      </c>
      <c r="K12" s="438">
        <f t="shared" si="4"/>
        <v>779.0720449172577</v>
      </c>
      <c r="L12" s="447">
        <f>7%*K12</f>
        <v>54.535043144208046</v>
      </c>
      <c r="M12" s="447">
        <f t="shared" si="6"/>
        <v>724.53700177304961</v>
      </c>
      <c r="N12" s="436" t="s">
        <v>1299</v>
      </c>
      <c r="O12" s="3">
        <v>10</v>
      </c>
      <c r="P12" s="444">
        <v>11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s="441" customFormat="1" ht="24.6" customHeight="1" x14ac:dyDescent="0.3">
      <c r="A13" s="436" t="s">
        <v>744</v>
      </c>
      <c r="B13" s="436">
        <v>5</v>
      </c>
      <c r="C13" s="436" t="s">
        <v>823</v>
      </c>
      <c r="D13" s="5">
        <f>'[2]GERAL 2023'!G7+(6.53784 %*580)</f>
        <v>617.91947200000004</v>
      </c>
      <c r="E13" s="447">
        <v>0</v>
      </c>
      <c r="F13" s="447">
        <f t="shared" si="3"/>
        <v>617.91947200000004</v>
      </c>
      <c r="G13" s="447">
        <f>50</f>
        <v>50</v>
      </c>
      <c r="H13" s="447">
        <f t="shared" si="5"/>
        <v>67.7</v>
      </c>
      <c r="I13" s="447">
        <f>'[2]GERAL 2025'!I7</f>
        <v>1.3720449172576832</v>
      </c>
      <c r="J13" s="447">
        <v>0</v>
      </c>
      <c r="K13" s="438">
        <f t="shared" si="4"/>
        <v>736.99151691725774</v>
      </c>
      <c r="L13" s="447">
        <f>7%*K13</f>
        <v>51.589406184208045</v>
      </c>
      <c r="M13" s="447">
        <f t="shared" si="6"/>
        <v>685.40211073304965</v>
      </c>
      <c r="N13" s="436" t="s">
        <v>1299</v>
      </c>
      <c r="O13" s="3">
        <v>10</v>
      </c>
      <c r="P13" s="3">
        <v>11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s="11" customFormat="1" ht="24.6" customHeight="1" x14ac:dyDescent="0.3">
      <c r="A14" s="436" t="s">
        <v>745</v>
      </c>
      <c r="B14" s="436">
        <v>6</v>
      </c>
      <c r="C14" s="436" t="s">
        <v>823</v>
      </c>
      <c r="D14" s="5">
        <f>'[2]GERAL 2023'!G8+(6.53784%*680)</f>
        <v>724.457312</v>
      </c>
      <c r="E14" s="5">
        <v>0</v>
      </c>
      <c r="F14" s="447">
        <f t="shared" si="3"/>
        <v>724.457312</v>
      </c>
      <c r="G14" s="447">
        <v>50</v>
      </c>
      <c r="H14" s="447">
        <f t="shared" si="5"/>
        <v>67.7</v>
      </c>
      <c r="I14" s="447">
        <f>'[2]GERAL 2025'!I8</f>
        <v>1.9208628841607567</v>
      </c>
      <c r="J14" s="447">
        <v>0</v>
      </c>
      <c r="K14" s="438">
        <f t="shared" si="4"/>
        <v>844.07817488416083</v>
      </c>
      <c r="L14" s="447">
        <f t="shared" ref="L14:L35" si="7">7%*K14</f>
        <v>59.085472241891267</v>
      </c>
      <c r="M14" s="447">
        <f>K14-L14</f>
        <v>784.99270264226959</v>
      </c>
      <c r="N14" s="436" t="s">
        <v>1299</v>
      </c>
      <c r="O14" s="3">
        <v>10</v>
      </c>
      <c r="P14" s="3">
        <v>11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</row>
    <row r="15" spans="1:42" s="441" customFormat="1" ht="24.6" customHeight="1" x14ac:dyDescent="0.3">
      <c r="A15" s="436" t="s">
        <v>1136</v>
      </c>
      <c r="B15" s="436">
        <v>7</v>
      </c>
      <c r="C15" s="436" t="s">
        <v>829</v>
      </c>
      <c r="D15" s="5">
        <f>690</f>
        <v>690</v>
      </c>
      <c r="E15" s="5">
        <v>0</v>
      </c>
      <c r="F15" s="5">
        <f t="shared" si="3"/>
        <v>690</v>
      </c>
      <c r="G15" s="5">
        <v>0</v>
      </c>
      <c r="H15" s="447">
        <f t="shared" si="5"/>
        <v>67.7</v>
      </c>
      <c r="I15" s="447">
        <f>'[2]GERAL 2025'!I35</f>
        <v>1.3720449172576832</v>
      </c>
      <c r="J15" s="5"/>
      <c r="K15" s="438">
        <f t="shared" si="4"/>
        <v>759.0720449172577</v>
      </c>
      <c r="L15" s="447">
        <f>7%*K15</f>
        <v>53.135043144208041</v>
      </c>
      <c r="M15" s="447">
        <f>K15-L15</f>
        <v>705.9370017730497</v>
      </c>
      <c r="N15" s="5" t="s">
        <v>1301</v>
      </c>
      <c r="O15" s="3">
        <v>10</v>
      </c>
      <c r="P15" s="3">
        <v>11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s="441" customFormat="1" ht="24.6" customHeight="1" x14ac:dyDescent="0.3">
      <c r="A16" s="436" t="s">
        <v>1085</v>
      </c>
      <c r="B16" s="436">
        <v>8</v>
      </c>
      <c r="C16" s="435" t="s">
        <v>830</v>
      </c>
      <c r="D16" s="5">
        <v>668.56</v>
      </c>
      <c r="E16" s="447">
        <v>0</v>
      </c>
      <c r="F16" s="5">
        <f t="shared" si="3"/>
        <v>668.56</v>
      </c>
      <c r="G16" s="447">
        <v>0</v>
      </c>
      <c r="H16" s="447">
        <f t="shared" si="5"/>
        <v>67.7</v>
      </c>
      <c r="I16" s="447">
        <f>'[2]GERAL 2025'!I10</f>
        <v>1.3720449172576832</v>
      </c>
      <c r="J16" s="447">
        <v>133.54</v>
      </c>
      <c r="K16" s="438">
        <f t="shared" si="4"/>
        <v>871.17204491725761</v>
      </c>
      <c r="L16" s="447">
        <f>7%*K16</f>
        <v>60.982043144208035</v>
      </c>
      <c r="M16" s="447">
        <f>K16-L16</f>
        <v>810.19000177304952</v>
      </c>
      <c r="N16" s="5" t="s">
        <v>1302</v>
      </c>
      <c r="O16" s="3">
        <v>10</v>
      </c>
      <c r="P16" s="3">
        <v>11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7" s="441" customFormat="1" ht="24.6" customHeight="1" x14ac:dyDescent="0.3">
      <c r="A17" s="436" t="s">
        <v>852</v>
      </c>
      <c r="B17" s="436">
        <v>9</v>
      </c>
      <c r="C17" s="436" t="s">
        <v>828</v>
      </c>
      <c r="D17" s="5">
        <f>681.98</f>
        <v>681.98</v>
      </c>
      <c r="E17" s="447">
        <v>0</v>
      </c>
      <c r="F17" s="5">
        <f t="shared" si="3"/>
        <v>681.98</v>
      </c>
      <c r="G17" s="447">
        <v>0</v>
      </c>
      <c r="H17" s="447">
        <f t="shared" si="5"/>
        <v>67.7</v>
      </c>
      <c r="I17" s="447">
        <f>'[2]GERAL 2025'!I11</f>
        <v>1.3720449172576832</v>
      </c>
      <c r="J17" s="447">
        <v>0</v>
      </c>
      <c r="K17" s="438">
        <f t="shared" si="4"/>
        <v>751.05204491725772</v>
      </c>
      <c r="L17" s="447">
        <f>7%*K17</f>
        <v>52.573643144208049</v>
      </c>
      <c r="M17" s="447">
        <f>K17-L17</f>
        <v>698.47840177304965</v>
      </c>
      <c r="N17" s="436" t="s">
        <v>1301</v>
      </c>
      <c r="O17" s="125">
        <v>10</v>
      </c>
      <c r="P17" s="3">
        <v>11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7" s="69" customFormat="1" ht="24.6" customHeight="1" x14ac:dyDescent="0.3">
      <c r="A18" s="444" t="s">
        <v>739</v>
      </c>
      <c r="B18" s="444">
        <v>10</v>
      </c>
      <c r="C18" s="444" t="s">
        <v>825</v>
      </c>
      <c r="D18" s="5">
        <f>588.62</f>
        <v>588.62</v>
      </c>
      <c r="E18" s="447">
        <v>0</v>
      </c>
      <c r="F18" s="5">
        <f t="shared" si="3"/>
        <v>588.62</v>
      </c>
      <c r="G18" s="447">
        <v>26.76</v>
      </c>
      <c r="H18" s="447">
        <f t="shared" si="5"/>
        <v>67.7</v>
      </c>
      <c r="I18" s="447">
        <f>'[2]GERAL 2025'!I12</f>
        <v>1.3720449172576832</v>
      </c>
      <c r="J18" s="447">
        <v>0</v>
      </c>
      <c r="K18" s="438">
        <f t="shared" si="4"/>
        <v>684.45204491725769</v>
      </c>
      <c r="L18" s="447">
        <f t="shared" si="7"/>
        <v>47.911643144208043</v>
      </c>
      <c r="M18" s="447">
        <f t="shared" si="6"/>
        <v>636.54040177304967</v>
      </c>
      <c r="N18" s="5" t="s">
        <v>1303</v>
      </c>
      <c r="O18" s="3">
        <v>10</v>
      </c>
      <c r="P18" s="444">
        <v>11</v>
      </c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</row>
    <row r="19" spans="1:47" s="69" customFormat="1" ht="24.6" customHeight="1" x14ac:dyDescent="0.3">
      <c r="A19" s="444" t="s">
        <v>1192</v>
      </c>
      <c r="B19" s="444">
        <v>11</v>
      </c>
      <c r="C19" s="444" t="s">
        <v>825</v>
      </c>
      <c r="D19" s="447">
        <f>660</f>
        <v>660</v>
      </c>
      <c r="E19" s="447">
        <v>0</v>
      </c>
      <c r="F19" s="5">
        <f t="shared" si="3"/>
        <v>660</v>
      </c>
      <c r="G19" s="447">
        <f>25</f>
        <v>25</v>
      </c>
      <c r="H19" s="447">
        <f t="shared" si="5"/>
        <v>67.7</v>
      </c>
      <c r="I19" s="447">
        <f>'[2]GERAL 2025'!I38</f>
        <v>1.3720449172576832</v>
      </c>
      <c r="J19" s="447">
        <v>0</v>
      </c>
      <c r="K19" s="438">
        <f t="shared" si="4"/>
        <v>754.0720449172577</v>
      </c>
      <c r="L19" s="447">
        <f>7%*K19</f>
        <v>52.785043144208046</v>
      </c>
      <c r="M19" s="447">
        <f>K19-L19</f>
        <v>701.28700177304961</v>
      </c>
      <c r="N19" s="5" t="s">
        <v>1303</v>
      </c>
      <c r="O19" s="3">
        <v>10</v>
      </c>
      <c r="P19" s="444">
        <v>11</v>
      </c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</row>
    <row r="20" spans="1:47" s="441" customFormat="1" ht="24" customHeight="1" x14ac:dyDescent="0.3">
      <c r="A20" s="436" t="s">
        <v>1087</v>
      </c>
      <c r="B20" s="436">
        <v>12</v>
      </c>
      <c r="C20" s="435" t="s">
        <v>830</v>
      </c>
      <c r="D20" s="5">
        <v>637.22</v>
      </c>
      <c r="E20" s="447">
        <v>0</v>
      </c>
      <c r="F20" s="447">
        <f t="shared" si="3"/>
        <v>637.22</v>
      </c>
      <c r="G20" s="5">
        <v>52.23</v>
      </c>
      <c r="H20" s="447">
        <f t="shared" si="5"/>
        <v>67.7</v>
      </c>
      <c r="I20" s="447">
        <f>'[2]GERAL 2025'!I14</f>
        <v>1.3720449172576832</v>
      </c>
      <c r="J20" s="5">
        <v>133.16999999999999</v>
      </c>
      <c r="K20" s="438">
        <f t="shared" si="4"/>
        <v>891.6920449172577</v>
      </c>
      <c r="L20" s="447">
        <f t="shared" si="7"/>
        <v>62.418443144208048</v>
      </c>
      <c r="M20" s="447">
        <f t="shared" si="6"/>
        <v>829.27360177304968</v>
      </c>
      <c r="N20" s="5" t="s">
        <v>1304</v>
      </c>
      <c r="O20" s="3">
        <v>10</v>
      </c>
      <c r="P20" s="3">
        <v>11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pans="1:47" s="11" customFormat="1" ht="24.6" customHeight="1" x14ac:dyDescent="0.3">
      <c r="A21" s="436" t="s">
        <v>756</v>
      </c>
      <c r="B21" s="436">
        <v>13</v>
      </c>
      <c r="C21" s="436" t="s">
        <v>827</v>
      </c>
      <c r="D21" s="5">
        <v>596.77</v>
      </c>
      <c r="E21" s="5">
        <v>0</v>
      </c>
      <c r="F21" s="5">
        <f t="shared" si="3"/>
        <v>596.77</v>
      </c>
      <c r="G21" s="447">
        <v>0</v>
      </c>
      <c r="H21" s="447">
        <f t="shared" si="5"/>
        <v>67.7</v>
      </c>
      <c r="I21" s="447">
        <f>'[2]GERAL 2025'!I15</f>
        <v>1.3720449172576832</v>
      </c>
      <c r="J21" s="447">
        <v>0</v>
      </c>
      <c r="K21" s="438">
        <f t="shared" si="4"/>
        <v>665.84204491725768</v>
      </c>
      <c r="L21" s="447">
        <f t="shared" si="7"/>
        <v>46.608943144208041</v>
      </c>
      <c r="M21" s="447">
        <f t="shared" si="6"/>
        <v>619.23310177304961</v>
      </c>
      <c r="N21" s="436" t="s">
        <v>1301</v>
      </c>
      <c r="O21" s="3">
        <v>10</v>
      </c>
      <c r="P21" s="3">
        <v>11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</row>
    <row r="22" spans="1:47" s="69" customFormat="1" ht="24.6" customHeight="1" x14ac:dyDescent="0.3">
      <c r="A22" s="3" t="s">
        <v>1282</v>
      </c>
      <c r="B22" s="444">
        <v>14</v>
      </c>
      <c r="C22" s="436" t="s">
        <v>828</v>
      </c>
      <c r="D22" s="5">
        <v>0</v>
      </c>
      <c r="E22" s="447">
        <v>0</v>
      </c>
      <c r="F22" s="5">
        <f t="shared" si="3"/>
        <v>0</v>
      </c>
      <c r="G22" s="447">
        <v>0</v>
      </c>
      <c r="H22" s="447">
        <v>0</v>
      </c>
      <c r="I22" s="447">
        <v>0</v>
      </c>
      <c r="J22" s="447">
        <v>0</v>
      </c>
      <c r="K22" s="438">
        <f t="shared" si="4"/>
        <v>0</v>
      </c>
      <c r="L22" s="447">
        <f t="shared" si="7"/>
        <v>0</v>
      </c>
      <c r="M22" s="447">
        <f t="shared" si="6"/>
        <v>0</v>
      </c>
      <c r="N22" s="5" t="s">
        <v>108</v>
      </c>
      <c r="O22" s="3">
        <v>10</v>
      </c>
      <c r="P22" s="444">
        <v>11</v>
      </c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</row>
    <row r="23" spans="1:47" s="6" customFormat="1" ht="24.6" customHeight="1" x14ac:dyDescent="0.3">
      <c r="A23" s="436" t="s">
        <v>748</v>
      </c>
      <c r="B23" s="436">
        <v>15</v>
      </c>
      <c r="C23" s="436" t="s">
        <v>827</v>
      </c>
      <c r="D23" s="5">
        <v>737.83</v>
      </c>
      <c r="E23" s="447">
        <v>0</v>
      </c>
      <c r="F23" s="5">
        <f t="shared" si="3"/>
        <v>737.83</v>
      </c>
      <c r="G23" s="447">
        <v>27.13</v>
      </c>
      <c r="H23" s="447">
        <f t="shared" si="5"/>
        <v>67.7</v>
      </c>
      <c r="I23" s="447">
        <f>'[2]GERAL 2025'!I17</f>
        <v>1.9208628841607567</v>
      </c>
      <c r="J23" s="447">
        <v>0</v>
      </c>
      <c r="K23" s="438">
        <f t="shared" si="4"/>
        <v>834.58086288416087</v>
      </c>
      <c r="L23" s="447">
        <f t="shared" si="7"/>
        <v>58.420660401891269</v>
      </c>
      <c r="M23" s="447">
        <f t="shared" si="6"/>
        <v>776.1602024822696</v>
      </c>
      <c r="N23" s="436" t="s">
        <v>1303</v>
      </c>
      <c r="O23" s="3">
        <v>10</v>
      </c>
      <c r="P23" s="444">
        <v>11</v>
      </c>
      <c r="Q23" s="9"/>
      <c r="R23" s="9"/>
      <c r="S23" s="9"/>
      <c r="T23" s="9"/>
      <c r="U23" s="9"/>
      <c r="V23" s="9"/>
      <c r="W23" s="9"/>
      <c r="X23" s="9"/>
      <c r="Y23" s="9"/>
    </row>
    <row r="24" spans="1:47" s="11" customFormat="1" ht="24.6" customHeight="1" x14ac:dyDescent="0.3">
      <c r="A24" s="3" t="s">
        <v>1195</v>
      </c>
      <c r="B24" s="3">
        <v>16</v>
      </c>
      <c r="C24" s="444" t="s">
        <v>825</v>
      </c>
      <c r="D24" s="5">
        <f>690</f>
        <v>690</v>
      </c>
      <c r="E24" s="447">
        <v>0</v>
      </c>
      <c r="F24" s="5">
        <f>D24-E24</f>
        <v>690</v>
      </c>
      <c r="G24" s="447">
        <f>50/31*23</f>
        <v>37.096774193548384</v>
      </c>
      <c r="H24" s="447">
        <f t="shared" si="5"/>
        <v>67.7</v>
      </c>
      <c r="I24" s="447">
        <f>'[2]GERAL 2025'!I39</f>
        <v>1.3720449172576832</v>
      </c>
      <c r="J24" s="447">
        <v>0</v>
      </c>
      <c r="K24" s="438">
        <f t="shared" si="4"/>
        <v>796.16881911080611</v>
      </c>
      <c r="L24" s="447">
        <f t="shared" si="7"/>
        <v>55.731817337756432</v>
      </c>
      <c r="M24" s="447">
        <f>K24-L24</f>
        <v>740.4370017730497</v>
      </c>
      <c r="N24" s="5" t="s">
        <v>1305</v>
      </c>
      <c r="O24" s="3">
        <v>10</v>
      </c>
      <c r="P24" s="3">
        <v>11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</row>
    <row r="25" spans="1:47" s="11" customFormat="1" ht="24.6" customHeight="1" x14ac:dyDescent="0.3">
      <c r="A25" s="88" t="s">
        <v>1029</v>
      </c>
      <c r="B25" s="88">
        <v>17</v>
      </c>
      <c r="C25" s="88" t="s">
        <v>824</v>
      </c>
      <c r="D25" s="5">
        <f>628.06</f>
        <v>628.05999999999995</v>
      </c>
      <c r="E25" s="447">
        <v>0</v>
      </c>
      <c r="F25" s="5">
        <f t="shared" si="3"/>
        <v>628.05999999999995</v>
      </c>
      <c r="G25" s="447">
        <v>51.48</v>
      </c>
      <c r="H25" s="447">
        <f t="shared" si="5"/>
        <v>67.7</v>
      </c>
      <c r="I25" s="447">
        <f>'[2]GERAL 2025'!I19</f>
        <v>1.3720449172576832</v>
      </c>
      <c r="J25" s="447">
        <v>0</v>
      </c>
      <c r="K25" s="438">
        <f t="shared" si="4"/>
        <v>748.61204491725766</v>
      </c>
      <c r="L25" s="447">
        <f>7%*K25</f>
        <v>52.402843144208042</v>
      </c>
      <c r="M25" s="447">
        <f>K25-L25</f>
        <v>696.20920177304959</v>
      </c>
      <c r="N25" s="436" t="s">
        <v>1299</v>
      </c>
      <c r="O25" s="3">
        <v>10</v>
      </c>
      <c r="P25" s="3">
        <v>11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</row>
    <row r="26" spans="1:47" s="11" customFormat="1" ht="24.6" customHeight="1" x14ac:dyDescent="0.3">
      <c r="A26" s="88" t="s">
        <v>1030</v>
      </c>
      <c r="B26" s="436">
        <v>18</v>
      </c>
      <c r="C26" s="88" t="s">
        <v>824</v>
      </c>
      <c r="D26" s="5">
        <v>658.95</v>
      </c>
      <c r="E26" s="447">
        <v>0</v>
      </c>
      <c r="F26" s="5">
        <f>D26-E26</f>
        <v>658.95</v>
      </c>
      <c r="G26" s="447">
        <v>0</v>
      </c>
      <c r="H26" s="447">
        <f t="shared" si="5"/>
        <v>67.7</v>
      </c>
      <c r="I26" s="447">
        <f>'[2]GERAL 2025'!I20</f>
        <v>1.3720449172576832</v>
      </c>
      <c r="J26" s="447">
        <v>0</v>
      </c>
      <c r="K26" s="438">
        <f t="shared" si="4"/>
        <v>728.02204491725774</v>
      </c>
      <c r="L26" s="447">
        <f t="shared" si="7"/>
        <v>50.961543144208044</v>
      </c>
      <c r="M26" s="447">
        <f t="shared" si="6"/>
        <v>677.06050177304974</v>
      </c>
      <c r="N26" s="436" t="s">
        <v>1301</v>
      </c>
      <c r="O26" s="3">
        <v>10</v>
      </c>
      <c r="P26" s="3">
        <v>11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 spans="1:47" s="11" customFormat="1" ht="24.6" customHeight="1" x14ac:dyDescent="0.3">
      <c r="A27" s="436" t="s">
        <v>1012</v>
      </c>
      <c r="B27" s="436">
        <v>19</v>
      </c>
      <c r="C27" s="436" t="s">
        <v>822</v>
      </c>
      <c r="D27" s="5">
        <f>605.44</f>
        <v>605.44000000000005</v>
      </c>
      <c r="E27" s="447">
        <v>0</v>
      </c>
      <c r="F27" s="5">
        <f>(D27-E27)</f>
        <v>605.44000000000005</v>
      </c>
      <c r="G27" s="447">
        <v>52.19</v>
      </c>
      <c r="H27" s="447">
        <f t="shared" si="5"/>
        <v>67.7</v>
      </c>
      <c r="I27" s="447">
        <f>'[2]GERAL 2025'!I21</f>
        <v>1.3720449172576832</v>
      </c>
      <c r="J27" s="447">
        <v>0</v>
      </c>
      <c r="K27" s="438">
        <f t="shared" si="4"/>
        <v>726.70204491725781</v>
      </c>
      <c r="L27" s="447">
        <f t="shared" si="7"/>
        <v>50.869143144208053</v>
      </c>
      <c r="M27" s="447">
        <f t="shared" si="6"/>
        <v>675.8329017730498</v>
      </c>
      <c r="N27" s="436" t="s">
        <v>1299</v>
      </c>
      <c r="O27" s="125">
        <v>10</v>
      </c>
      <c r="P27" s="3">
        <v>11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 spans="1:47" s="11" customFormat="1" ht="24" customHeight="1" x14ac:dyDescent="0.3">
      <c r="A28" s="88" t="s">
        <v>1214</v>
      </c>
      <c r="B28" s="436">
        <v>20</v>
      </c>
      <c r="C28" s="436" t="s">
        <v>822</v>
      </c>
      <c r="D28" s="5">
        <f>660</f>
        <v>660</v>
      </c>
      <c r="E28" s="447">
        <v>0</v>
      </c>
      <c r="F28" s="5">
        <f t="shared" ref="F28:F35" si="8">D28-E28</f>
        <v>660</v>
      </c>
      <c r="G28" s="447">
        <f>50</f>
        <v>50</v>
      </c>
      <c r="H28" s="447">
        <f t="shared" si="5"/>
        <v>67.7</v>
      </c>
      <c r="I28" s="447">
        <f>'[2]GERAL 2025'!I41</f>
        <v>1.3720449172576832</v>
      </c>
      <c r="J28" s="447">
        <v>0</v>
      </c>
      <c r="K28" s="438">
        <f t="shared" si="4"/>
        <v>779.0720449172577</v>
      </c>
      <c r="L28" s="447">
        <f t="shared" si="7"/>
        <v>54.535043144208046</v>
      </c>
      <c r="M28" s="447">
        <f t="shared" si="6"/>
        <v>724.53700177304961</v>
      </c>
      <c r="N28" s="436" t="s">
        <v>1299</v>
      </c>
      <c r="O28" s="125">
        <v>10</v>
      </c>
      <c r="P28" s="3">
        <v>11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 spans="1:47" s="11" customFormat="1" ht="25.2" customHeight="1" x14ac:dyDescent="0.3">
      <c r="A29" s="88" t="s">
        <v>788</v>
      </c>
      <c r="B29" s="436">
        <v>21</v>
      </c>
      <c r="C29" s="436" t="s">
        <v>822</v>
      </c>
      <c r="D29" s="5">
        <f>620.28</f>
        <v>620.28</v>
      </c>
      <c r="E29" s="447">
        <v>0</v>
      </c>
      <c r="F29" s="5">
        <f t="shared" si="8"/>
        <v>620.28</v>
      </c>
      <c r="G29" s="447">
        <v>26.1</v>
      </c>
      <c r="H29" s="447">
        <f t="shared" si="5"/>
        <v>67.7</v>
      </c>
      <c r="I29" s="447">
        <f>'[2]GERAL 2025'!I23</f>
        <v>1.3720449172576832</v>
      </c>
      <c r="J29" s="447">
        <v>0</v>
      </c>
      <c r="K29" s="438">
        <f t="shared" si="4"/>
        <v>715.45204491725769</v>
      </c>
      <c r="L29" s="447">
        <f t="shared" si="7"/>
        <v>50.081643144208044</v>
      </c>
      <c r="M29" s="447">
        <f t="shared" si="6"/>
        <v>665.37040177304971</v>
      </c>
      <c r="N29" s="436" t="s">
        <v>1303</v>
      </c>
      <c r="O29" s="125">
        <v>10</v>
      </c>
      <c r="P29" s="3">
        <v>11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</row>
    <row r="30" spans="1:47" s="11" customFormat="1" ht="24.6" customHeight="1" x14ac:dyDescent="0.3">
      <c r="A30" s="424" t="s">
        <v>950</v>
      </c>
      <c r="B30" s="71">
        <v>22</v>
      </c>
      <c r="C30" s="71" t="s">
        <v>951</v>
      </c>
      <c r="D30" s="230">
        <v>662.35</v>
      </c>
      <c r="E30" s="72">
        <v>0</v>
      </c>
      <c r="F30" s="230">
        <f t="shared" si="8"/>
        <v>662.35</v>
      </c>
      <c r="G30" s="72">
        <v>0</v>
      </c>
      <c r="H30" s="447">
        <f t="shared" si="5"/>
        <v>67.7</v>
      </c>
      <c r="I30" s="72">
        <f>'[2]GERAL 2025'!I24</f>
        <v>1.3720449172576832</v>
      </c>
      <c r="J30" s="72">
        <v>0</v>
      </c>
      <c r="K30" s="112">
        <f t="shared" si="4"/>
        <v>731.42204491725772</v>
      </c>
      <c r="L30" s="72">
        <f>7%*K30</f>
        <v>51.199543144208043</v>
      </c>
      <c r="M30" s="72">
        <f>K30-L30</f>
        <v>680.22250177304966</v>
      </c>
      <c r="N30" s="71" t="s">
        <v>1301</v>
      </c>
      <c r="O30" s="138">
        <v>10</v>
      </c>
      <c r="P30" s="98">
        <v>11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</row>
    <row r="31" spans="1:47" s="436" customFormat="1" ht="24.6" customHeight="1" x14ac:dyDescent="0.3">
      <c r="A31" s="88" t="s">
        <v>1169</v>
      </c>
      <c r="B31" s="436">
        <v>23</v>
      </c>
      <c r="C31" s="436" t="s">
        <v>827</v>
      </c>
      <c r="D31" s="5">
        <f>660</f>
        <v>660</v>
      </c>
      <c r="E31" s="447">
        <v>0</v>
      </c>
      <c r="F31" s="5">
        <f t="shared" si="8"/>
        <v>660</v>
      </c>
      <c r="G31" s="447">
        <f>(50+25)</f>
        <v>75</v>
      </c>
      <c r="H31" s="447">
        <f t="shared" si="5"/>
        <v>67.7</v>
      </c>
      <c r="I31" s="447">
        <f>'[2]GERAL 2025'!I37</f>
        <v>1.3720449172576832</v>
      </c>
      <c r="J31" s="447">
        <v>0</v>
      </c>
      <c r="K31" s="438">
        <f t="shared" si="4"/>
        <v>804.0720449172577</v>
      </c>
      <c r="L31" s="447">
        <f>7%*K31</f>
        <v>56.285043144208046</v>
      </c>
      <c r="M31" s="447">
        <f>K31-L31</f>
        <v>747.78700177304961</v>
      </c>
      <c r="N31" s="436" t="s">
        <v>1306</v>
      </c>
      <c r="O31" s="3">
        <v>10</v>
      </c>
      <c r="P31" s="3">
        <v>11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</row>
    <row r="32" spans="1:47" s="96" customFormat="1" ht="25.2" customHeight="1" x14ac:dyDescent="0.3">
      <c r="A32" s="436" t="s">
        <v>1171</v>
      </c>
      <c r="B32" s="436">
        <v>24</v>
      </c>
      <c r="C32" s="436" t="s">
        <v>827</v>
      </c>
      <c r="D32" s="5">
        <f>740</f>
        <v>740</v>
      </c>
      <c r="E32" s="447">
        <v>0</v>
      </c>
      <c r="F32" s="5">
        <f>D32-E32</f>
        <v>740</v>
      </c>
      <c r="G32" s="447">
        <f>50</f>
        <v>50</v>
      </c>
      <c r="H32" s="447">
        <f t="shared" si="5"/>
        <v>67.7</v>
      </c>
      <c r="I32" s="447">
        <f>'[2]GERAL 2025'!I36</f>
        <v>1.9208628841607567</v>
      </c>
      <c r="J32" s="447">
        <v>0</v>
      </c>
      <c r="K32" s="438">
        <f t="shared" si="4"/>
        <v>859.62086288416083</v>
      </c>
      <c r="L32" s="447">
        <f>7%*K32</f>
        <v>60.173460401891262</v>
      </c>
      <c r="M32" s="447">
        <f t="shared" si="6"/>
        <v>799.44740248226958</v>
      </c>
      <c r="N32" s="436" t="s">
        <v>1299</v>
      </c>
      <c r="O32" s="3">
        <v>10</v>
      </c>
      <c r="P32" s="3">
        <v>11</v>
      </c>
      <c r="Q32" s="17"/>
      <c r="R32" s="17"/>
      <c r="S32" s="17"/>
      <c r="T32" s="17"/>
      <c r="U32" s="17"/>
      <c r="V32" s="17"/>
      <c r="W32" s="17"/>
      <c r="X32" s="17"/>
      <c r="Y32" s="17"/>
    </row>
    <row r="33" spans="1:42" s="6" customFormat="1" ht="24.6" customHeight="1" x14ac:dyDescent="0.3">
      <c r="A33" s="11" t="s">
        <v>1007</v>
      </c>
      <c r="B33" s="425">
        <v>25</v>
      </c>
      <c r="C33" s="425" t="s">
        <v>822</v>
      </c>
      <c r="D33" s="426">
        <v>668.07</v>
      </c>
      <c r="E33" s="427">
        <v>0</v>
      </c>
      <c r="F33" s="426">
        <f t="shared" si="8"/>
        <v>668.07</v>
      </c>
      <c r="G33" s="427">
        <v>26.1</v>
      </c>
      <c r="H33" s="447">
        <f t="shared" si="5"/>
        <v>67.7</v>
      </c>
      <c r="I33" s="427">
        <f>'[2]GERAL 2025'!I27</f>
        <v>1.3720449172576832</v>
      </c>
      <c r="J33" s="427">
        <v>0</v>
      </c>
      <c r="K33" s="428">
        <f t="shared" si="4"/>
        <v>763.24204491725777</v>
      </c>
      <c r="L33" s="427">
        <f t="shared" si="7"/>
        <v>53.426943144208046</v>
      </c>
      <c r="M33" s="427">
        <f t="shared" si="6"/>
        <v>709.81510177304972</v>
      </c>
      <c r="N33" s="425" t="s">
        <v>1303</v>
      </c>
      <c r="O33" s="429">
        <v>10</v>
      </c>
      <c r="P33" s="430">
        <v>11</v>
      </c>
      <c r="Q33" s="9"/>
      <c r="R33" s="9"/>
      <c r="S33" s="9"/>
      <c r="T33" s="9"/>
      <c r="U33" s="9"/>
      <c r="V33" s="9"/>
      <c r="W33" s="9"/>
      <c r="X33" s="9"/>
      <c r="Y33" s="9"/>
    </row>
    <row r="34" spans="1:42" s="11" customFormat="1" ht="26.4" customHeight="1" x14ac:dyDescent="0.3">
      <c r="A34" s="88" t="s">
        <v>1252</v>
      </c>
      <c r="B34" s="436">
        <v>26</v>
      </c>
      <c r="C34" s="436" t="s">
        <v>1253</v>
      </c>
      <c r="D34" s="5">
        <f>660</f>
        <v>660</v>
      </c>
      <c r="E34" s="447">
        <v>0</v>
      </c>
      <c r="F34" s="5">
        <f t="shared" si="8"/>
        <v>660</v>
      </c>
      <c r="G34" s="421">
        <v>0</v>
      </c>
      <c r="H34" s="447">
        <f t="shared" si="5"/>
        <v>67.7</v>
      </c>
      <c r="I34" s="447">
        <f>'[2]GERAL 2025'!I42</f>
        <v>1.3720449172576832</v>
      </c>
      <c r="J34" s="447">
        <v>0</v>
      </c>
      <c r="K34" s="438">
        <f t="shared" si="4"/>
        <v>729.0720449172577</v>
      </c>
      <c r="L34" s="447">
        <f>7%*K34</f>
        <v>51.035043144208046</v>
      </c>
      <c r="M34" s="447">
        <f t="shared" si="6"/>
        <v>678.03700177304961</v>
      </c>
      <c r="N34" s="436" t="s">
        <v>1301</v>
      </c>
      <c r="O34" s="3">
        <v>10</v>
      </c>
      <c r="P34" s="3">
        <v>11</v>
      </c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 spans="1:42" s="11" customFormat="1" ht="24.6" customHeight="1" x14ac:dyDescent="0.3">
      <c r="A35" s="88" t="s">
        <v>752</v>
      </c>
      <c r="B35" s="436">
        <v>27</v>
      </c>
      <c r="C35" s="71" t="s">
        <v>827</v>
      </c>
      <c r="D35" s="230">
        <v>629.32000000000005</v>
      </c>
      <c r="E35" s="72">
        <v>0</v>
      </c>
      <c r="F35" s="5">
        <f t="shared" si="8"/>
        <v>629.32000000000005</v>
      </c>
      <c r="G35" s="72">
        <v>0</v>
      </c>
      <c r="H35" s="447">
        <f t="shared" si="5"/>
        <v>67.7</v>
      </c>
      <c r="I35" s="72">
        <f>'[2]GERAL 2025'!I29</f>
        <v>1.3720449172576832</v>
      </c>
      <c r="J35" s="72">
        <v>0</v>
      </c>
      <c r="K35" s="438">
        <f t="shared" si="4"/>
        <v>698.39204491725775</v>
      </c>
      <c r="L35" s="447">
        <f t="shared" si="7"/>
        <v>48.887443144208049</v>
      </c>
      <c r="M35" s="447">
        <f>K35-L35</f>
        <v>649.50460177304967</v>
      </c>
      <c r="N35" s="436" t="s">
        <v>1301</v>
      </c>
      <c r="O35" s="3">
        <v>10</v>
      </c>
      <c r="P35" s="3">
        <v>11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 spans="1:42" s="206" customFormat="1" ht="25.05" customHeight="1" x14ac:dyDescent="0.3">
      <c r="A36" s="584" t="s">
        <v>4</v>
      </c>
      <c r="B36" s="584"/>
      <c r="C36" s="446"/>
      <c r="D36" s="433">
        <f>SUM(D9:D35)</f>
        <v>16443.046784000002</v>
      </c>
      <c r="E36" s="433">
        <f t="shared" ref="E36:M36" si="9">SUM(E9:E35)</f>
        <v>0</v>
      </c>
      <c r="F36" s="433">
        <f t="shared" si="9"/>
        <v>16443.046784000002</v>
      </c>
      <c r="G36" s="433">
        <f t="shared" si="9"/>
        <v>751.31677419354855</v>
      </c>
      <c r="H36" s="433">
        <f>SUM(H9:H35)</f>
        <v>1692.5000000000007</v>
      </c>
      <c r="I36" s="433">
        <f>SUM(I9:I35)</f>
        <v>35.947576832151292</v>
      </c>
      <c r="J36" s="433">
        <f>SUM(J9:J35)</f>
        <v>399.88</v>
      </c>
      <c r="K36" s="433">
        <f>SUM(K9:K35)</f>
        <v>19322.6911350257</v>
      </c>
      <c r="L36" s="433">
        <f t="shared" si="9"/>
        <v>1352.588379451799</v>
      </c>
      <c r="M36" s="433">
        <f t="shared" si="9"/>
        <v>17970.102755573898</v>
      </c>
      <c r="N36" s="432"/>
      <c r="O36" s="197"/>
      <c r="P36" s="197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</row>
    <row r="37" spans="1:42" s="11" customFormat="1" ht="28.5" customHeight="1" x14ac:dyDescent="0.3">
      <c r="A37" s="521" t="s">
        <v>1285</v>
      </c>
      <c r="B37" s="521"/>
      <c r="C37" s="521"/>
      <c r="D37" s="521"/>
      <c r="E37" s="521"/>
      <c r="F37" s="521"/>
      <c r="G37" s="521"/>
      <c r="H37" s="521"/>
      <c r="I37" s="521"/>
      <c r="J37" s="521"/>
      <c r="K37" s="521"/>
      <c r="L37" s="521"/>
      <c r="M37" s="521"/>
      <c r="N37" s="521"/>
      <c r="O37" s="521"/>
      <c r="P37" s="521"/>
      <c r="Q37" s="10"/>
      <c r="R37" s="10"/>
      <c r="S37" s="10"/>
      <c r="T37" s="10"/>
      <c r="U37" s="10"/>
      <c r="V37" s="10"/>
      <c r="W37" s="10"/>
      <c r="X37" s="10"/>
      <c r="Y37" s="10"/>
    </row>
    <row r="38" spans="1:42" s="11" customFormat="1" ht="27.6" customHeight="1" x14ac:dyDescent="0.3">
      <c r="A38" s="431" t="s">
        <v>3</v>
      </c>
      <c r="B38" s="431" t="s">
        <v>0</v>
      </c>
      <c r="C38" s="431" t="s">
        <v>821</v>
      </c>
      <c r="D38" s="439" t="s">
        <v>174</v>
      </c>
      <c r="E38" s="555" t="s">
        <v>175</v>
      </c>
      <c r="F38" s="556"/>
      <c r="G38" s="556"/>
      <c r="H38" s="556"/>
      <c r="I38" s="556"/>
      <c r="J38" s="557"/>
      <c r="K38" s="439" t="s">
        <v>4</v>
      </c>
      <c r="L38" s="439" t="s">
        <v>5</v>
      </c>
      <c r="M38" s="439" t="s">
        <v>70</v>
      </c>
      <c r="N38" s="431" t="s">
        <v>59</v>
      </c>
      <c r="O38" s="130" t="s">
        <v>8</v>
      </c>
      <c r="P38" s="130" t="s">
        <v>10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42" s="6" customFormat="1" ht="24.6" customHeight="1" x14ac:dyDescent="0.3">
      <c r="A39" s="436"/>
      <c r="B39" s="444"/>
      <c r="C39" s="436"/>
      <c r="D39" s="5">
        <v>0</v>
      </c>
      <c r="E39" s="546"/>
      <c r="F39" s="547"/>
      <c r="G39" s="547"/>
      <c r="H39" s="547"/>
      <c r="I39" s="547"/>
      <c r="J39" s="548"/>
      <c r="K39" s="438">
        <v>0</v>
      </c>
      <c r="L39" s="447">
        <f>7%*K39</f>
        <v>0</v>
      </c>
      <c r="M39" s="447">
        <f>K39-L39</f>
        <v>0</v>
      </c>
      <c r="N39" s="436"/>
      <c r="O39" s="125"/>
      <c r="P39" s="423"/>
      <c r="Q39" s="9"/>
      <c r="R39" s="9"/>
      <c r="S39" s="9"/>
      <c r="T39" s="9"/>
      <c r="U39" s="9"/>
      <c r="V39" s="9"/>
      <c r="W39" s="9"/>
      <c r="X39" s="9"/>
    </row>
    <row r="40" spans="1:42" s="6" customFormat="1" ht="24.6" customHeight="1" x14ac:dyDescent="0.3">
      <c r="A40" s="436"/>
      <c r="B40" s="444"/>
      <c r="C40" s="436"/>
      <c r="D40" s="5"/>
      <c r="E40" s="546"/>
      <c r="F40" s="547"/>
      <c r="G40" s="547"/>
      <c r="H40" s="547"/>
      <c r="I40" s="547"/>
      <c r="J40" s="548"/>
      <c r="K40" s="438">
        <v>0</v>
      </c>
      <c r="L40" s="447">
        <f>7%*K40</f>
        <v>0</v>
      </c>
      <c r="M40" s="447">
        <f>K40-L40</f>
        <v>0</v>
      </c>
      <c r="N40" s="436"/>
      <c r="O40" s="125"/>
      <c r="P40" s="423"/>
      <c r="Q40" s="9"/>
      <c r="R40" s="9"/>
      <c r="S40" s="9"/>
      <c r="T40" s="9"/>
      <c r="U40" s="9"/>
      <c r="V40" s="9"/>
      <c r="W40" s="9"/>
      <c r="X40" s="9"/>
    </row>
    <row r="41" spans="1:42" s="6" customFormat="1" ht="24.6" customHeight="1" x14ac:dyDescent="0.3">
      <c r="A41" s="436"/>
      <c r="B41" s="444"/>
      <c r="C41" s="436"/>
      <c r="D41" s="5"/>
      <c r="E41" s="546"/>
      <c r="F41" s="547"/>
      <c r="G41" s="547"/>
      <c r="H41" s="547"/>
      <c r="I41" s="547"/>
      <c r="J41" s="548"/>
      <c r="K41" s="438">
        <v>0</v>
      </c>
      <c r="L41" s="447">
        <f>7%*K41</f>
        <v>0</v>
      </c>
      <c r="M41" s="447">
        <f>K41-L41</f>
        <v>0</v>
      </c>
      <c r="N41" s="436"/>
      <c r="O41" s="125"/>
      <c r="P41" s="423"/>
      <c r="Q41" s="9"/>
      <c r="R41" s="9"/>
      <c r="S41" s="9"/>
      <c r="T41" s="9"/>
      <c r="U41" s="9"/>
      <c r="V41" s="9"/>
      <c r="W41" s="9"/>
      <c r="X41" s="9"/>
    </row>
    <row r="42" spans="1:42" s="6" customFormat="1" ht="24.6" customHeight="1" x14ac:dyDescent="0.3">
      <c r="A42" s="444"/>
      <c r="B42" s="444"/>
      <c r="C42" s="444"/>
      <c r="D42" s="5"/>
      <c r="E42" s="546"/>
      <c r="F42" s="547"/>
      <c r="G42" s="547"/>
      <c r="H42" s="547"/>
      <c r="I42" s="547"/>
      <c r="J42" s="548"/>
      <c r="K42" s="438">
        <v>0</v>
      </c>
      <c r="L42" s="447">
        <f>7%*K42</f>
        <v>0</v>
      </c>
      <c r="M42" s="447">
        <f>K42-L42</f>
        <v>0</v>
      </c>
      <c r="N42" s="436"/>
      <c r="O42" s="125"/>
      <c r="P42" s="423"/>
      <c r="Q42" s="9"/>
      <c r="R42" s="9"/>
      <c r="S42" s="9"/>
      <c r="T42" s="9"/>
      <c r="U42" s="9"/>
      <c r="V42" s="9"/>
      <c r="W42" s="9"/>
      <c r="X42" s="9"/>
    </row>
    <row r="43" spans="1:42" s="6" customFormat="1" ht="32.4" customHeight="1" x14ac:dyDescent="0.3">
      <c r="A43" s="436"/>
      <c r="B43" s="444"/>
      <c r="C43" s="436"/>
      <c r="D43" s="447"/>
      <c r="E43" s="546"/>
      <c r="F43" s="547"/>
      <c r="G43" s="547"/>
      <c r="H43" s="547"/>
      <c r="I43" s="547"/>
      <c r="J43" s="548"/>
      <c r="K43" s="438">
        <v>0</v>
      </c>
      <c r="L43" s="447">
        <f>7%*K43</f>
        <v>0</v>
      </c>
      <c r="M43" s="447">
        <f>K43-L43</f>
        <v>0</v>
      </c>
      <c r="N43" s="436"/>
      <c r="O43" s="125"/>
      <c r="P43" s="423"/>
      <c r="Q43" s="9"/>
      <c r="R43" s="9"/>
      <c r="S43" s="9"/>
      <c r="T43" s="9"/>
      <c r="U43" s="9"/>
      <c r="V43" s="9"/>
      <c r="W43" s="9"/>
      <c r="X43" s="9"/>
    </row>
    <row r="44" spans="1:42" s="11" customFormat="1" ht="25.05" customHeight="1" x14ac:dyDescent="0.3">
      <c r="A44" s="435" t="s">
        <v>4</v>
      </c>
      <c r="B44" s="534"/>
      <c r="C44" s="549"/>
      <c r="D44" s="549"/>
      <c r="E44" s="549"/>
      <c r="F44" s="549"/>
      <c r="G44" s="549"/>
      <c r="H44" s="549"/>
      <c r="I44" s="549"/>
      <c r="J44" s="535"/>
      <c r="K44" s="438">
        <f>SUM(K39:K43)</f>
        <v>0</v>
      </c>
      <c r="L44" s="438">
        <f>SUM(L39:L43)</f>
        <v>0</v>
      </c>
      <c r="M44" s="438">
        <f>SUM(M39:M43)</f>
        <v>0</v>
      </c>
      <c r="N44" s="438"/>
      <c r="O44" s="438"/>
      <c r="P44" s="438"/>
      <c r="Q44" s="10"/>
      <c r="R44" s="10"/>
      <c r="S44" s="10"/>
      <c r="T44" s="10"/>
      <c r="U44" s="10"/>
      <c r="V44" s="10"/>
      <c r="W44" s="10"/>
      <c r="X44" s="10"/>
      <c r="Y44" s="10"/>
    </row>
    <row r="45" spans="1:42" s="11" customFormat="1" x14ac:dyDescent="0.3">
      <c r="A45" s="518"/>
      <c r="B45" s="518"/>
      <c r="C45" s="518"/>
      <c r="D45" s="518"/>
      <c r="E45" s="518"/>
      <c r="F45" s="518"/>
      <c r="G45" s="518"/>
      <c r="H45" s="518"/>
      <c r="I45" s="518"/>
      <c r="J45" s="518"/>
      <c r="K45" s="518"/>
      <c r="L45" s="518"/>
      <c r="M45" s="518"/>
      <c r="N45" s="518"/>
      <c r="O45" s="438"/>
      <c r="P45" s="438"/>
      <c r="Q45" s="10"/>
      <c r="R45" s="10"/>
      <c r="S45" s="10"/>
      <c r="T45" s="10"/>
      <c r="U45" s="10"/>
      <c r="V45" s="10"/>
      <c r="W45" s="10"/>
      <c r="X45" s="10"/>
      <c r="Y45" s="10"/>
    </row>
    <row r="46" spans="1:42" s="11" customFormat="1" ht="28.5" customHeight="1" x14ac:dyDescent="0.3">
      <c r="A46" s="521" t="s">
        <v>177</v>
      </c>
      <c r="B46" s="521"/>
      <c r="C46" s="521"/>
      <c r="D46" s="521"/>
      <c r="E46" s="521"/>
      <c r="F46" s="521"/>
      <c r="G46" s="521"/>
      <c r="H46" s="521"/>
      <c r="I46" s="521"/>
      <c r="J46" s="521"/>
      <c r="K46" s="521"/>
      <c r="L46" s="521"/>
      <c r="M46" s="521"/>
      <c r="N46" s="521"/>
      <c r="O46" s="521"/>
      <c r="P46" s="521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42" s="11" customFormat="1" ht="25.5" customHeight="1" x14ac:dyDescent="0.3">
      <c r="A47" s="437" t="s">
        <v>173</v>
      </c>
      <c r="B47" s="437" t="s">
        <v>0</v>
      </c>
      <c r="C47" s="431" t="s">
        <v>821</v>
      </c>
      <c r="D47" s="437" t="s">
        <v>174</v>
      </c>
      <c r="E47" s="521" t="s">
        <v>175</v>
      </c>
      <c r="F47" s="521"/>
      <c r="G47" s="521"/>
      <c r="H47" s="521"/>
      <c r="I47" s="521"/>
      <c r="J47" s="521"/>
      <c r="K47" s="445" t="s">
        <v>4</v>
      </c>
      <c r="L47" s="439"/>
      <c r="M47" s="439"/>
      <c r="N47" s="431" t="s">
        <v>59</v>
      </c>
      <c r="O47" s="130" t="s">
        <v>8</v>
      </c>
      <c r="P47" s="130" t="s">
        <v>10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42" s="11" customFormat="1" ht="25.05" customHeight="1" x14ac:dyDescent="0.3">
      <c r="A48" s="432" t="s">
        <v>965</v>
      </c>
      <c r="B48" s="442">
        <v>11</v>
      </c>
      <c r="C48" s="432" t="s">
        <v>827</v>
      </c>
      <c r="D48" s="443">
        <f>1191.38-297.85-200</f>
        <v>693.53000000000009</v>
      </c>
      <c r="E48" s="551" t="s">
        <v>715</v>
      </c>
      <c r="F48" s="580"/>
      <c r="G48" s="580"/>
      <c r="H48" s="580"/>
      <c r="I48" s="580"/>
      <c r="J48" s="552"/>
      <c r="K48" s="443">
        <f>1191.38-297.85-200</f>
        <v>693.53000000000009</v>
      </c>
      <c r="L48" s="274"/>
      <c r="M48" s="274"/>
      <c r="N48" s="432" t="s">
        <v>1294</v>
      </c>
      <c r="O48" s="140">
        <v>10</v>
      </c>
      <c r="P48" s="444">
        <v>11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60" s="11" customFormat="1" ht="25.05" customHeight="1" x14ac:dyDescent="0.3">
      <c r="A49" s="436" t="s">
        <v>1005</v>
      </c>
      <c r="B49" s="444">
        <v>3</v>
      </c>
      <c r="C49" s="436" t="s">
        <v>822</v>
      </c>
      <c r="D49" s="5">
        <f>636.76+62.1+1.37</f>
        <v>700.23</v>
      </c>
      <c r="E49" s="595" t="s">
        <v>1307</v>
      </c>
      <c r="F49" s="595"/>
      <c r="G49" s="595"/>
      <c r="H49" s="595"/>
      <c r="I49" s="595"/>
      <c r="J49" s="595"/>
      <c r="K49" s="5">
        <f>636.76+62.1+1.37</f>
        <v>700.23</v>
      </c>
      <c r="L49" s="274"/>
      <c r="M49" s="274"/>
      <c r="N49" s="436" t="s">
        <v>1308</v>
      </c>
      <c r="O49" s="140">
        <v>10</v>
      </c>
      <c r="P49" s="444">
        <v>11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60" s="69" customFormat="1" ht="25.05" customHeight="1" x14ac:dyDescent="0.3">
      <c r="A50" s="436" t="s">
        <v>1005</v>
      </c>
      <c r="B50" s="444">
        <v>3</v>
      </c>
      <c r="C50" s="436" t="s">
        <v>822</v>
      </c>
      <c r="D50" s="5">
        <f>636.76+67.7+1.37</f>
        <v>705.83</v>
      </c>
      <c r="E50" s="595" t="s">
        <v>1309</v>
      </c>
      <c r="F50" s="595"/>
      <c r="G50" s="595"/>
      <c r="H50" s="595"/>
      <c r="I50" s="595"/>
      <c r="J50" s="595"/>
      <c r="K50" s="5">
        <f>636.76+67.7+1.37</f>
        <v>705.83</v>
      </c>
      <c r="L50" s="5"/>
      <c r="M50" s="5"/>
      <c r="N50" s="5" t="s">
        <v>1310</v>
      </c>
      <c r="O50" s="140">
        <v>10</v>
      </c>
      <c r="P50" s="444">
        <v>11</v>
      </c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</row>
    <row r="51" spans="1:60" s="69" customFormat="1" ht="25.05" customHeight="1" x14ac:dyDescent="0.3">
      <c r="A51" s="444" t="s">
        <v>132</v>
      </c>
      <c r="B51" s="444">
        <v>1</v>
      </c>
      <c r="C51" s="444"/>
      <c r="D51" s="5">
        <f>4977.59-1520</f>
        <v>3457.59</v>
      </c>
      <c r="E51" s="595" t="s">
        <v>284</v>
      </c>
      <c r="F51" s="595"/>
      <c r="G51" s="595"/>
      <c r="H51" s="595"/>
      <c r="I51" s="595"/>
      <c r="J51" s="595"/>
      <c r="K51" s="5">
        <f>4977.59-1520</f>
        <v>3457.59</v>
      </c>
      <c r="L51" s="5"/>
      <c r="M51" s="5"/>
      <c r="N51" s="5" t="s">
        <v>510</v>
      </c>
      <c r="O51" s="140">
        <v>10</v>
      </c>
      <c r="P51" s="444">
        <v>11</v>
      </c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</row>
    <row r="52" spans="1:60" s="11" customFormat="1" ht="29.4" customHeight="1" x14ac:dyDescent="0.3">
      <c r="A52" s="436" t="s">
        <v>87</v>
      </c>
      <c r="B52" s="436">
        <v>25</v>
      </c>
      <c r="C52" s="436"/>
      <c r="D52" s="5">
        <v>3013.33</v>
      </c>
      <c r="E52" s="595" t="s">
        <v>1296</v>
      </c>
      <c r="F52" s="595"/>
      <c r="G52" s="595"/>
      <c r="H52" s="595"/>
      <c r="I52" s="595"/>
      <c r="J52" s="595"/>
      <c r="K52" s="275">
        <v>3040.58</v>
      </c>
      <c r="L52" s="447"/>
      <c r="M52" s="447"/>
      <c r="N52" s="5" t="s">
        <v>545</v>
      </c>
      <c r="O52" s="98">
        <v>10</v>
      </c>
      <c r="P52" s="3">
        <v>11</v>
      </c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 spans="1:60" s="11" customFormat="1" ht="25.05" customHeight="1" x14ac:dyDescent="0.3">
      <c r="A53" s="3" t="s">
        <v>894</v>
      </c>
      <c r="B53" s="436">
        <v>16</v>
      </c>
      <c r="C53" s="436" t="s">
        <v>823</v>
      </c>
      <c r="D53" s="5">
        <f>144.52+11.29+12.89+0.3+0.18+1664</f>
        <v>1833.18</v>
      </c>
      <c r="E53" s="595" t="s">
        <v>1297</v>
      </c>
      <c r="F53" s="595"/>
      <c r="G53" s="595"/>
      <c r="H53" s="595"/>
      <c r="I53" s="595"/>
      <c r="J53" s="595"/>
      <c r="K53" s="275">
        <f>144.52+11.29+12.89+0.3+0.18+1664</f>
        <v>1833.18</v>
      </c>
      <c r="L53" s="447"/>
      <c r="M53" s="447"/>
      <c r="N53" s="434" t="s">
        <v>969</v>
      </c>
      <c r="O53" s="98">
        <v>10</v>
      </c>
      <c r="P53" s="3">
        <v>11</v>
      </c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spans="1:60" s="206" customFormat="1" ht="25.05" customHeight="1" x14ac:dyDescent="0.3">
      <c r="A54" s="237" t="s">
        <v>902</v>
      </c>
      <c r="B54" s="195">
        <v>17</v>
      </c>
      <c r="C54" s="195" t="s">
        <v>823</v>
      </c>
      <c r="D54" s="196">
        <v>2080.41</v>
      </c>
      <c r="E54" s="551" t="s">
        <v>1011</v>
      </c>
      <c r="F54" s="580"/>
      <c r="G54" s="580"/>
      <c r="H54" s="580"/>
      <c r="I54" s="580"/>
      <c r="J54" s="552"/>
      <c r="K54" s="196">
        <v>300</v>
      </c>
      <c r="L54" s="443"/>
      <c r="M54" s="443"/>
      <c r="N54" s="432" t="s">
        <v>1039</v>
      </c>
      <c r="O54" s="235">
        <v>10</v>
      </c>
      <c r="P54" s="197">
        <v>11</v>
      </c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  <c r="AJ54" s="205"/>
      <c r="AK54" s="205"/>
      <c r="AL54" s="205"/>
      <c r="AM54" s="205"/>
      <c r="AN54" s="205"/>
      <c r="AO54" s="205"/>
      <c r="AP54" s="205"/>
    </row>
    <row r="55" spans="1:60" s="206" customFormat="1" ht="25.05" customHeight="1" x14ac:dyDescent="0.3">
      <c r="A55" s="237" t="s">
        <v>902</v>
      </c>
      <c r="B55" s="195">
        <v>17</v>
      </c>
      <c r="C55" s="195" t="s">
        <v>823</v>
      </c>
      <c r="D55" s="196">
        <v>2080.41</v>
      </c>
      <c r="E55" s="551" t="s">
        <v>1011</v>
      </c>
      <c r="F55" s="580"/>
      <c r="G55" s="580"/>
      <c r="H55" s="580"/>
      <c r="I55" s="580"/>
      <c r="J55" s="552"/>
      <c r="K55" s="196">
        <v>300</v>
      </c>
      <c r="L55" s="443"/>
      <c r="M55" s="443"/>
      <c r="N55" s="432" t="s">
        <v>1049</v>
      </c>
      <c r="O55" s="235">
        <v>10</v>
      </c>
      <c r="P55" s="197">
        <v>11</v>
      </c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205"/>
      <c r="AG55" s="205"/>
      <c r="AH55" s="205"/>
      <c r="AI55" s="205"/>
      <c r="AJ55" s="205"/>
      <c r="AK55" s="205"/>
      <c r="AL55" s="205"/>
      <c r="AM55" s="205"/>
      <c r="AN55" s="205"/>
      <c r="AO55" s="205"/>
      <c r="AP55" s="205"/>
    </row>
    <row r="56" spans="1:60" s="40" customFormat="1" ht="15" customHeight="1" thickBot="1" x14ac:dyDescent="0.35">
      <c r="A56" s="534" t="s">
        <v>4</v>
      </c>
      <c r="B56" s="549"/>
      <c r="C56" s="549"/>
      <c r="D56" s="549"/>
      <c r="E56" s="549"/>
      <c r="F56" s="549"/>
      <c r="G56" s="549"/>
      <c r="H56" s="549"/>
      <c r="I56" s="549"/>
      <c r="J56" s="535"/>
      <c r="K56" s="440">
        <f>SUM(K48:K55)</f>
        <v>11030.94</v>
      </c>
      <c r="L56" s="436"/>
      <c r="M56" s="436"/>
      <c r="N56" s="436"/>
      <c r="O56" s="436"/>
      <c r="P56" s="436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1"/>
      <c r="AU56" s="11"/>
      <c r="AV56" s="11"/>
      <c r="AW56" s="11"/>
    </row>
    <row r="57" spans="1:60" s="19" customFormat="1" x14ac:dyDescent="0.3">
      <c r="A57" s="179"/>
      <c r="B57" s="180"/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1"/>
      <c r="P57" s="182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</row>
    <row r="58" spans="1:60" s="40" customFormat="1" x14ac:dyDescent="0.3">
      <c r="A58" s="585"/>
      <c r="B58" s="585"/>
      <c r="C58" s="585"/>
      <c r="D58" s="585"/>
      <c r="E58" s="585"/>
      <c r="F58" s="46"/>
      <c r="G58" s="46"/>
      <c r="H58" s="295"/>
      <c r="I58" s="46"/>
      <c r="J58" s="46"/>
      <c r="K58" s="46"/>
      <c r="L58" s="46"/>
      <c r="M58" s="46"/>
      <c r="N58" s="544" t="s">
        <v>315</v>
      </c>
      <c r="O58" s="544"/>
      <c r="P58" s="545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1"/>
      <c r="AU58" s="11"/>
      <c r="AV58" s="11"/>
      <c r="AW58" s="11"/>
    </row>
    <row r="59" spans="1:60" s="40" customFormat="1" x14ac:dyDescent="0.3">
      <c r="A59" s="206"/>
      <c r="B59" s="223"/>
      <c r="C59" s="223"/>
      <c r="D59" s="224"/>
      <c r="E59" s="223"/>
      <c r="F59" s="46"/>
      <c r="G59" s="46"/>
      <c r="H59" s="295"/>
      <c r="I59" s="11"/>
      <c r="J59" s="11"/>
      <c r="K59" s="87"/>
      <c r="L59" s="87"/>
      <c r="M59" s="87"/>
      <c r="N59" s="527" t="s">
        <v>94</v>
      </c>
      <c r="O59" s="527"/>
      <c r="P59" s="440">
        <f>L36+L44</f>
        <v>1352.588379451799</v>
      </c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1"/>
      <c r="AU59" s="11"/>
      <c r="AV59" s="11"/>
      <c r="AW59" s="11"/>
    </row>
    <row r="60" spans="1:60" s="40" customFormat="1" x14ac:dyDescent="0.3">
      <c r="A60" s="206"/>
      <c r="B60" s="223"/>
      <c r="C60" s="223"/>
      <c r="D60" s="224"/>
      <c r="E60" s="223"/>
      <c r="F60" s="46"/>
      <c r="G60" s="46"/>
      <c r="H60" s="295"/>
      <c r="I60" s="11"/>
      <c r="J60" s="11"/>
      <c r="K60" s="14"/>
      <c r="L60" s="14"/>
      <c r="M60" s="14"/>
      <c r="N60" s="518" t="s">
        <v>260</v>
      </c>
      <c r="O60" s="518"/>
      <c r="P60" s="440">
        <f>L6</f>
        <v>438</v>
      </c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1"/>
      <c r="AU60" s="11"/>
      <c r="AV60" s="11"/>
      <c r="AW60" s="11"/>
    </row>
    <row r="61" spans="1:60" s="40" customFormat="1" x14ac:dyDescent="0.3">
      <c r="A61" s="206"/>
      <c r="B61" s="223"/>
      <c r="C61" s="223"/>
      <c r="D61" s="224"/>
      <c r="E61" s="223"/>
      <c r="F61" s="46"/>
      <c r="G61" s="46"/>
      <c r="H61" s="295"/>
      <c r="I61" s="11"/>
      <c r="J61" s="11"/>
      <c r="K61" s="14"/>
      <c r="L61" s="14"/>
      <c r="M61" s="14"/>
      <c r="N61" s="520"/>
      <c r="O61" s="520"/>
      <c r="P61" s="52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1"/>
      <c r="AU61" s="11"/>
      <c r="AV61" s="11"/>
      <c r="AW61" s="11"/>
    </row>
    <row r="62" spans="1:60" s="40" customFormat="1" x14ac:dyDescent="0.3">
      <c r="A62" s="206"/>
      <c r="B62" s="223"/>
      <c r="C62" s="223"/>
      <c r="D62" s="224"/>
      <c r="E62" s="223"/>
      <c r="F62" s="46"/>
      <c r="G62" s="46"/>
      <c r="H62" s="295"/>
      <c r="I62" s="11"/>
      <c r="J62" s="11"/>
      <c r="K62" s="62"/>
      <c r="L62" s="62"/>
      <c r="M62" s="62"/>
      <c r="N62" s="520"/>
      <c r="O62" s="520"/>
      <c r="P62" s="52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1"/>
      <c r="AU62" s="11"/>
      <c r="AV62" s="11"/>
      <c r="AW62" s="11"/>
    </row>
    <row r="63" spans="1:60" s="40" customFormat="1" ht="14.4" x14ac:dyDescent="0.3">
      <c r="A63" s="206"/>
      <c r="B63" s="223"/>
      <c r="C63" s="223"/>
      <c r="D63" s="224"/>
      <c r="E63" s="223"/>
      <c r="F63" s="46"/>
      <c r="G63" s="46"/>
      <c r="H63" s="295"/>
      <c r="I63" s="11"/>
      <c r="J63" s="11"/>
      <c r="K63" s="14"/>
      <c r="L63" s="14"/>
      <c r="M63" s="14"/>
      <c r="N63" s="529" t="s">
        <v>12</v>
      </c>
      <c r="O63" s="529"/>
      <c r="P63" s="529"/>
      <c r="Q63" s="175"/>
      <c r="R63" s="178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1"/>
      <c r="AU63" s="11"/>
      <c r="AV63" s="11"/>
      <c r="AW63" s="11"/>
    </row>
    <row r="64" spans="1:60" s="11" customFormat="1" ht="15" customHeight="1" x14ac:dyDescent="0.3">
      <c r="A64" s="206"/>
      <c r="B64" s="223"/>
      <c r="C64" s="223"/>
      <c r="D64" s="224"/>
      <c r="E64" s="223"/>
      <c r="F64" s="46"/>
      <c r="G64" s="46"/>
      <c r="H64" s="295"/>
      <c r="K64" s="63"/>
      <c r="L64" s="63"/>
      <c r="M64" s="63"/>
      <c r="N64" s="592" t="s">
        <v>126</v>
      </c>
      <c r="O64" s="592"/>
      <c r="P64" s="240">
        <v>114.43</v>
      </c>
      <c r="Q64" s="190"/>
      <c r="R64" s="178"/>
    </row>
    <row r="65" spans="1:48" s="11" customFormat="1" ht="15.6" x14ac:dyDescent="0.3">
      <c r="A65" s="206"/>
      <c r="B65" s="223"/>
      <c r="C65" s="223"/>
      <c r="D65" s="224"/>
      <c r="E65" s="223"/>
      <c r="F65" s="46"/>
      <c r="G65" s="46"/>
      <c r="H65" s="295"/>
      <c r="K65" s="14"/>
      <c r="L65" s="14"/>
      <c r="M65" s="14"/>
      <c r="N65" s="593" t="s">
        <v>127</v>
      </c>
      <c r="O65" s="593"/>
      <c r="P65" s="240">
        <v>1827.9</v>
      </c>
      <c r="Q65" s="175"/>
      <c r="R65" s="178"/>
    </row>
    <row r="66" spans="1:48" s="11" customFormat="1" ht="15" customHeight="1" x14ac:dyDescent="0.3">
      <c r="A66" s="206"/>
      <c r="B66" s="223"/>
      <c r="C66" s="223"/>
      <c r="D66" s="224"/>
      <c r="E66" s="223"/>
      <c r="F66" s="46"/>
      <c r="G66" s="46"/>
      <c r="H66" s="295"/>
      <c r="K66" s="63"/>
      <c r="L66" s="63"/>
      <c r="M66" s="63"/>
      <c r="N66" s="594" t="s">
        <v>1311</v>
      </c>
      <c r="O66" s="594"/>
      <c r="P66" s="239">
        <v>133.16999999999999</v>
      </c>
      <c r="Q66" s="190"/>
      <c r="R66" s="178"/>
    </row>
    <row r="67" spans="1:48" s="11" customFormat="1" ht="15.6" x14ac:dyDescent="0.3">
      <c r="A67" s="206"/>
      <c r="B67" s="223"/>
      <c r="C67" s="223"/>
      <c r="D67" s="224"/>
      <c r="E67" s="223"/>
      <c r="F67" s="46"/>
      <c r="G67" s="46"/>
      <c r="H67" s="295"/>
      <c r="K67" s="14"/>
      <c r="L67" s="14"/>
      <c r="M67" s="14"/>
      <c r="N67" s="594" t="s">
        <v>1312</v>
      </c>
      <c r="O67" s="594"/>
      <c r="P67" s="251">
        <v>133.54</v>
      </c>
      <c r="Q67" s="222"/>
      <c r="R67" s="178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</row>
    <row r="68" spans="1:48" s="11" customFormat="1" ht="15.6" x14ac:dyDescent="0.3">
      <c r="A68" s="206"/>
      <c r="B68" s="223"/>
      <c r="C68" s="223"/>
      <c r="D68" s="224"/>
      <c r="E68" s="223"/>
      <c r="F68" s="46"/>
      <c r="G68" s="46"/>
      <c r="H68" s="295"/>
      <c r="K68" s="63"/>
      <c r="L68" s="63"/>
      <c r="M68" s="63"/>
      <c r="N68" s="594" t="s">
        <v>1313</v>
      </c>
      <c r="O68" s="594"/>
      <c r="P68" s="42">
        <v>133.16999999999999</v>
      </c>
      <c r="Q68" s="175"/>
      <c r="R68" s="178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</row>
    <row r="69" spans="1:48" s="11" customFormat="1" ht="18.600000000000001" customHeight="1" x14ac:dyDescent="0.3">
      <c r="A69" s="206"/>
      <c r="B69" s="223"/>
      <c r="C69" s="223"/>
      <c r="D69" s="224"/>
      <c r="E69" s="223"/>
      <c r="F69" s="46"/>
      <c r="G69" s="46"/>
      <c r="H69" s="295"/>
      <c r="K69" s="63"/>
      <c r="L69" s="63"/>
      <c r="M69" s="63"/>
      <c r="N69" s="586" t="s">
        <v>26</v>
      </c>
      <c r="O69" s="586"/>
      <c r="P69" s="438">
        <f>SUM(P59:P68)</f>
        <v>4132.7983794517995</v>
      </c>
      <c r="Q69" s="175"/>
      <c r="R69" s="178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</row>
    <row r="70" spans="1:48" s="11" customFormat="1" ht="15.6" x14ac:dyDescent="0.3">
      <c r="A70" s="206"/>
      <c r="B70" s="223"/>
      <c r="C70" s="223"/>
      <c r="D70" s="224"/>
      <c r="E70" s="223"/>
      <c r="F70" s="46"/>
      <c r="G70" s="46"/>
      <c r="H70" s="295"/>
      <c r="N70" s="587"/>
      <c r="O70" s="587"/>
      <c r="P70" s="242"/>
      <c r="Q70" s="175"/>
      <c r="R70" s="178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</row>
    <row r="71" spans="1:48" s="11" customFormat="1" ht="14.4" x14ac:dyDescent="0.3">
      <c r="A71" s="206"/>
      <c r="B71" s="223"/>
      <c r="C71" s="223"/>
      <c r="D71" s="224"/>
      <c r="E71" s="223"/>
      <c r="F71" s="46"/>
      <c r="G71" s="46"/>
      <c r="H71" s="295"/>
      <c r="K71" s="63"/>
      <c r="L71" s="63"/>
      <c r="M71" s="63"/>
      <c r="N71" s="564" t="s">
        <v>11</v>
      </c>
      <c r="O71" s="565"/>
      <c r="P71" s="153">
        <f>K6+K36+K44</f>
        <v>20121.763179942958</v>
      </c>
      <c r="Q71" s="175"/>
      <c r="R71" s="178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</row>
    <row r="72" spans="1:48" s="11" customFormat="1" ht="14.4" x14ac:dyDescent="0.3">
      <c r="A72" s="206"/>
      <c r="B72" s="223"/>
      <c r="C72" s="223"/>
      <c r="D72" s="224"/>
      <c r="E72" s="223"/>
      <c r="F72" s="46"/>
      <c r="G72" s="46"/>
      <c r="H72" s="295"/>
      <c r="K72" s="14"/>
      <c r="L72" s="14"/>
      <c r="M72" s="14"/>
      <c r="N72" s="518"/>
      <c r="O72" s="518"/>
      <c r="P72" s="519"/>
      <c r="Q72" s="175"/>
      <c r="R72" s="185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</row>
    <row r="73" spans="1:48" s="11" customFormat="1" ht="14.4" x14ac:dyDescent="0.3">
      <c r="A73" s="206"/>
      <c r="B73" s="223"/>
      <c r="C73" s="223"/>
      <c r="D73" s="224"/>
      <c r="E73" s="223"/>
      <c r="F73" s="46"/>
      <c r="G73" s="46"/>
      <c r="H73" s="295"/>
      <c r="N73" s="513" t="s">
        <v>13</v>
      </c>
      <c r="O73" s="513"/>
      <c r="P73" s="151">
        <f>P71-P69</f>
        <v>15988.964800491158</v>
      </c>
      <c r="Q73" s="175"/>
      <c r="R73" s="176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</row>
    <row r="74" spans="1:48" s="11" customFormat="1" ht="14.4" x14ac:dyDescent="0.3">
      <c r="A74" s="206"/>
      <c r="B74" s="223"/>
      <c r="C74" s="223"/>
      <c r="D74" s="224"/>
      <c r="E74" s="223"/>
      <c r="F74" s="46"/>
      <c r="G74" s="46"/>
      <c r="H74" s="295"/>
      <c r="N74" s="124"/>
      <c r="O74" s="124"/>
      <c r="P74" s="57"/>
      <c r="Q74" s="175"/>
      <c r="R74" s="176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</row>
    <row r="75" spans="1:48" s="11" customFormat="1" ht="14.4" x14ac:dyDescent="0.3">
      <c r="A75" s="206"/>
      <c r="B75" s="223"/>
      <c r="C75" s="223"/>
      <c r="D75" s="224"/>
      <c r="E75" s="223"/>
      <c r="F75" s="46"/>
      <c r="G75" s="46"/>
      <c r="H75" s="295"/>
      <c r="N75" s="124"/>
      <c r="O75" s="124"/>
      <c r="P75" s="57"/>
      <c r="Q75" s="175"/>
      <c r="R75" s="178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</row>
    <row r="76" spans="1:48" s="11" customFormat="1" ht="14.4" x14ac:dyDescent="0.3">
      <c r="A76" s="206"/>
      <c r="B76" s="223"/>
      <c r="C76" s="223"/>
      <c r="D76" s="224"/>
      <c r="E76" s="223"/>
      <c r="F76" s="46"/>
      <c r="G76" s="46"/>
      <c r="H76" s="295"/>
      <c r="K76" s="14"/>
      <c r="L76" s="14"/>
      <c r="M76" s="14"/>
      <c r="N76" s="124"/>
      <c r="O76" s="124"/>
      <c r="P76" s="57"/>
      <c r="Q76" s="175"/>
      <c r="R76" s="178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</row>
    <row r="77" spans="1:48" s="11" customFormat="1" ht="14.4" x14ac:dyDescent="0.3">
      <c r="A77" s="206"/>
      <c r="B77" s="223"/>
      <c r="C77" s="223"/>
      <c r="D77" s="224"/>
      <c r="E77" s="223"/>
      <c r="F77" s="46"/>
      <c r="G77" s="46"/>
      <c r="H77" s="295"/>
      <c r="K77" s="441"/>
      <c r="L77" s="441"/>
      <c r="M77" s="441"/>
      <c r="Q77" s="175"/>
      <c r="R77" s="178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</row>
    <row r="78" spans="1:48" s="11" customFormat="1" ht="14.4" x14ac:dyDescent="0.3">
      <c r="A78" s="206"/>
      <c r="B78" s="223"/>
      <c r="C78" s="223"/>
      <c r="D78" s="224"/>
      <c r="E78" s="223"/>
      <c r="F78" s="46"/>
      <c r="G78" s="46"/>
      <c r="H78" s="295"/>
      <c r="K78" s="14"/>
      <c r="L78" s="14"/>
      <c r="M78" s="14"/>
      <c r="N78" s="441"/>
      <c r="O78" s="14"/>
      <c r="P78" s="57"/>
      <c r="Q78" s="175"/>
      <c r="R78" s="178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</row>
    <row r="79" spans="1:48" s="11" customFormat="1" ht="14.4" x14ac:dyDescent="0.3">
      <c r="A79" s="206"/>
      <c r="B79" s="223"/>
      <c r="C79" s="223"/>
      <c r="D79" s="224"/>
      <c r="E79" s="223"/>
      <c r="F79" s="46"/>
      <c r="G79" s="46"/>
      <c r="H79" s="295"/>
      <c r="K79" s="14"/>
      <c r="L79" s="14"/>
      <c r="M79" s="14"/>
      <c r="O79" s="441"/>
      <c r="P79" s="57"/>
      <c r="Q79" s="175"/>
      <c r="R79" s="178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</row>
    <row r="80" spans="1:48" s="11" customFormat="1" ht="14.4" x14ac:dyDescent="0.3">
      <c r="A80" s="206"/>
      <c r="B80" s="223"/>
      <c r="C80" s="223"/>
      <c r="D80" s="224"/>
      <c r="E80" s="223"/>
      <c r="F80" s="46"/>
      <c r="G80" s="46"/>
      <c r="H80" s="295"/>
      <c r="K80" s="14"/>
      <c r="L80" s="14"/>
      <c r="M80" s="14"/>
      <c r="P80" s="57"/>
      <c r="Q80" s="175"/>
      <c r="R80" s="178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</row>
    <row r="81" spans="1:48" s="11" customFormat="1" x14ac:dyDescent="0.3">
      <c r="A81" s="206"/>
      <c r="B81" s="223"/>
      <c r="C81" s="223"/>
      <c r="D81" s="224"/>
      <c r="E81" s="223"/>
      <c r="F81" s="46"/>
      <c r="G81" s="46"/>
      <c r="H81" s="295"/>
      <c r="K81" s="14"/>
      <c r="L81" s="14"/>
      <c r="M81" s="14"/>
      <c r="N81" s="14"/>
      <c r="O81" s="14"/>
      <c r="P81" s="57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</row>
    <row r="82" spans="1:48" s="69" customFormat="1" x14ac:dyDescent="0.3">
      <c r="A82" s="206"/>
      <c r="B82" s="223"/>
      <c r="C82" s="223"/>
      <c r="D82" s="224"/>
      <c r="E82" s="223"/>
      <c r="F82" s="46"/>
      <c r="G82" s="46"/>
      <c r="H82" s="295"/>
      <c r="I82" s="11"/>
      <c r="J82" s="11"/>
      <c r="K82" s="14"/>
      <c r="L82" s="14"/>
      <c r="M82" s="14"/>
      <c r="N82" s="14"/>
      <c r="O82" s="441"/>
      <c r="P82" s="57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</row>
    <row r="83" spans="1:48" s="69" customFormat="1" x14ac:dyDescent="0.3">
      <c r="A83" s="206"/>
      <c r="B83" s="223"/>
      <c r="C83" s="223"/>
      <c r="D83" s="224"/>
      <c r="E83" s="223"/>
      <c r="F83" s="46"/>
      <c r="G83" s="46"/>
      <c r="H83" s="295"/>
      <c r="I83" s="11"/>
      <c r="J83" s="11"/>
      <c r="K83" s="14"/>
      <c r="L83" s="14"/>
      <c r="M83" s="14"/>
      <c r="N83" s="14"/>
      <c r="O83" s="11"/>
      <c r="P83" s="57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</row>
    <row r="84" spans="1:48" s="69" customFormat="1" x14ac:dyDescent="0.3">
      <c r="A84" s="206"/>
      <c r="B84" s="223"/>
      <c r="C84" s="223"/>
      <c r="D84" s="224"/>
      <c r="E84" s="223"/>
      <c r="F84" s="46"/>
      <c r="G84" s="46"/>
      <c r="H84" s="295"/>
      <c r="I84" s="11"/>
      <c r="J84" s="11"/>
      <c r="K84" s="14"/>
      <c r="L84" s="14"/>
      <c r="M84" s="14"/>
      <c r="N84" s="14"/>
      <c r="O84" s="11"/>
      <c r="P84" s="57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</row>
    <row r="85" spans="1:48" s="69" customFormat="1" x14ac:dyDescent="0.3">
      <c r="A85" s="206"/>
      <c r="B85" s="223"/>
      <c r="C85" s="223"/>
      <c r="D85" s="224"/>
      <c r="E85" s="223"/>
      <c r="F85" s="46"/>
      <c r="G85" s="46"/>
      <c r="H85" s="295"/>
      <c r="I85" s="11"/>
      <c r="J85" s="11"/>
      <c r="K85" s="14"/>
      <c r="L85" s="14"/>
      <c r="M85" s="14"/>
      <c r="N85" s="11"/>
      <c r="O85" s="11"/>
      <c r="P85" s="57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</row>
    <row r="86" spans="1:48" s="69" customFormat="1" x14ac:dyDescent="0.3">
      <c r="A86" s="206"/>
      <c r="B86" s="223"/>
      <c r="C86" s="223"/>
      <c r="D86" s="224"/>
      <c r="E86" s="223"/>
      <c r="F86" s="46"/>
      <c r="G86" s="46"/>
      <c r="H86" s="295"/>
      <c r="I86" s="11"/>
      <c r="J86" s="11"/>
      <c r="K86" s="14"/>
      <c r="L86" s="14"/>
      <c r="M86" s="14"/>
      <c r="N86" s="11"/>
      <c r="O86" s="14"/>
      <c r="P86" s="57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</row>
    <row r="87" spans="1:48" s="69" customFormat="1" x14ac:dyDescent="0.3">
      <c r="A87" s="206"/>
      <c r="B87" s="223"/>
      <c r="C87" s="223"/>
      <c r="D87" s="224"/>
      <c r="E87" s="223"/>
      <c r="F87" s="46"/>
      <c r="G87" s="46"/>
      <c r="H87" s="295"/>
      <c r="I87" s="11"/>
      <c r="J87" s="11"/>
      <c r="K87" s="14"/>
      <c r="L87" s="14"/>
      <c r="M87" s="14"/>
      <c r="N87" s="11"/>
      <c r="O87" s="14"/>
      <c r="P87" s="57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</row>
    <row r="88" spans="1:48" s="69" customFormat="1" x14ac:dyDescent="0.3">
      <c r="A88" s="206"/>
      <c r="B88" s="223"/>
      <c r="C88" s="223"/>
      <c r="D88" s="224"/>
      <c r="E88" s="223"/>
      <c r="F88" s="46"/>
      <c r="G88" s="46"/>
      <c r="H88" s="295"/>
      <c r="I88" s="11"/>
      <c r="J88" s="11"/>
      <c r="K88" s="14"/>
      <c r="L88" s="14"/>
      <c r="M88" s="14"/>
      <c r="N88" s="11"/>
      <c r="O88" s="14"/>
      <c r="P88" s="57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</row>
    <row r="89" spans="1:48" s="69" customFormat="1" x14ac:dyDescent="0.3">
      <c r="A89" s="206"/>
      <c r="B89" s="223"/>
      <c r="C89" s="223"/>
      <c r="D89" s="224"/>
      <c r="E89" s="223"/>
      <c r="F89" s="46"/>
      <c r="G89" s="46"/>
      <c r="H89" s="295"/>
      <c r="I89" s="11"/>
      <c r="J89" s="11"/>
      <c r="K89" s="14"/>
      <c r="L89" s="14"/>
      <c r="M89" s="14"/>
      <c r="N89" s="11"/>
      <c r="O89" s="14"/>
      <c r="P89" s="57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</row>
    <row r="90" spans="1:48" s="69" customFormat="1" x14ac:dyDescent="0.3">
      <c r="A90" s="206"/>
      <c r="B90" s="223"/>
      <c r="C90" s="223"/>
      <c r="D90" s="224"/>
      <c r="E90" s="223"/>
      <c r="F90" s="46"/>
      <c r="G90" s="46"/>
      <c r="H90" s="295"/>
      <c r="I90" s="11"/>
      <c r="J90" s="11"/>
      <c r="K90" s="14"/>
      <c r="L90" s="14"/>
      <c r="M90" s="14"/>
      <c r="N90" s="11"/>
      <c r="O90" s="11"/>
      <c r="P90" s="57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</row>
    <row r="91" spans="1:48" s="69" customFormat="1" x14ac:dyDescent="0.3">
      <c r="A91" s="206"/>
      <c r="B91" s="223"/>
      <c r="C91" s="223"/>
      <c r="D91" s="224"/>
      <c r="E91" s="223"/>
      <c r="F91" s="46"/>
      <c r="G91" s="46"/>
      <c r="H91" s="296"/>
      <c r="I91" s="11"/>
      <c r="J91" s="11"/>
      <c r="K91" s="14"/>
      <c r="L91" s="14"/>
      <c r="M91" s="14"/>
      <c r="N91" s="11"/>
      <c r="O91" s="11"/>
      <c r="P91" s="57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</row>
    <row r="92" spans="1:48" s="69" customFormat="1" x14ac:dyDescent="0.3">
      <c r="A92" s="206"/>
      <c r="B92" s="223"/>
      <c r="C92" s="223"/>
      <c r="D92" s="224"/>
      <c r="E92" s="223"/>
      <c r="F92" s="46"/>
      <c r="G92" s="46"/>
      <c r="H92" s="296"/>
      <c r="I92" s="11"/>
      <c r="J92" s="11"/>
      <c r="K92" s="14"/>
      <c r="L92" s="14"/>
      <c r="M92" s="14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</row>
    <row r="93" spans="1:48" s="69" customFormat="1" x14ac:dyDescent="0.3">
      <c r="A93" s="206"/>
      <c r="B93" s="223"/>
      <c r="C93" s="223"/>
      <c r="D93" s="224"/>
      <c r="E93" s="223"/>
      <c r="F93" s="46"/>
      <c r="G93" s="46"/>
      <c r="H93" s="296"/>
      <c r="K93" s="142"/>
      <c r="L93" s="142"/>
      <c r="M93" s="142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</row>
    <row r="94" spans="1:48" s="70" customFormat="1" x14ac:dyDescent="0.3">
      <c r="A94" s="206"/>
      <c r="B94" s="223"/>
      <c r="C94" s="223"/>
      <c r="D94" s="224"/>
      <c r="E94" s="223"/>
      <c r="F94" s="46"/>
      <c r="G94" s="46"/>
      <c r="H94" s="296"/>
      <c r="I94" s="63"/>
      <c r="J94" s="63"/>
      <c r="K94" s="69"/>
      <c r="L94" s="69"/>
      <c r="M94" s="69"/>
      <c r="N94" s="69"/>
      <c r="O94" s="69"/>
      <c r="P94" s="69"/>
    </row>
    <row r="95" spans="1:48" s="70" customFormat="1" ht="15" customHeight="1" x14ac:dyDescent="0.3">
      <c r="A95" s="206"/>
      <c r="B95" s="223"/>
      <c r="C95" s="223"/>
      <c r="D95" s="224"/>
      <c r="E95" s="223"/>
      <c r="F95" s="46"/>
      <c r="G95" s="46"/>
      <c r="H95" s="296"/>
      <c r="I95" s="11"/>
      <c r="J95" s="63"/>
      <c r="K95" s="142"/>
      <c r="L95" s="142"/>
      <c r="M95" s="142"/>
      <c r="N95" s="69"/>
      <c r="O95" s="69"/>
      <c r="P95" s="69"/>
      <c r="AV95" s="69"/>
    </row>
    <row r="96" spans="1:48" s="70" customFormat="1" x14ac:dyDescent="0.3">
      <c r="A96" s="206"/>
      <c r="B96" s="223"/>
      <c r="C96" s="223"/>
      <c r="D96" s="224"/>
      <c r="E96" s="223"/>
      <c r="F96" s="46"/>
      <c r="G96" s="46"/>
      <c r="H96" s="296"/>
      <c r="I96" s="142"/>
      <c r="J96" s="142"/>
      <c r="K96" s="142"/>
      <c r="L96" s="142"/>
      <c r="M96" s="142"/>
      <c r="N96" s="69"/>
      <c r="O96" s="69"/>
      <c r="P96" s="69"/>
      <c r="AV96" s="69"/>
    </row>
    <row r="97" spans="1:48" s="70" customFormat="1" x14ac:dyDescent="0.3">
      <c r="A97" s="206"/>
      <c r="B97" s="223"/>
      <c r="C97" s="223"/>
      <c r="D97" s="224"/>
      <c r="E97" s="223"/>
      <c r="F97" s="46"/>
      <c r="G97" s="46"/>
      <c r="H97" s="296"/>
      <c r="I97" s="11"/>
      <c r="J97" s="63"/>
      <c r="K97" s="142"/>
      <c r="L97" s="142"/>
      <c r="M97" s="142"/>
      <c r="N97" s="69"/>
      <c r="O97" s="69"/>
      <c r="P97" s="69"/>
      <c r="AV97" s="69"/>
    </row>
    <row r="98" spans="1:48" s="70" customFormat="1" x14ac:dyDescent="0.3">
      <c r="A98" s="206"/>
      <c r="B98" s="223"/>
      <c r="C98" s="223"/>
      <c r="D98" s="224"/>
      <c r="E98" s="223"/>
      <c r="F98" s="46"/>
      <c r="G98" s="46"/>
      <c r="H98" s="296"/>
      <c r="I98" s="142"/>
      <c r="J98" s="142"/>
      <c r="K98" s="142"/>
      <c r="L98" s="142"/>
      <c r="M98" s="142"/>
      <c r="N98" s="69"/>
      <c r="O98" s="69"/>
      <c r="P98" s="69"/>
      <c r="AV98" s="69"/>
    </row>
    <row r="99" spans="1:48" s="70" customFormat="1" x14ac:dyDescent="0.3">
      <c r="A99" s="206"/>
      <c r="B99" s="223"/>
      <c r="C99" s="223"/>
      <c r="D99" s="224"/>
      <c r="E99" s="223"/>
      <c r="F99" s="46"/>
      <c r="G99" s="46"/>
      <c r="H99" s="296"/>
      <c r="I99" s="11"/>
      <c r="J99" s="63"/>
      <c r="K99" s="142"/>
      <c r="L99" s="142"/>
      <c r="M99" s="142"/>
      <c r="N99" s="144"/>
      <c r="O99" s="69"/>
      <c r="P99" s="69"/>
      <c r="AV99" s="69"/>
    </row>
    <row r="100" spans="1:48" s="70" customFormat="1" x14ac:dyDescent="0.3">
      <c r="A100" s="206"/>
      <c r="B100" s="223"/>
      <c r="C100" s="223"/>
      <c r="D100" s="224"/>
      <c r="E100" s="223"/>
      <c r="F100" s="46"/>
      <c r="G100" s="46"/>
      <c r="H100" s="296"/>
      <c r="I100" s="142"/>
      <c r="J100" s="142"/>
      <c r="K100" s="142"/>
      <c r="L100" s="142"/>
      <c r="M100" s="142"/>
      <c r="N100" s="144"/>
      <c r="O100" s="69"/>
      <c r="P100" s="69"/>
      <c r="AV100" s="69"/>
    </row>
    <row r="101" spans="1:48" s="70" customFormat="1" x14ac:dyDescent="0.3">
      <c r="A101" s="206"/>
      <c r="B101" s="223"/>
      <c r="C101" s="223"/>
      <c r="D101" s="224"/>
      <c r="E101" s="223"/>
      <c r="F101" s="46"/>
      <c r="G101" s="46"/>
      <c r="H101" s="296"/>
      <c r="I101" s="11"/>
      <c r="J101" s="63"/>
      <c r="K101" s="142"/>
      <c r="L101" s="142"/>
      <c r="M101" s="142"/>
      <c r="N101" s="144"/>
      <c r="O101" s="69"/>
      <c r="AV101" s="69"/>
    </row>
    <row r="102" spans="1:48" s="70" customFormat="1" x14ac:dyDescent="0.3">
      <c r="A102" s="206"/>
      <c r="B102" s="223"/>
      <c r="C102" s="223"/>
      <c r="D102" s="224"/>
      <c r="E102" s="223"/>
      <c r="F102" s="46"/>
      <c r="G102" s="46"/>
      <c r="H102" s="296"/>
      <c r="I102" s="142"/>
      <c r="J102" s="142"/>
      <c r="K102" s="142"/>
      <c r="L102" s="142"/>
      <c r="M102" s="142"/>
      <c r="N102" s="144"/>
      <c r="O102" s="69"/>
      <c r="AV102" s="69"/>
    </row>
    <row r="103" spans="1:48" s="70" customFormat="1" x14ac:dyDescent="0.3">
      <c r="A103" s="206"/>
      <c r="B103" s="223"/>
      <c r="C103" s="223"/>
      <c r="D103" s="224"/>
      <c r="E103" s="223"/>
      <c r="F103" s="46"/>
      <c r="G103" s="46"/>
      <c r="H103" s="296"/>
      <c r="I103" s="11"/>
      <c r="J103" s="63"/>
      <c r="K103" s="142"/>
      <c r="L103" s="142"/>
      <c r="M103" s="142"/>
      <c r="N103" s="144"/>
      <c r="O103" s="69"/>
      <c r="AV103" s="69"/>
    </row>
    <row r="104" spans="1:48" s="70" customFormat="1" x14ac:dyDescent="0.3">
      <c r="A104" s="148"/>
      <c r="B104" s="225"/>
      <c r="C104" s="225"/>
      <c r="D104" s="225"/>
      <c r="E104" s="225"/>
      <c r="F104" s="46"/>
      <c r="G104" s="46"/>
      <c r="H104" s="296"/>
      <c r="I104" s="142"/>
      <c r="J104" s="142"/>
      <c r="K104" s="142"/>
      <c r="L104" s="142"/>
      <c r="M104" s="142"/>
      <c r="N104" s="144"/>
      <c r="O104" s="144"/>
      <c r="AV104" s="69"/>
    </row>
    <row r="105" spans="1:48" s="70" customFormat="1" x14ac:dyDescent="0.3">
      <c r="A105" s="69"/>
      <c r="B105" s="69"/>
      <c r="C105" s="69"/>
      <c r="D105" s="69"/>
      <c r="E105" s="69"/>
      <c r="F105" s="69"/>
      <c r="G105" s="69"/>
      <c r="H105" s="297"/>
      <c r="I105" s="142"/>
      <c r="J105" s="142"/>
      <c r="K105" s="142"/>
      <c r="L105" s="142"/>
      <c r="M105" s="142"/>
      <c r="N105" s="144"/>
      <c r="O105" s="144"/>
      <c r="AV105" s="69"/>
    </row>
    <row r="106" spans="1:48" s="70" customFormat="1" x14ac:dyDescent="0.3">
      <c r="A106" s="69"/>
      <c r="B106" s="69"/>
      <c r="C106" s="69"/>
      <c r="D106" s="69"/>
      <c r="E106" s="69"/>
      <c r="F106" s="69"/>
      <c r="G106" s="69"/>
      <c r="H106" s="297"/>
      <c r="I106" s="69"/>
      <c r="J106" s="69"/>
      <c r="K106" s="142"/>
      <c r="L106" s="142"/>
      <c r="M106" s="142"/>
      <c r="N106" s="144"/>
      <c r="O106" s="144"/>
      <c r="AV106" s="69"/>
    </row>
    <row r="107" spans="1:48" s="70" customFormat="1" x14ac:dyDescent="0.3">
      <c r="A107" s="69"/>
      <c r="B107" s="69"/>
      <c r="C107" s="69"/>
      <c r="D107" s="69"/>
      <c r="E107" s="69"/>
      <c r="F107" s="69"/>
      <c r="G107" s="69"/>
      <c r="H107" s="297"/>
      <c r="I107" s="69"/>
      <c r="J107" s="69"/>
      <c r="K107" s="142"/>
      <c r="L107" s="142"/>
      <c r="M107" s="142"/>
      <c r="N107" s="144"/>
      <c r="O107" s="144"/>
      <c r="AV107" s="69"/>
    </row>
    <row r="108" spans="1:48" s="70" customFormat="1" x14ac:dyDescent="0.3">
      <c r="A108" s="69"/>
      <c r="B108" s="69"/>
      <c r="C108" s="69"/>
      <c r="D108" s="69"/>
      <c r="E108" s="69"/>
      <c r="F108" s="69"/>
      <c r="G108" s="69"/>
      <c r="H108" s="297"/>
      <c r="I108" s="69"/>
      <c r="J108" s="69"/>
      <c r="K108" s="142"/>
      <c r="L108" s="142"/>
      <c r="M108" s="142"/>
      <c r="N108" s="144"/>
      <c r="O108" s="144"/>
      <c r="AV108" s="69"/>
    </row>
    <row r="109" spans="1:48" s="70" customFormat="1" x14ac:dyDescent="0.3">
      <c r="A109" s="69"/>
      <c r="B109" s="69"/>
      <c r="C109" s="69"/>
      <c r="D109" s="69"/>
      <c r="E109" s="69"/>
      <c r="F109" s="69"/>
      <c r="G109" s="69"/>
      <c r="H109" s="297"/>
      <c r="I109" s="69"/>
      <c r="J109" s="69"/>
      <c r="K109" s="142"/>
      <c r="L109" s="142"/>
      <c r="M109" s="142"/>
      <c r="N109" s="144"/>
      <c r="O109" s="144"/>
      <c r="AV109" s="69"/>
    </row>
    <row r="110" spans="1:48" s="70" customFormat="1" x14ac:dyDescent="0.3">
      <c r="A110" s="69"/>
      <c r="B110" s="69"/>
      <c r="C110" s="69"/>
      <c r="D110" s="69"/>
      <c r="E110" s="69"/>
      <c r="F110" s="69"/>
      <c r="G110" s="69"/>
      <c r="H110" s="297"/>
      <c r="I110" s="69"/>
      <c r="J110" s="69"/>
      <c r="K110" s="142"/>
      <c r="L110" s="142"/>
      <c r="M110" s="142"/>
      <c r="N110" s="144"/>
      <c r="O110" s="144"/>
      <c r="AV110" s="69"/>
    </row>
    <row r="111" spans="1:48" s="70" customFormat="1" x14ac:dyDescent="0.3">
      <c r="A111" s="69"/>
      <c r="B111" s="69"/>
      <c r="C111" s="69"/>
      <c r="D111" s="69"/>
      <c r="E111" s="69"/>
      <c r="F111" s="69"/>
      <c r="G111" s="69"/>
      <c r="H111" s="297"/>
      <c r="I111" s="69"/>
      <c r="J111" s="69"/>
      <c r="K111" s="142"/>
      <c r="L111" s="142"/>
      <c r="M111" s="142"/>
      <c r="N111" s="144"/>
      <c r="O111" s="144"/>
      <c r="AV111" s="69"/>
    </row>
    <row r="112" spans="1:48" s="70" customFormat="1" x14ac:dyDescent="0.3">
      <c r="F112" s="69"/>
      <c r="G112" s="69"/>
      <c r="H112" s="297"/>
      <c r="I112" s="69"/>
      <c r="J112" s="69"/>
      <c r="K112" s="142"/>
      <c r="L112" s="142"/>
      <c r="M112" s="142"/>
      <c r="N112" s="144"/>
      <c r="O112" s="144"/>
      <c r="AV112" s="69"/>
    </row>
    <row r="113" spans="8:48" s="70" customFormat="1" x14ac:dyDescent="0.3">
      <c r="H113" s="298"/>
      <c r="I113" s="69"/>
      <c r="J113" s="69"/>
      <c r="K113" s="142"/>
      <c r="L113" s="142"/>
      <c r="M113" s="142"/>
      <c r="N113" s="144"/>
      <c r="O113" s="144"/>
      <c r="AV113" s="69"/>
    </row>
    <row r="114" spans="8:48" s="70" customFormat="1" x14ac:dyDescent="0.3">
      <c r="H114" s="298"/>
      <c r="K114" s="142"/>
      <c r="L114" s="142"/>
      <c r="M114" s="142"/>
      <c r="N114" s="144"/>
      <c r="O114" s="144"/>
      <c r="AV114" s="69"/>
    </row>
    <row r="115" spans="8:48" s="70" customFormat="1" x14ac:dyDescent="0.3">
      <c r="H115" s="298"/>
      <c r="K115" s="142"/>
      <c r="L115" s="142"/>
      <c r="M115" s="142"/>
      <c r="N115" s="144"/>
      <c r="O115" s="144"/>
      <c r="AV115" s="69"/>
    </row>
    <row r="116" spans="8:48" s="70" customFormat="1" x14ac:dyDescent="0.3">
      <c r="H116" s="298"/>
      <c r="K116" s="142"/>
      <c r="L116" s="142"/>
      <c r="M116" s="142"/>
      <c r="N116" s="144"/>
      <c r="O116" s="144"/>
      <c r="AV116" s="69"/>
    </row>
    <row r="117" spans="8:48" s="70" customFormat="1" x14ac:dyDescent="0.3">
      <c r="H117" s="298"/>
      <c r="K117" s="142"/>
      <c r="L117" s="142"/>
      <c r="M117" s="142"/>
      <c r="N117" s="144"/>
      <c r="O117" s="144"/>
      <c r="AV117" s="69"/>
    </row>
    <row r="118" spans="8:48" s="70" customFormat="1" x14ac:dyDescent="0.3">
      <c r="H118" s="298"/>
      <c r="K118" s="142"/>
      <c r="L118" s="142"/>
      <c r="M118" s="142"/>
      <c r="N118" s="144"/>
      <c r="O118" s="144"/>
      <c r="AV118" s="69"/>
    </row>
    <row r="119" spans="8:48" s="70" customFormat="1" x14ac:dyDescent="0.3">
      <c r="H119" s="298"/>
      <c r="K119" s="142"/>
      <c r="L119" s="142"/>
      <c r="M119" s="142"/>
      <c r="N119" s="144"/>
      <c r="O119" s="144"/>
      <c r="AV119" s="69"/>
    </row>
    <row r="120" spans="8:48" s="70" customFormat="1" x14ac:dyDescent="0.3">
      <c r="H120" s="298"/>
      <c r="K120" s="142"/>
      <c r="L120" s="142"/>
      <c r="M120" s="142"/>
      <c r="N120" s="144"/>
      <c r="O120" s="144"/>
      <c r="AV120" s="69"/>
    </row>
    <row r="121" spans="8:48" s="70" customFormat="1" x14ac:dyDescent="0.3">
      <c r="H121" s="298"/>
      <c r="K121" s="142"/>
      <c r="L121" s="142"/>
      <c r="M121" s="142"/>
      <c r="N121" s="144"/>
      <c r="O121" s="144"/>
      <c r="AV121" s="69"/>
    </row>
    <row r="122" spans="8:48" s="70" customFormat="1" x14ac:dyDescent="0.3">
      <c r="H122" s="298"/>
      <c r="K122" s="142"/>
      <c r="L122" s="142"/>
      <c r="M122" s="142"/>
      <c r="N122" s="144"/>
      <c r="O122" s="144"/>
      <c r="AV122" s="69"/>
    </row>
    <row r="123" spans="8:48" s="70" customFormat="1" x14ac:dyDescent="0.3">
      <c r="H123" s="298"/>
      <c r="K123" s="142"/>
      <c r="L123" s="142"/>
      <c r="M123" s="142"/>
      <c r="N123" s="144"/>
      <c r="O123" s="144"/>
      <c r="AV123" s="69"/>
    </row>
    <row r="124" spans="8:48" s="70" customFormat="1" x14ac:dyDescent="0.3">
      <c r="H124" s="298"/>
      <c r="K124" s="142"/>
      <c r="L124" s="142"/>
      <c r="M124" s="142"/>
      <c r="N124" s="144"/>
      <c r="O124" s="144"/>
      <c r="AV124" s="69"/>
    </row>
    <row r="125" spans="8:48" s="70" customFormat="1" x14ac:dyDescent="0.3">
      <c r="H125" s="298"/>
      <c r="K125" s="142"/>
      <c r="L125" s="142"/>
      <c r="M125" s="142"/>
      <c r="N125" s="144"/>
      <c r="O125" s="144"/>
      <c r="AV125" s="69"/>
    </row>
    <row r="126" spans="8:48" s="70" customFormat="1" x14ac:dyDescent="0.3">
      <c r="H126" s="298"/>
      <c r="K126" s="142"/>
      <c r="L126" s="142"/>
      <c r="M126" s="142"/>
      <c r="N126" s="144"/>
      <c r="O126" s="144"/>
      <c r="AV126" s="69"/>
    </row>
    <row r="127" spans="8:48" s="70" customFormat="1" x14ac:dyDescent="0.3">
      <c r="H127" s="298"/>
      <c r="K127" s="142"/>
      <c r="L127" s="142"/>
      <c r="M127" s="142"/>
      <c r="N127" s="144"/>
      <c r="O127" s="144"/>
      <c r="AV127" s="69"/>
    </row>
    <row r="128" spans="8:48" s="70" customFormat="1" x14ac:dyDescent="0.3">
      <c r="H128" s="298"/>
      <c r="K128" s="142"/>
      <c r="L128" s="142"/>
      <c r="M128" s="142"/>
      <c r="N128" s="144"/>
      <c r="O128" s="144"/>
      <c r="AV128" s="69"/>
    </row>
    <row r="129" spans="8:48" s="70" customFormat="1" x14ac:dyDescent="0.3">
      <c r="H129" s="298"/>
      <c r="K129" s="142"/>
      <c r="L129" s="142"/>
      <c r="M129" s="142"/>
      <c r="N129" s="144"/>
      <c r="O129" s="144"/>
      <c r="AV129" s="69"/>
    </row>
    <row r="130" spans="8:48" s="70" customFormat="1" x14ac:dyDescent="0.3">
      <c r="H130" s="298"/>
      <c r="K130" s="142"/>
      <c r="L130" s="142"/>
      <c r="M130" s="142"/>
      <c r="N130" s="144"/>
      <c r="O130" s="144"/>
      <c r="AV130" s="69"/>
    </row>
    <row r="131" spans="8:48" s="70" customFormat="1" x14ac:dyDescent="0.3">
      <c r="H131" s="298"/>
      <c r="K131" s="142"/>
      <c r="L131" s="142"/>
      <c r="M131" s="142"/>
      <c r="N131" s="144"/>
      <c r="O131" s="144"/>
      <c r="AV131" s="69"/>
    </row>
    <row r="132" spans="8:48" s="70" customFormat="1" x14ac:dyDescent="0.3">
      <c r="H132" s="298"/>
      <c r="K132" s="142"/>
      <c r="L132" s="142"/>
      <c r="M132" s="142"/>
      <c r="N132" s="144"/>
      <c r="O132" s="144"/>
      <c r="AV132" s="69"/>
    </row>
    <row r="133" spans="8:48" s="70" customFormat="1" x14ac:dyDescent="0.3">
      <c r="H133" s="298"/>
      <c r="K133" s="142"/>
      <c r="L133" s="142"/>
      <c r="M133" s="142"/>
      <c r="N133" s="144"/>
      <c r="O133" s="144"/>
      <c r="AV133" s="69"/>
    </row>
    <row r="134" spans="8:48" s="70" customFormat="1" x14ac:dyDescent="0.3">
      <c r="H134" s="298"/>
      <c r="K134" s="142"/>
      <c r="L134" s="142"/>
      <c r="M134" s="142"/>
      <c r="N134" s="144"/>
      <c r="O134" s="144"/>
      <c r="AV134" s="69"/>
    </row>
    <row r="135" spans="8:48" s="70" customFormat="1" x14ac:dyDescent="0.3">
      <c r="H135" s="298"/>
      <c r="K135" s="142"/>
      <c r="L135" s="142"/>
      <c r="M135" s="142"/>
      <c r="N135" s="144"/>
      <c r="O135" s="144"/>
      <c r="AV135" s="69"/>
    </row>
    <row r="136" spans="8:48" s="70" customFormat="1" x14ac:dyDescent="0.3">
      <c r="H136" s="298"/>
      <c r="K136" s="142"/>
      <c r="L136" s="142"/>
      <c r="M136" s="142"/>
      <c r="N136" s="144"/>
      <c r="O136" s="144"/>
      <c r="AV136" s="69"/>
    </row>
    <row r="137" spans="8:48" s="70" customFormat="1" x14ac:dyDescent="0.3">
      <c r="H137" s="298"/>
      <c r="K137" s="142"/>
      <c r="L137" s="142"/>
      <c r="M137" s="142"/>
      <c r="N137" s="144"/>
      <c r="O137" s="144"/>
      <c r="AV137" s="69"/>
    </row>
    <row r="138" spans="8:48" s="70" customFormat="1" x14ac:dyDescent="0.3">
      <c r="H138" s="298"/>
      <c r="K138" s="142"/>
      <c r="L138" s="142"/>
      <c r="M138" s="142"/>
      <c r="N138" s="144"/>
      <c r="O138" s="144"/>
      <c r="AV138" s="69"/>
    </row>
    <row r="139" spans="8:48" s="70" customFormat="1" x14ac:dyDescent="0.3">
      <c r="H139" s="298"/>
      <c r="K139" s="142"/>
      <c r="L139" s="142"/>
      <c r="M139" s="142"/>
      <c r="N139" s="144"/>
      <c r="O139" s="144"/>
      <c r="AV139" s="69"/>
    </row>
    <row r="140" spans="8:48" s="70" customFormat="1" x14ac:dyDescent="0.3">
      <c r="H140" s="298"/>
      <c r="K140" s="142"/>
      <c r="L140" s="142"/>
      <c r="M140" s="142"/>
      <c r="N140" s="144"/>
      <c r="O140" s="144"/>
      <c r="AV140" s="69"/>
    </row>
    <row r="141" spans="8:48" s="70" customFormat="1" x14ac:dyDescent="0.3">
      <c r="H141" s="298"/>
      <c r="K141" s="142"/>
      <c r="L141" s="142"/>
      <c r="M141" s="142"/>
      <c r="N141" s="144"/>
      <c r="O141" s="144"/>
      <c r="AV141" s="69"/>
    </row>
    <row r="142" spans="8:48" s="70" customFormat="1" x14ac:dyDescent="0.3">
      <c r="H142" s="298"/>
      <c r="K142" s="142"/>
      <c r="L142" s="142"/>
      <c r="M142" s="142"/>
      <c r="N142" s="144"/>
      <c r="O142" s="144"/>
      <c r="AV142" s="69"/>
    </row>
    <row r="143" spans="8:48" s="70" customFormat="1" x14ac:dyDescent="0.3">
      <c r="H143" s="298"/>
      <c r="K143" s="142"/>
      <c r="L143" s="142"/>
      <c r="M143" s="142"/>
      <c r="N143" s="144"/>
      <c r="O143" s="144"/>
      <c r="AV143" s="69"/>
    </row>
    <row r="144" spans="8:48" s="70" customFormat="1" x14ac:dyDescent="0.3">
      <c r="H144" s="298"/>
      <c r="K144" s="142"/>
      <c r="L144" s="142"/>
      <c r="M144" s="142"/>
      <c r="N144" s="144"/>
      <c r="O144" s="144"/>
      <c r="AV144" s="69"/>
    </row>
    <row r="145" spans="8:48" s="70" customFormat="1" x14ac:dyDescent="0.3">
      <c r="H145" s="298"/>
      <c r="K145" s="142"/>
      <c r="L145" s="142"/>
      <c r="M145" s="142"/>
      <c r="N145" s="144"/>
      <c r="O145" s="144"/>
      <c r="AV145" s="69"/>
    </row>
    <row r="146" spans="8:48" s="70" customFormat="1" x14ac:dyDescent="0.3">
      <c r="H146" s="298"/>
      <c r="K146" s="142"/>
      <c r="L146" s="142"/>
      <c r="M146" s="142"/>
      <c r="N146" s="144"/>
      <c r="O146" s="144"/>
      <c r="AV146" s="69"/>
    </row>
    <row r="147" spans="8:48" s="70" customFormat="1" x14ac:dyDescent="0.3">
      <c r="H147" s="298"/>
      <c r="K147" s="142"/>
      <c r="L147" s="142"/>
      <c r="M147" s="142"/>
      <c r="N147" s="144"/>
      <c r="O147" s="144"/>
      <c r="AV147" s="69"/>
    </row>
    <row r="148" spans="8:48" s="70" customFormat="1" x14ac:dyDescent="0.3">
      <c r="H148" s="298"/>
      <c r="K148" s="142"/>
      <c r="L148" s="142"/>
      <c r="M148" s="142"/>
      <c r="N148" s="144"/>
      <c r="O148" s="144"/>
      <c r="AV148" s="69"/>
    </row>
    <row r="149" spans="8:48" s="70" customFormat="1" x14ac:dyDescent="0.3">
      <c r="H149" s="298"/>
      <c r="K149" s="142"/>
      <c r="L149" s="142"/>
      <c r="M149" s="142"/>
      <c r="N149" s="144"/>
      <c r="O149" s="144"/>
      <c r="AV149" s="69"/>
    </row>
    <row r="150" spans="8:48" s="70" customFormat="1" x14ac:dyDescent="0.3">
      <c r="H150" s="298"/>
      <c r="K150" s="142"/>
      <c r="L150" s="142"/>
      <c r="M150" s="142"/>
      <c r="N150" s="144"/>
      <c r="O150" s="144"/>
      <c r="AV150" s="69"/>
    </row>
    <row r="151" spans="8:48" s="70" customFormat="1" x14ac:dyDescent="0.3">
      <c r="H151" s="298"/>
      <c r="K151" s="142"/>
      <c r="L151" s="142"/>
      <c r="M151" s="142"/>
      <c r="N151" s="144"/>
      <c r="O151" s="144"/>
      <c r="AV151" s="69"/>
    </row>
    <row r="152" spans="8:48" s="70" customFormat="1" x14ac:dyDescent="0.3">
      <c r="H152" s="298"/>
      <c r="K152" s="142"/>
      <c r="L152" s="142"/>
      <c r="M152" s="142"/>
      <c r="N152" s="144"/>
      <c r="O152" s="144"/>
      <c r="AV152" s="69"/>
    </row>
    <row r="153" spans="8:48" s="70" customFormat="1" x14ac:dyDescent="0.3">
      <c r="H153" s="298"/>
      <c r="K153" s="142"/>
      <c r="L153" s="142"/>
      <c r="M153" s="142"/>
      <c r="N153" s="144"/>
      <c r="O153" s="144"/>
      <c r="AV153" s="69"/>
    </row>
    <row r="154" spans="8:48" s="70" customFormat="1" x14ac:dyDescent="0.3">
      <c r="H154" s="298"/>
      <c r="K154" s="142"/>
      <c r="L154" s="142"/>
      <c r="M154" s="142"/>
      <c r="N154" s="144"/>
      <c r="O154" s="144"/>
      <c r="AV154" s="69"/>
    </row>
    <row r="155" spans="8:48" s="70" customFormat="1" x14ac:dyDescent="0.3">
      <c r="H155" s="298"/>
      <c r="K155" s="142"/>
      <c r="L155" s="142"/>
      <c r="M155" s="142"/>
      <c r="N155" s="144"/>
      <c r="O155" s="144"/>
      <c r="AV155" s="69"/>
    </row>
    <row r="156" spans="8:48" s="70" customFormat="1" x14ac:dyDescent="0.3">
      <c r="H156" s="298"/>
      <c r="K156" s="142"/>
      <c r="L156" s="142"/>
      <c r="M156" s="142"/>
      <c r="N156" s="144"/>
      <c r="O156" s="144"/>
      <c r="AV156" s="69"/>
    </row>
    <row r="157" spans="8:48" s="70" customFormat="1" x14ac:dyDescent="0.3">
      <c r="H157" s="298"/>
      <c r="K157" s="142"/>
      <c r="L157" s="142"/>
      <c r="M157" s="142"/>
      <c r="N157" s="144"/>
      <c r="O157" s="144"/>
      <c r="AV157" s="69"/>
    </row>
    <row r="158" spans="8:48" s="70" customFormat="1" x14ac:dyDescent="0.3">
      <c r="H158" s="298"/>
      <c r="K158" s="142"/>
      <c r="L158" s="142"/>
      <c r="M158" s="142"/>
      <c r="N158" s="144"/>
      <c r="O158" s="144"/>
      <c r="AV158" s="69"/>
    </row>
    <row r="159" spans="8:48" s="70" customFormat="1" x14ac:dyDescent="0.3">
      <c r="H159" s="298"/>
      <c r="K159" s="142"/>
      <c r="L159" s="142"/>
      <c r="M159" s="142"/>
      <c r="N159" s="144"/>
      <c r="O159" s="144"/>
      <c r="AV159" s="69"/>
    </row>
    <row r="160" spans="8:48" s="70" customFormat="1" x14ac:dyDescent="0.3">
      <c r="H160" s="298"/>
      <c r="K160" s="142"/>
      <c r="L160" s="142"/>
      <c r="M160" s="142"/>
      <c r="N160" s="144"/>
      <c r="O160" s="144"/>
      <c r="AV160" s="69"/>
    </row>
    <row r="161" spans="1:49" s="70" customFormat="1" x14ac:dyDescent="0.3">
      <c r="H161" s="298"/>
      <c r="K161" s="142"/>
      <c r="L161" s="142"/>
      <c r="M161" s="142"/>
      <c r="N161" s="144"/>
      <c r="O161" s="144"/>
      <c r="AV161" s="69"/>
    </row>
    <row r="162" spans="1:49" s="70" customFormat="1" x14ac:dyDescent="0.3">
      <c r="H162" s="298"/>
      <c r="K162" s="142"/>
      <c r="L162" s="142"/>
      <c r="M162" s="142"/>
      <c r="N162" s="144"/>
      <c r="O162" s="144"/>
      <c r="AV162" s="69"/>
    </row>
    <row r="163" spans="1:49" s="70" customFormat="1" x14ac:dyDescent="0.3">
      <c r="H163" s="298"/>
      <c r="K163" s="142"/>
      <c r="L163" s="142"/>
      <c r="M163" s="142"/>
      <c r="N163" s="144"/>
      <c r="O163" s="144"/>
      <c r="AV163" s="69"/>
    </row>
    <row r="164" spans="1:49" s="70" customFormat="1" x14ac:dyDescent="0.3">
      <c r="H164" s="298"/>
      <c r="K164" s="142"/>
      <c r="L164" s="142"/>
      <c r="M164" s="142"/>
      <c r="N164" s="144"/>
      <c r="O164" s="144"/>
      <c r="AV164" s="69"/>
    </row>
    <row r="165" spans="1:49" s="70" customFormat="1" x14ac:dyDescent="0.3">
      <c r="H165" s="298"/>
      <c r="K165" s="142"/>
      <c r="L165" s="142"/>
      <c r="M165" s="142"/>
      <c r="N165" s="144"/>
      <c r="O165" s="144"/>
      <c r="AV165" s="69"/>
    </row>
    <row r="166" spans="1:49" s="70" customFormat="1" x14ac:dyDescent="0.3">
      <c r="H166" s="298"/>
      <c r="K166" s="142"/>
      <c r="L166" s="142"/>
      <c r="M166" s="142"/>
      <c r="N166" s="144"/>
      <c r="O166" s="144"/>
      <c r="AV166" s="69"/>
    </row>
    <row r="167" spans="1:49" s="70" customFormat="1" x14ac:dyDescent="0.3">
      <c r="H167" s="298"/>
      <c r="K167" s="142"/>
      <c r="L167" s="142"/>
      <c r="M167" s="142"/>
      <c r="N167" s="144"/>
      <c r="O167" s="144"/>
      <c r="AV167" s="69"/>
    </row>
    <row r="168" spans="1:49" s="70" customFormat="1" x14ac:dyDescent="0.3">
      <c r="H168" s="298"/>
      <c r="K168" s="142"/>
      <c r="L168" s="142"/>
      <c r="M168" s="142"/>
      <c r="N168" s="144"/>
      <c r="O168" s="144"/>
      <c r="AV168" s="69"/>
    </row>
    <row r="169" spans="1:49" s="145" customFormat="1" x14ac:dyDescent="0.3">
      <c r="A169" s="70"/>
      <c r="B169" s="70"/>
      <c r="C169" s="70"/>
      <c r="D169" s="70"/>
      <c r="E169" s="70"/>
      <c r="F169" s="70"/>
      <c r="G169" s="70"/>
      <c r="H169" s="298"/>
      <c r="I169" s="70"/>
      <c r="J169" s="70"/>
      <c r="K169" s="142"/>
      <c r="L169" s="142"/>
      <c r="M169" s="142"/>
      <c r="N169" s="144"/>
      <c r="O169" s="144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69"/>
      <c r="AW169" s="70"/>
    </row>
    <row r="170" spans="1:49" s="145" customFormat="1" x14ac:dyDescent="0.3">
      <c r="A170" s="70"/>
      <c r="B170" s="70"/>
      <c r="C170" s="70"/>
      <c r="D170" s="70"/>
      <c r="E170" s="70"/>
      <c r="F170" s="70"/>
      <c r="G170" s="70"/>
      <c r="H170" s="298"/>
      <c r="I170" s="70"/>
      <c r="J170" s="70"/>
      <c r="K170" s="142"/>
      <c r="L170" s="142"/>
      <c r="M170" s="142"/>
      <c r="N170" s="144"/>
      <c r="O170" s="144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69"/>
      <c r="AW170" s="70"/>
    </row>
    <row r="171" spans="1:49" s="145" customFormat="1" x14ac:dyDescent="0.3">
      <c r="A171" s="70"/>
      <c r="B171" s="70"/>
      <c r="C171" s="70"/>
      <c r="D171" s="70"/>
      <c r="E171" s="70"/>
      <c r="F171" s="70"/>
      <c r="G171" s="70"/>
      <c r="H171" s="298"/>
      <c r="I171" s="70"/>
      <c r="J171" s="70"/>
      <c r="K171" s="142"/>
      <c r="L171" s="142"/>
      <c r="M171" s="142"/>
      <c r="N171" s="144"/>
      <c r="O171" s="144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69"/>
      <c r="AW171" s="70"/>
    </row>
    <row r="172" spans="1:49" s="145" customFormat="1" x14ac:dyDescent="0.3">
      <c r="A172" s="70"/>
      <c r="B172" s="70"/>
      <c r="C172" s="70"/>
      <c r="D172" s="70"/>
      <c r="E172" s="70"/>
      <c r="F172" s="70"/>
      <c r="G172" s="70"/>
      <c r="H172" s="298"/>
      <c r="I172" s="70"/>
      <c r="J172" s="70"/>
      <c r="K172" s="142"/>
      <c r="L172" s="142"/>
      <c r="M172" s="142"/>
      <c r="N172" s="144"/>
      <c r="O172" s="144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69"/>
      <c r="AW172" s="70"/>
    </row>
    <row r="173" spans="1:49" s="145" customFormat="1" x14ac:dyDescent="0.3">
      <c r="A173" s="70"/>
      <c r="B173" s="70"/>
      <c r="C173" s="70"/>
      <c r="D173" s="70"/>
      <c r="E173" s="70"/>
      <c r="F173" s="70"/>
      <c r="G173" s="70"/>
      <c r="H173" s="298"/>
      <c r="I173" s="70"/>
      <c r="J173" s="70"/>
      <c r="K173" s="142"/>
      <c r="L173" s="142"/>
      <c r="M173" s="142"/>
      <c r="N173" s="144"/>
      <c r="O173" s="144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69"/>
      <c r="AW173" s="70"/>
    </row>
    <row r="174" spans="1:49" s="145" customFormat="1" x14ac:dyDescent="0.3">
      <c r="A174" s="70"/>
      <c r="B174" s="70"/>
      <c r="C174" s="70"/>
      <c r="D174" s="70"/>
      <c r="E174" s="70"/>
      <c r="F174" s="70"/>
      <c r="G174" s="70"/>
      <c r="H174" s="298"/>
      <c r="I174" s="70"/>
      <c r="J174" s="70"/>
      <c r="K174" s="142"/>
      <c r="L174" s="142"/>
      <c r="M174" s="142"/>
      <c r="N174" s="144"/>
      <c r="O174" s="144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69"/>
      <c r="AW174" s="70"/>
    </row>
    <row r="175" spans="1:49" s="145" customFormat="1" x14ac:dyDescent="0.3">
      <c r="A175" s="70"/>
      <c r="B175" s="70"/>
      <c r="C175" s="70"/>
      <c r="D175" s="70"/>
      <c r="E175" s="70"/>
      <c r="F175" s="70"/>
      <c r="G175" s="70"/>
      <c r="H175" s="298"/>
      <c r="I175" s="70"/>
      <c r="J175" s="70"/>
      <c r="K175" s="142"/>
      <c r="L175" s="142"/>
      <c r="M175" s="142"/>
      <c r="N175" s="144"/>
      <c r="O175" s="144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69"/>
      <c r="AW175" s="70"/>
    </row>
    <row r="176" spans="1:49" s="145" customFormat="1" x14ac:dyDescent="0.3">
      <c r="A176" s="70"/>
      <c r="B176" s="70"/>
      <c r="C176" s="70"/>
      <c r="D176" s="70"/>
      <c r="E176" s="70"/>
      <c r="F176" s="70"/>
      <c r="G176" s="70"/>
      <c r="H176" s="298"/>
      <c r="I176" s="70"/>
      <c r="J176" s="70"/>
      <c r="K176" s="142"/>
      <c r="L176" s="142"/>
      <c r="M176" s="142"/>
      <c r="N176" s="147"/>
      <c r="O176" s="144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69"/>
      <c r="AW176" s="70"/>
    </row>
    <row r="177" spans="1:49" s="145" customFormat="1" x14ac:dyDescent="0.3">
      <c r="A177" s="70"/>
      <c r="B177" s="70"/>
      <c r="C177" s="70"/>
      <c r="D177" s="70"/>
      <c r="E177" s="70"/>
      <c r="F177" s="70"/>
      <c r="G177" s="70"/>
      <c r="H177" s="298"/>
      <c r="I177" s="70"/>
      <c r="J177" s="70"/>
      <c r="K177" s="142"/>
      <c r="L177" s="142"/>
      <c r="M177" s="142"/>
      <c r="N177" s="147"/>
      <c r="O177" s="144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69"/>
      <c r="AW177" s="70"/>
    </row>
    <row r="178" spans="1:49" s="145" customFormat="1" x14ac:dyDescent="0.3">
      <c r="A178" s="70"/>
      <c r="B178" s="70"/>
      <c r="C178" s="70"/>
      <c r="D178" s="70"/>
      <c r="E178" s="70"/>
      <c r="F178" s="70"/>
      <c r="G178" s="70"/>
      <c r="H178" s="298"/>
      <c r="I178" s="70"/>
      <c r="J178" s="70"/>
      <c r="K178" s="142"/>
      <c r="L178" s="142"/>
      <c r="M178" s="142"/>
      <c r="N178" s="147"/>
      <c r="O178" s="144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69"/>
      <c r="AW178" s="70"/>
    </row>
    <row r="179" spans="1:49" s="145" customFormat="1" x14ac:dyDescent="0.3">
      <c r="A179" s="70"/>
      <c r="B179" s="70"/>
      <c r="C179" s="70"/>
      <c r="D179" s="70"/>
      <c r="E179" s="70"/>
      <c r="F179" s="70"/>
      <c r="G179" s="70"/>
      <c r="H179" s="298"/>
      <c r="I179" s="70"/>
      <c r="J179" s="70"/>
      <c r="K179" s="142"/>
      <c r="L179" s="142"/>
      <c r="M179" s="142"/>
      <c r="N179" s="147"/>
      <c r="O179" s="144"/>
      <c r="P179" s="149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69"/>
      <c r="AW179" s="70"/>
    </row>
    <row r="180" spans="1:49" s="145" customFormat="1" x14ac:dyDescent="0.3">
      <c r="A180" s="70"/>
      <c r="B180" s="70"/>
      <c r="C180" s="70"/>
      <c r="D180" s="70"/>
      <c r="E180" s="70"/>
      <c r="F180" s="70"/>
      <c r="G180" s="70"/>
      <c r="H180" s="298"/>
      <c r="I180" s="70"/>
      <c r="J180" s="70"/>
      <c r="K180" s="142"/>
      <c r="L180" s="142"/>
      <c r="M180" s="142"/>
      <c r="N180" s="147"/>
      <c r="O180" s="144"/>
      <c r="P180" s="149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69"/>
      <c r="AW180" s="70"/>
    </row>
    <row r="181" spans="1:49" s="145" customFormat="1" x14ac:dyDescent="0.3">
      <c r="A181" s="70"/>
      <c r="B181" s="70"/>
      <c r="C181" s="70"/>
      <c r="D181" s="70"/>
      <c r="E181" s="70"/>
      <c r="F181" s="70"/>
      <c r="G181" s="70"/>
      <c r="H181" s="298"/>
      <c r="I181" s="70"/>
      <c r="J181" s="70"/>
      <c r="K181" s="146"/>
      <c r="L181" s="146"/>
      <c r="M181" s="146"/>
      <c r="N181" s="147"/>
      <c r="O181" s="147"/>
      <c r="P181" s="149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69"/>
      <c r="AW181" s="70"/>
    </row>
    <row r="182" spans="1:49" s="145" customFormat="1" x14ac:dyDescent="0.3">
      <c r="A182" s="70"/>
      <c r="B182" s="70"/>
      <c r="C182" s="70"/>
      <c r="D182" s="70"/>
      <c r="E182" s="70"/>
      <c r="F182" s="70"/>
      <c r="G182" s="70"/>
      <c r="H182" s="298"/>
      <c r="I182" s="70"/>
      <c r="J182" s="70"/>
      <c r="K182" s="146"/>
      <c r="L182" s="146"/>
      <c r="M182" s="146"/>
      <c r="N182" s="147"/>
      <c r="O182" s="147"/>
      <c r="P182" s="149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69"/>
      <c r="AW182" s="70"/>
    </row>
    <row r="183" spans="1:49" s="145" customFormat="1" x14ac:dyDescent="0.3">
      <c r="A183" s="70"/>
      <c r="B183" s="70"/>
      <c r="C183" s="70"/>
      <c r="D183" s="70"/>
      <c r="E183" s="70"/>
      <c r="F183" s="70"/>
      <c r="G183" s="70"/>
      <c r="H183" s="298"/>
      <c r="I183" s="70"/>
      <c r="J183" s="70"/>
      <c r="K183" s="146"/>
      <c r="L183" s="146"/>
      <c r="M183" s="146"/>
      <c r="N183" s="147"/>
      <c r="O183" s="147"/>
      <c r="P183" s="149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69"/>
      <c r="AW183" s="70"/>
    </row>
    <row r="184" spans="1:49" s="145" customFormat="1" x14ac:dyDescent="0.3">
      <c r="A184" s="70"/>
      <c r="B184" s="70"/>
      <c r="C184" s="70"/>
      <c r="D184" s="70"/>
      <c r="E184" s="70"/>
      <c r="F184" s="70"/>
      <c r="G184" s="70"/>
      <c r="H184" s="298"/>
      <c r="I184" s="70"/>
      <c r="J184" s="70"/>
      <c r="K184" s="146"/>
      <c r="L184" s="146"/>
      <c r="M184" s="146"/>
      <c r="N184" s="147"/>
      <c r="O184" s="147"/>
      <c r="P184" s="149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69"/>
      <c r="AW184" s="70"/>
    </row>
    <row r="185" spans="1:49" s="145" customFormat="1" x14ac:dyDescent="0.3">
      <c r="A185" s="70"/>
      <c r="B185" s="70"/>
      <c r="C185" s="70"/>
      <c r="D185" s="70"/>
      <c r="E185" s="70"/>
      <c r="F185" s="70"/>
      <c r="G185" s="70"/>
      <c r="H185" s="298"/>
      <c r="I185" s="70"/>
      <c r="J185" s="70"/>
      <c r="K185" s="146"/>
      <c r="L185" s="146"/>
      <c r="M185" s="146"/>
      <c r="N185" s="147"/>
      <c r="O185" s="147"/>
      <c r="P185" s="149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69"/>
      <c r="AW185" s="70"/>
    </row>
    <row r="186" spans="1:49" x14ac:dyDescent="0.3">
      <c r="A186" s="70"/>
      <c r="B186" s="70"/>
      <c r="C186" s="70"/>
      <c r="D186" s="70"/>
      <c r="E186" s="70"/>
      <c r="F186" s="70"/>
      <c r="G186" s="70"/>
      <c r="H186" s="298"/>
      <c r="I186" s="70"/>
      <c r="J186" s="70"/>
      <c r="K186" s="146"/>
      <c r="L186" s="146"/>
      <c r="M186" s="146"/>
      <c r="N186" s="147"/>
      <c r="O186" s="147"/>
      <c r="P186" s="149"/>
      <c r="AV186" s="148"/>
      <c r="AW186" s="148"/>
    </row>
    <row r="187" spans="1:49" x14ac:dyDescent="0.3">
      <c r="A187" s="70"/>
      <c r="B187" s="70"/>
      <c r="C187" s="70"/>
      <c r="D187" s="70"/>
      <c r="E187" s="70"/>
      <c r="F187" s="70"/>
      <c r="G187" s="70"/>
      <c r="H187" s="298"/>
      <c r="I187" s="70"/>
      <c r="J187" s="70"/>
      <c r="K187" s="146"/>
      <c r="L187" s="146"/>
      <c r="M187" s="146"/>
      <c r="N187" s="147"/>
      <c r="O187" s="147"/>
      <c r="P187" s="149"/>
      <c r="AV187" s="148"/>
      <c r="AW187" s="148"/>
    </row>
    <row r="188" spans="1:49" x14ac:dyDescent="0.3">
      <c r="A188" s="70"/>
      <c r="B188" s="70"/>
      <c r="C188" s="70"/>
      <c r="D188" s="70"/>
      <c r="E188" s="70"/>
      <c r="F188" s="70"/>
      <c r="G188" s="70"/>
      <c r="H188" s="298"/>
      <c r="I188" s="70"/>
      <c r="J188" s="70"/>
      <c r="K188" s="146"/>
      <c r="L188" s="146"/>
      <c r="M188" s="146"/>
      <c r="N188" s="147"/>
      <c r="O188" s="147"/>
      <c r="P188" s="149"/>
      <c r="AV188" s="148"/>
      <c r="AW188" s="148"/>
    </row>
    <row r="189" spans="1:49" x14ac:dyDescent="0.3">
      <c r="A189" s="149"/>
      <c r="B189" s="149"/>
      <c r="C189" s="149"/>
      <c r="D189" s="149"/>
      <c r="E189" s="149"/>
      <c r="F189" s="70"/>
      <c r="G189" s="70"/>
      <c r="H189" s="298"/>
      <c r="I189" s="70"/>
      <c r="J189" s="70"/>
      <c r="K189" s="146"/>
      <c r="L189" s="146"/>
      <c r="M189" s="146"/>
      <c r="N189" s="147"/>
      <c r="O189" s="147"/>
      <c r="P189" s="149"/>
      <c r="AV189" s="148"/>
      <c r="AW189" s="148"/>
    </row>
    <row r="190" spans="1:49" x14ac:dyDescent="0.3">
      <c r="A190" s="149"/>
      <c r="B190" s="149"/>
      <c r="C190" s="149"/>
      <c r="D190" s="149"/>
      <c r="E190" s="149"/>
      <c r="F190" s="149"/>
      <c r="G190" s="149"/>
      <c r="H190" s="299"/>
      <c r="I190" s="70"/>
      <c r="J190" s="70"/>
      <c r="K190" s="146"/>
      <c r="L190" s="146"/>
      <c r="M190" s="146"/>
      <c r="N190" s="147"/>
      <c r="O190" s="147"/>
      <c r="P190" s="149"/>
      <c r="AV190" s="148"/>
      <c r="AW190" s="148"/>
    </row>
    <row r="191" spans="1:49" x14ac:dyDescent="0.3">
      <c r="A191" s="149"/>
      <c r="B191" s="149"/>
      <c r="C191" s="149"/>
      <c r="D191" s="149"/>
      <c r="E191" s="149"/>
      <c r="F191" s="149"/>
      <c r="G191" s="149"/>
      <c r="H191" s="299"/>
      <c r="I191" s="149"/>
      <c r="J191" s="149"/>
      <c r="K191" s="146"/>
      <c r="L191" s="146"/>
      <c r="M191" s="146"/>
      <c r="N191" s="147"/>
      <c r="O191" s="147"/>
      <c r="AV191" s="148"/>
      <c r="AW191" s="148"/>
    </row>
    <row r="192" spans="1:49" x14ac:dyDescent="0.3">
      <c r="A192" s="149"/>
      <c r="B192" s="149"/>
      <c r="C192" s="149"/>
      <c r="D192" s="149"/>
      <c r="E192" s="149"/>
      <c r="F192" s="149"/>
      <c r="G192" s="149"/>
      <c r="H192" s="299"/>
      <c r="I192" s="149"/>
      <c r="J192" s="149"/>
      <c r="K192" s="146"/>
      <c r="L192" s="146"/>
      <c r="M192" s="146"/>
      <c r="N192" s="147"/>
      <c r="O192" s="147"/>
      <c r="AV192" s="148"/>
      <c r="AW192" s="148"/>
    </row>
    <row r="193" spans="1:49" x14ac:dyDescent="0.3">
      <c r="A193" s="149"/>
      <c r="B193" s="149"/>
      <c r="C193" s="149"/>
      <c r="D193" s="149"/>
      <c r="E193" s="149"/>
      <c r="F193" s="149"/>
      <c r="G193" s="149"/>
      <c r="H193" s="299"/>
      <c r="I193" s="149"/>
      <c r="J193" s="149"/>
      <c r="K193" s="146"/>
      <c r="L193" s="146"/>
      <c r="M193" s="146"/>
      <c r="O193" s="147"/>
      <c r="AV193" s="148"/>
      <c r="AW193" s="148"/>
    </row>
    <row r="194" spans="1:49" x14ac:dyDescent="0.3">
      <c r="A194" s="149"/>
      <c r="B194" s="149"/>
      <c r="C194" s="149"/>
      <c r="D194" s="149"/>
      <c r="E194" s="149"/>
      <c r="F194" s="149"/>
      <c r="G194" s="149"/>
      <c r="H194" s="299"/>
      <c r="I194" s="149"/>
      <c r="J194" s="149"/>
      <c r="K194" s="146"/>
      <c r="L194" s="146"/>
      <c r="M194" s="146"/>
      <c r="O194" s="147"/>
      <c r="AV194" s="148"/>
      <c r="AW194" s="148"/>
    </row>
    <row r="195" spans="1:49" x14ac:dyDescent="0.3">
      <c r="A195" s="149"/>
      <c r="B195" s="149"/>
      <c r="C195" s="149"/>
      <c r="D195" s="149"/>
      <c r="E195" s="149"/>
      <c r="F195" s="149"/>
      <c r="G195" s="149"/>
      <c r="H195" s="299"/>
      <c r="I195" s="149"/>
      <c r="J195" s="149"/>
      <c r="K195" s="146"/>
      <c r="L195" s="146"/>
      <c r="M195" s="146"/>
      <c r="O195" s="147"/>
      <c r="AV195" s="148"/>
      <c r="AW195" s="148"/>
    </row>
    <row r="196" spans="1:49" x14ac:dyDescent="0.3">
      <c r="A196" s="149"/>
      <c r="B196" s="149"/>
      <c r="C196" s="149"/>
      <c r="D196" s="149"/>
      <c r="E196" s="149"/>
      <c r="F196" s="149"/>
      <c r="G196" s="149"/>
      <c r="H196" s="299"/>
      <c r="I196" s="149"/>
      <c r="J196" s="149"/>
      <c r="K196" s="146"/>
      <c r="L196" s="146"/>
      <c r="M196" s="146"/>
      <c r="O196" s="147"/>
      <c r="AV196" s="148"/>
      <c r="AW196" s="148"/>
    </row>
    <row r="197" spans="1:49" x14ac:dyDescent="0.3">
      <c r="A197" s="149"/>
      <c r="B197" s="149"/>
      <c r="C197" s="149"/>
      <c r="D197" s="149"/>
      <c r="E197" s="149"/>
      <c r="F197" s="149"/>
      <c r="G197" s="149"/>
      <c r="H197" s="299"/>
      <c r="I197" s="149"/>
      <c r="J197" s="149"/>
      <c r="K197" s="146"/>
      <c r="L197" s="146"/>
      <c r="M197" s="146"/>
      <c r="N197" s="148"/>
      <c r="O197" s="147"/>
      <c r="AV197" s="148"/>
      <c r="AW197" s="148"/>
    </row>
    <row r="198" spans="1:49" x14ac:dyDescent="0.3">
      <c r="A198" s="149"/>
      <c r="B198" s="149"/>
      <c r="C198" s="149"/>
      <c r="D198" s="149"/>
      <c r="E198" s="149"/>
      <c r="F198" s="149"/>
      <c r="G198" s="149"/>
      <c r="H198" s="299"/>
      <c r="I198" s="149"/>
      <c r="J198" s="149"/>
    </row>
    <row r="199" spans="1:49" x14ac:dyDescent="0.3">
      <c r="A199" s="149"/>
      <c r="B199" s="149"/>
      <c r="C199" s="149"/>
      <c r="D199" s="149"/>
      <c r="E199" s="149"/>
      <c r="F199" s="149"/>
      <c r="G199" s="149"/>
      <c r="H199" s="299"/>
      <c r="I199" s="149"/>
      <c r="J199" s="14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69"/>
      <c r="AJ199" s="69"/>
      <c r="AK199" s="69"/>
      <c r="AL199" s="69"/>
      <c r="AM199" s="69"/>
      <c r="AN199" s="69"/>
      <c r="AO199" s="69"/>
      <c r="AP199" s="69"/>
      <c r="AQ199" s="69"/>
      <c r="AR199" s="69"/>
      <c r="AS199" s="69"/>
      <c r="AT199" s="69"/>
      <c r="AU199" s="69"/>
      <c r="AV199" s="148"/>
      <c r="AW199" s="148"/>
    </row>
    <row r="200" spans="1:49" x14ac:dyDescent="0.3">
      <c r="A200" s="149"/>
      <c r="B200" s="149"/>
      <c r="C200" s="149"/>
      <c r="D200" s="149"/>
      <c r="E200" s="149"/>
      <c r="F200" s="149"/>
      <c r="G200" s="149"/>
      <c r="H200" s="299"/>
      <c r="I200" s="149"/>
      <c r="J200" s="149"/>
    </row>
    <row r="201" spans="1:49" x14ac:dyDescent="0.3">
      <c r="A201" s="149"/>
      <c r="B201" s="149"/>
      <c r="C201" s="149"/>
      <c r="D201" s="149"/>
      <c r="E201" s="149"/>
      <c r="F201" s="149"/>
      <c r="G201" s="149"/>
      <c r="H201" s="299"/>
      <c r="I201" s="149"/>
      <c r="J201" s="149"/>
    </row>
    <row r="202" spans="1:49" x14ac:dyDescent="0.3">
      <c r="A202" s="149"/>
      <c r="B202" s="149"/>
      <c r="C202" s="149"/>
      <c r="D202" s="149"/>
      <c r="E202" s="149"/>
      <c r="F202" s="149"/>
      <c r="G202" s="149"/>
      <c r="H202" s="299"/>
      <c r="I202" s="149"/>
      <c r="J202" s="149"/>
    </row>
    <row r="203" spans="1:49" x14ac:dyDescent="0.3">
      <c r="A203" s="149"/>
      <c r="B203" s="149"/>
      <c r="C203" s="149"/>
      <c r="D203" s="149"/>
      <c r="E203" s="149"/>
      <c r="F203" s="149"/>
      <c r="G203" s="149"/>
      <c r="H203" s="299"/>
      <c r="I203" s="149"/>
      <c r="J203" s="149"/>
    </row>
    <row r="204" spans="1:49" x14ac:dyDescent="0.3">
      <c r="A204" s="149"/>
      <c r="B204" s="149"/>
      <c r="C204" s="149"/>
      <c r="D204" s="149"/>
      <c r="E204" s="149"/>
      <c r="F204" s="149"/>
      <c r="G204" s="149"/>
      <c r="H204" s="299"/>
      <c r="I204" s="149"/>
      <c r="J204" s="149"/>
    </row>
    <row r="205" spans="1:49" x14ac:dyDescent="0.3">
      <c r="A205" s="149"/>
      <c r="B205" s="149"/>
      <c r="C205" s="149"/>
      <c r="D205" s="149"/>
      <c r="E205" s="149"/>
      <c r="F205" s="149"/>
      <c r="G205" s="149"/>
      <c r="H205" s="299"/>
      <c r="I205" s="149"/>
      <c r="J205" s="149"/>
    </row>
    <row r="206" spans="1:49" x14ac:dyDescent="0.3">
      <c r="F206" s="149"/>
      <c r="G206" s="149"/>
      <c r="H206" s="299"/>
      <c r="I206" s="149"/>
      <c r="J206" s="149"/>
    </row>
    <row r="207" spans="1:49" x14ac:dyDescent="0.3">
      <c r="I207" s="149"/>
      <c r="J207" s="149"/>
    </row>
    <row r="211" spans="11:13" x14ac:dyDescent="0.3">
      <c r="K211" s="148"/>
      <c r="L211" s="148"/>
      <c r="M211" s="148"/>
    </row>
    <row r="1048535" spans="1:60" x14ac:dyDescent="0.3">
      <c r="P1048535" s="57"/>
    </row>
    <row r="1048543" spans="1:60" s="70" customFormat="1" x14ac:dyDescent="0.3">
      <c r="A1048543" s="148"/>
      <c r="B1048543" s="148"/>
      <c r="C1048543" s="148"/>
      <c r="D1048543" s="148"/>
      <c r="E1048543" s="148"/>
      <c r="F1048543" s="148"/>
      <c r="G1048543" s="148"/>
      <c r="H1048543" s="297"/>
      <c r="I1048543" s="148"/>
      <c r="J1048543" s="148"/>
      <c r="K1048543" s="150"/>
      <c r="L1048543" s="150"/>
      <c r="M1048543" s="150"/>
      <c r="N1048543" s="150"/>
      <c r="O1048543" s="150"/>
      <c r="P1048543" s="148"/>
      <c r="AV1048543" s="69"/>
      <c r="AW1048543" s="69"/>
      <c r="AX1048543" s="148"/>
      <c r="AY1048543" s="148"/>
      <c r="AZ1048543" s="148"/>
      <c r="BA1048543" s="148"/>
      <c r="BB1048543" s="148"/>
      <c r="BC1048543" s="148"/>
      <c r="BD1048543" s="148"/>
      <c r="BE1048543" s="148"/>
      <c r="BF1048543" s="148"/>
      <c r="BG1048543" s="148"/>
      <c r="BH1048543" s="148"/>
    </row>
  </sheetData>
  <mergeCells count="41">
    <mergeCell ref="E43:J43"/>
    <mergeCell ref="A1:P1"/>
    <mergeCell ref="A2:P2"/>
    <mergeCell ref="A6:B6"/>
    <mergeCell ref="A7:P7"/>
    <mergeCell ref="A36:B36"/>
    <mergeCell ref="A37:P37"/>
    <mergeCell ref="E38:J38"/>
    <mergeCell ref="E39:J39"/>
    <mergeCell ref="E40:J40"/>
    <mergeCell ref="E41:J41"/>
    <mergeCell ref="E42:J42"/>
    <mergeCell ref="E55:J55"/>
    <mergeCell ref="B44:J44"/>
    <mergeCell ref="A45:N45"/>
    <mergeCell ref="A46:P46"/>
    <mergeCell ref="E47:J47"/>
    <mergeCell ref="E48:J48"/>
    <mergeCell ref="E49:J49"/>
    <mergeCell ref="E50:J50"/>
    <mergeCell ref="E51:J51"/>
    <mergeCell ref="E52:J52"/>
    <mergeCell ref="E53:J53"/>
    <mergeCell ref="E54:J54"/>
    <mergeCell ref="N68:O68"/>
    <mergeCell ref="A56:J56"/>
    <mergeCell ref="A58:E58"/>
    <mergeCell ref="N58:P58"/>
    <mergeCell ref="N59:O59"/>
    <mergeCell ref="N60:O60"/>
    <mergeCell ref="N61:P62"/>
    <mergeCell ref="N63:P63"/>
    <mergeCell ref="N64:O64"/>
    <mergeCell ref="N65:O65"/>
    <mergeCell ref="N66:O66"/>
    <mergeCell ref="N67:O67"/>
    <mergeCell ref="N69:O69"/>
    <mergeCell ref="N70:O70"/>
    <mergeCell ref="N71:O71"/>
    <mergeCell ref="N72:P72"/>
    <mergeCell ref="N73:O73"/>
  </mergeCells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2171E-C937-468A-A208-CF56296DE5E7}">
  <dimension ref="A1:BH1048544"/>
  <sheetViews>
    <sheetView topLeftCell="E61" zoomScale="59" zoomScaleNormal="59" workbookViewId="0">
      <selection sqref="A1:XFD1048576"/>
    </sheetView>
  </sheetViews>
  <sheetFormatPr defaultColWidth="9.109375" defaultRowHeight="13.8" x14ac:dyDescent="0.3"/>
  <cols>
    <col min="1" max="1" width="57.88671875" style="148" customWidth="1"/>
    <col min="2" max="2" width="8.33203125" style="148" bestFit="1" customWidth="1"/>
    <col min="3" max="3" width="17.33203125" style="148" customWidth="1"/>
    <col min="4" max="4" width="17.109375" style="148" bestFit="1" customWidth="1"/>
    <col min="5" max="5" width="18.33203125" style="148" customWidth="1"/>
    <col min="6" max="6" width="17.109375" style="148" bestFit="1" customWidth="1"/>
    <col min="7" max="7" width="16" style="148" bestFit="1" customWidth="1"/>
    <col min="8" max="8" width="15.88671875" style="297" bestFit="1" customWidth="1"/>
    <col min="9" max="9" width="12.6640625" style="148" customWidth="1"/>
    <col min="10" max="10" width="12.109375" style="148" customWidth="1"/>
    <col min="11" max="11" width="16.77734375" style="150" bestFit="1" customWidth="1"/>
    <col min="12" max="12" width="15.88671875" style="150" bestFit="1" customWidth="1"/>
    <col min="13" max="13" width="17.109375" style="150" bestFit="1" customWidth="1"/>
    <col min="14" max="14" width="130.5546875" style="150" customWidth="1"/>
    <col min="15" max="15" width="8.6640625" style="150" customWidth="1"/>
    <col min="16" max="16" width="16.77734375" style="148" bestFit="1" customWidth="1"/>
    <col min="17" max="18" width="13.109375" style="70" bestFit="1" customWidth="1"/>
    <col min="19" max="47" width="9.109375" style="70"/>
    <col min="48" max="49" width="9.109375" style="69"/>
    <col min="50" max="16384" width="9.109375" style="148"/>
  </cols>
  <sheetData>
    <row r="1" spans="1:42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</row>
    <row r="2" spans="1:42" s="10" customFormat="1" ht="28.5" customHeight="1" x14ac:dyDescent="0.3">
      <c r="A2" s="571" t="s">
        <v>1314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3"/>
    </row>
    <row r="3" spans="1:42" s="10" customFormat="1" ht="33.6" customHeight="1" x14ac:dyDescent="0.3">
      <c r="A3" s="83" t="s">
        <v>3</v>
      </c>
      <c r="B3" s="83" t="s">
        <v>0</v>
      </c>
      <c r="C3" s="83" t="s">
        <v>821</v>
      </c>
      <c r="D3" s="84" t="s">
        <v>1</v>
      </c>
      <c r="E3" s="84" t="s">
        <v>68</v>
      </c>
      <c r="F3" s="84" t="s">
        <v>69</v>
      </c>
      <c r="G3" s="85" t="s">
        <v>2</v>
      </c>
      <c r="H3" s="85" t="s">
        <v>592</v>
      </c>
      <c r="I3" s="84" t="s">
        <v>6</v>
      </c>
      <c r="J3" s="84" t="s">
        <v>7</v>
      </c>
      <c r="K3" s="84" t="s">
        <v>4</v>
      </c>
      <c r="L3" s="84" t="s">
        <v>5</v>
      </c>
      <c r="M3" s="84" t="s">
        <v>70</v>
      </c>
      <c r="N3" s="83" t="s">
        <v>59</v>
      </c>
      <c r="O3" s="86" t="s">
        <v>8</v>
      </c>
      <c r="P3" s="86" t="s">
        <v>10</v>
      </c>
    </row>
    <row r="4" spans="1:42" s="461" customFormat="1" ht="24.6" customHeight="1" x14ac:dyDescent="0.3">
      <c r="A4" s="3"/>
      <c r="C4" s="452"/>
      <c r="D4" s="5">
        <v>0</v>
      </c>
      <c r="E4" s="464">
        <v>0</v>
      </c>
      <c r="F4" s="5">
        <f t="shared" ref="F4" si="0">D4-E4</f>
        <v>0</v>
      </c>
      <c r="G4" s="464">
        <v>0</v>
      </c>
      <c r="H4" s="464">
        <v>0</v>
      </c>
      <c r="I4" s="464">
        <v>0</v>
      </c>
      <c r="J4" s="464">
        <v>0</v>
      </c>
      <c r="K4" s="451">
        <f>SUM(F4:J4)</f>
        <v>0</v>
      </c>
      <c r="L4" s="464">
        <f>60%*(D4+G4)</f>
        <v>0</v>
      </c>
      <c r="M4" s="464">
        <f>K4-L4</f>
        <v>0</v>
      </c>
      <c r="N4" s="5"/>
      <c r="O4" s="3"/>
      <c r="P4" s="3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422"/>
      <c r="AM4" s="423"/>
      <c r="AN4" s="423"/>
      <c r="AO4" s="423"/>
      <c r="AP4" s="423"/>
    </row>
    <row r="5" spans="1:42" s="206" customFormat="1" ht="24.6" customHeight="1" x14ac:dyDescent="0.3">
      <c r="A5" s="195"/>
      <c r="B5" s="454"/>
      <c r="C5" s="454"/>
      <c r="D5" s="196">
        <v>0</v>
      </c>
      <c r="E5" s="460">
        <v>0</v>
      </c>
      <c r="F5" s="196">
        <f>D5-E5</f>
        <v>0</v>
      </c>
      <c r="G5" s="460">
        <v>0</v>
      </c>
      <c r="H5" s="460">
        <v>0</v>
      </c>
      <c r="I5" s="460">
        <v>0</v>
      </c>
      <c r="J5" s="460">
        <v>0</v>
      </c>
      <c r="K5" s="456">
        <f>SUM(F5:J5)</f>
        <v>0</v>
      </c>
      <c r="L5" s="460">
        <f>60%*(D5+G5)</f>
        <v>0</v>
      </c>
      <c r="M5" s="460">
        <f>K5-L5</f>
        <v>0</v>
      </c>
      <c r="N5" s="454"/>
      <c r="O5" s="197"/>
      <c r="P5" s="197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</row>
    <row r="6" spans="1:42" s="10" customFormat="1" ht="25.05" customHeight="1" x14ac:dyDescent="0.3">
      <c r="A6" s="518" t="s">
        <v>4</v>
      </c>
      <c r="B6" s="518"/>
      <c r="C6" s="449"/>
      <c r="D6" s="451">
        <f>SUM(D4:D5)</f>
        <v>0</v>
      </c>
      <c r="E6" s="451">
        <f t="shared" ref="E6:J6" si="1">SUM(E4:E5)</f>
        <v>0</v>
      </c>
      <c r="F6" s="451">
        <f t="shared" si="1"/>
        <v>0</v>
      </c>
      <c r="G6" s="451">
        <f t="shared" si="1"/>
        <v>0</v>
      </c>
      <c r="H6" s="451">
        <f t="shared" si="1"/>
        <v>0</v>
      </c>
      <c r="I6" s="451">
        <f t="shared" si="1"/>
        <v>0</v>
      </c>
      <c r="J6" s="451">
        <f t="shared" si="1"/>
        <v>0</v>
      </c>
      <c r="K6" s="451">
        <f>SUM(K4:K5)</f>
        <v>0</v>
      </c>
      <c r="L6" s="451">
        <f>SUM(L4:L5)</f>
        <v>0</v>
      </c>
      <c r="M6" s="451">
        <f>SUM(M4:M5)</f>
        <v>0</v>
      </c>
      <c r="N6" s="452"/>
      <c r="O6" s="3"/>
      <c r="P6" s="3"/>
    </row>
    <row r="7" spans="1:42" s="10" customFormat="1" ht="25.05" customHeight="1" x14ac:dyDescent="0.3">
      <c r="A7" s="571" t="s">
        <v>1315</v>
      </c>
      <c r="B7" s="572"/>
      <c r="C7" s="572"/>
      <c r="D7" s="572"/>
      <c r="E7" s="572"/>
      <c r="F7" s="572"/>
      <c r="G7" s="572"/>
      <c r="H7" s="572"/>
      <c r="I7" s="572"/>
      <c r="J7" s="572"/>
      <c r="K7" s="572"/>
      <c r="L7" s="572"/>
      <c r="M7" s="572"/>
      <c r="N7" s="572"/>
      <c r="O7" s="572"/>
      <c r="P7" s="573"/>
    </row>
    <row r="8" spans="1:42" s="11" customFormat="1" ht="34.799999999999997" customHeight="1" x14ac:dyDescent="0.3">
      <c r="A8" s="83" t="s">
        <v>3</v>
      </c>
      <c r="B8" s="83" t="s">
        <v>0</v>
      </c>
      <c r="C8" s="83" t="s">
        <v>821</v>
      </c>
      <c r="D8" s="84" t="s">
        <v>1</v>
      </c>
      <c r="E8" s="84" t="s">
        <v>68</v>
      </c>
      <c r="F8" s="84" t="s">
        <v>69</v>
      </c>
      <c r="G8" s="85" t="s">
        <v>2</v>
      </c>
      <c r="H8" s="85" t="s">
        <v>592</v>
      </c>
      <c r="I8" s="84" t="s">
        <v>6</v>
      </c>
      <c r="J8" s="84" t="s">
        <v>7</v>
      </c>
      <c r="K8" s="84" t="s">
        <v>4</v>
      </c>
      <c r="L8" s="84" t="s">
        <v>5</v>
      </c>
      <c r="M8" s="84" t="s">
        <v>70</v>
      </c>
      <c r="N8" s="83" t="s">
        <v>59</v>
      </c>
      <c r="O8" s="86" t="s">
        <v>8</v>
      </c>
      <c r="P8" s="86" t="s">
        <v>10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</row>
    <row r="9" spans="1:42" s="458" customFormat="1" ht="24.6" customHeight="1" x14ac:dyDescent="0.3">
      <c r="A9" s="88" t="s">
        <v>1079</v>
      </c>
      <c r="B9" s="452">
        <v>1</v>
      </c>
      <c r="C9" s="452" t="s">
        <v>830</v>
      </c>
      <c r="D9" s="5">
        <v>637.22</v>
      </c>
      <c r="E9" s="464">
        <v>0</v>
      </c>
      <c r="F9" s="464">
        <f t="shared" ref="F9:F26" si="2">D9-E9</f>
        <v>637.22</v>
      </c>
      <c r="G9" s="5">
        <v>52.23</v>
      </c>
      <c r="H9" s="464">
        <f>(1827.9/27)</f>
        <v>67.7</v>
      </c>
      <c r="I9" s="464">
        <f>'[2]GERAL 2026'!I3</f>
        <v>1.4318262411347515</v>
      </c>
      <c r="J9" s="464">
        <v>0</v>
      </c>
      <c r="K9" s="451">
        <f t="shared" ref="K9:K36" si="3">SUM(F9:J9)</f>
        <v>758.58182624113488</v>
      </c>
      <c r="L9" s="464">
        <f>7%*K9</f>
        <v>53.100727836879443</v>
      </c>
      <c r="M9" s="464">
        <f>(K9-L9)-I9</f>
        <v>704.04927216312069</v>
      </c>
      <c r="N9" s="5" t="s">
        <v>1316</v>
      </c>
      <c r="O9" s="3">
        <v>10</v>
      </c>
      <c r="P9" s="3">
        <v>11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s="96" customFormat="1" ht="26.4" customHeight="1" x14ac:dyDescent="0.3">
      <c r="A10" s="452" t="s">
        <v>1210</v>
      </c>
      <c r="B10" s="461">
        <v>2</v>
      </c>
      <c r="C10" s="452" t="s">
        <v>822</v>
      </c>
      <c r="D10" s="5">
        <f>660</f>
        <v>660</v>
      </c>
      <c r="E10" s="5">
        <v>0</v>
      </c>
      <c r="F10" s="5">
        <f t="shared" si="2"/>
        <v>660</v>
      </c>
      <c r="G10" s="5">
        <f>50</f>
        <v>50</v>
      </c>
      <c r="H10" s="464">
        <f t="shared" ref="H10:H36" si="4">(1827.9/27)</f>
        <v>67.7</v>
      </c>
      <c r="I10" s="464">
        <f>'[2]GERAL 2026'!I4</f>
        <v>1.4318262411347515</v>
      </c>
      <c r="J10" s="5">
        <v>0</v>
      </c>
      <c r="K10" s="451">
        <f t="shared" si="3"/>
        <v>779.13182624113483</v>
      </c>
      <c r="L10" s="464">
        <f>7%*K10</f>
        <v>54.539227836879441</v>
      </c>
      <c r="M10" s="464">
        <f t="shared" ref="M10:M36" si="5">(K10-L10)-I10</f>
        <v>723.16077216312055</v>
      </c>
      <c r="N10" s="452" t="s">
        <v>1101</v>
      </c>
      <c r="O10" s="3">
        <v>10</v>
      </c>
      <c r="P10" s="3">
        <v>11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16"/>
      <c r="AM10" s="17"/>
      <c r="AN10" s="17"/>
      <c r="AO10" s="17"/>
      <c r="AP10" s="17"/>
    </row>
    <row r="11" spans="1:42" s="6" customFormat="1" ht="24.6" customHeight="1" x14ac:dyDescent="0.3">
      <c r="A11" s="452" t="s">
        <v>1005</v>
      </c>
      <c r="B11" s="461">
        <v>3</v>
      </c>
      <c r="C11" s="452" t="s">
        <v>822</v>
      </c>
      <c r="D11" s="5">
        <v>0</v>
      </c>
      <c r="E11" s="5">
        <v>0</v>
      </c>
      <c r="F11" s="5">
        <f t="shared" si="2"/>
        <v>0</v>
      </c>
      <c r="G11" s="5"/>
      <c r="H11" s="464">
        <v>0</v>
      </c>
      <c r="I11" s="464">
        <v>0</v>
      </c>
      <c r="J11" s="5">
        <v>0</v>
      </c>
      <c r="K11" s="451">
        <f t="shared" si="3"/>
        <v>0</v>
      </c>
      <c r="L11" s="464">
        <f>7%*K11</f>
        <v>0</v>
      </c>
      <c r="M11" s="464">
        <f t="shared" si="5"/>
        <v>0</v>
      </c>
      <c r="N11" s="452" t="s">
        <v>179</v>
      </c>
      <c r="O11" s="3">
        <v>10</v>
      </c>
      <c r="P11" s="3">
        <v>11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</row>
    <row r="12" spans="1:42" s="458" customFormat="1" ht="24.6" customHeight="1" x14ac:dyDescent="0.3">
      <c r="A12" s="452" t="s">
        <v>1133</v>
      </c>
      <c r="B12" s="452">
        <v>4</v>
      </c>
      <c r="C12" s="452" t="s">
        <v>829</v>
      </c>
      <c r="D12" s="5">
        <f>660</f>
        <v>660</v>
      </c>
      <c r="E12" s="5">
        <v>0</v>
      </c>
      <c r="F12" s="5">
        <f t="shared" si="2"/>
        <v>660</v>
      </c>
      <c r="G12" s="464">
        <f>50</f>
        <v>50</v>
      </c>
      <c r="H12" s="464">
        <f t="shared" si="4"/>
        <v>67.7</v>
      </c>
      <c r="I12" s="464">
        <f>'[2]GERAL 2026'!I6</f>
        <v>1.4318262411347515</v>
      </c>
      <c r="J12" s="464">
        <v>0</v>
      </c>
      <c r="K12" s="451">
        <f t="shared" si="3"/>
        <v>779.13182624113483</v>
      </c>
      <c r="L12" s="464">
        <f>7%*K12</f>
        <v>54.539227836879441</v>
      </c>
      <c r="M12" s="464">
        <f t="shared" si="5"/>
        <v>723.16077216312055</v>
      </c>
      <c r="N12" s="452" t="s">
        <v>1101</v>
      </c>
      <c r="O12" s="3">
        <v>10</v>
      </c>
      <c r="P12" s="461">
        <v>11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s="458" customFormat="1" ht="24.6" customHeight="1" x14ac:dyDescent="0.3">
      <c r="A13" s="452" t="s">
        <v>744</v>
      </c>
      <c r="B13" s="452">
        <v>5</v>
      </c>
      <c r="C13" s="449" t="s">
        <v>823</v>
      </c>
      <c r="D13" s="5">
        <f>'[2]GERAL 2023'!G7+(6.53784 %*580)</f>
        <v>617.91947200000004</v>
      </c>
      <c r="E13" s="464">
        <v>0</v>
      </c>
      <c r="F13" s="464">
        <f t="shared" si="2"/>
        <v>617.91947200000004</v>
      </c>
      <c r="G13" s="464">
        <f>50</f>
        <v>50</v>
      </c>
      <c r="H13" s="464">
        <f t="shared" si="4"/>
        <v>67.7</v>
      </c>
      <c r="I13" s="464">
        <f>'[2]GERAL 2026'!I7</f>
        <v>1.4318262411347515</v>
      </c>
      <c r="J13" s="464">
        <v>132.78</v>
      </c>
      <c r="K13" s="451">
        <f t="shared" si="3"/>
        <v>869.83129824113485</v>
      </c>
      <c r="L13" s="464">
        <f>7%*K13</f>
        <v>60.888190876879442</v>
      </c>
      <c r="M13" s="464">
        <f t="shared" si="5"/>
        <v>807.51128112312063</v>
      </c>
      <c r="N13" s="452" t="s">
        <v>1103</v>
      </c>
      <c r="O13" s="3">
        <v>10</v>
      </c>
      <c r="P13" s="3">
        <v>11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s="11" customFormat="1" ht="24.6" customHeight="1" x14ac:dyDescent="0.3">
      <c r="A14" s="452" t="s">
        <v>745</v>
      </c>
      <c r="B14" s="452">
        <v>6</v>
      </c>
      <c r="C14" s="449" t="s">
        <v>823</v>
      </c>
      <c r="D14" s="5">
        <f>'[2]GERAL 2023'!G8+(6.53784%*680)</f>
        <v>724.457312</v>
      </c>
      <c r="E14" s="5">
        <v>0</v>
      </c>
      <c r="F14" s="464">
        <f t="shared" si="2"/>
        <v>724.457312</v>
      </c>
      <c r="G14" s="464">
        <v>50</v>
      </c>
      <c r="H14" s="464">
        <f t="shared" si="4"/>
        <v>67.7</v>
      </c>
      <c r="I14" s="464">
        <f>'[2]GERAL 2026'!I8</f>
        <v>2.0045567375886524</v>
      </c>
      <c r="J14" s="464">
        <v>134.09</v>
      </c>
      <c r="K14" s="451">
        <f t="shared" si="3"/>
        <v>978.25186873758878</v>
      </c>
      <c r="L14" s="464">
        <f t="shared" ref="L14:L36" si="6">7%*K14</f>
        <v>68.477630811631215</v>
      </c>
      <c r="M14" s="464">
        <f t="shared" si="5"/>
        <v>907.76968118836885</v>
      </c>
      <c r="N14" s="452" t="s">
        <v>1103</v>
      </c>
      <c r="O14" s="3">
        <v>10</v>
      </c>
      <c r="P14" s="3">
        <v>11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</row>
    <row r="15" spans="1:42" s="458" customFormat="1" ht="24.6" customHeight="1" x14ac:dyDescent="0.3">
      <c r="A15" s="452" t="s">
        <v>1136</v>
      </c>
      <c r="B15" s="452">
        <v>7</v>
      </c>
      <c r="C15" s="452" t="s">
        <v>829</v>
      </c>
      <c r="D15" s="5">
        <f>690</f>
        <v>690</v>
      </c>
      <c r="E15" s="5">
        <v>0</v>
      </c>
      <c r="F15" s="5">
        <f t="shared" si="2"/>
        <v>690</v>
      </c>
      <c r="G15" s="5">
        <v>0</v>
      </c>
      <c r="H15" s="464">
        <f t="shared" si="4"/>
        <v>67.7</v>
      </c>
      <c r="I15" s="464">
        <f>'[2]GERAL 2026'!I9</f>
        <v>1.4318262411347515</v>
      </c>
      <c r="J15" s="5"/>
      <c r="K15" s="451">
        <f t="shared" si="3"/>
        <v>759.13182624113483</v>
      </c>
      <c r="L15" s="464">
        <f>7%*K15</f>
        <v>53.139227836879442</v>
      </c>
      <c r="M15" s="464">
        <f t="shared" si="5"/>
        <v>704.56077216312065</v>
      </c>
      <c r="N15" s="5" t="s">
        <v>618</v>
      </c>
      <c r="O15" s="3">
        <v>10</v>
      </c>
      <c r="P15" s="3">
        <v>11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s="458" customFormat="1" ht="24.6" customHeight="1" x14ac:dyDescent="0.3">
      <c r="A16" s="452" t="s">
        <v>1085</v>
      </c>
      <c r="B16" s="452">
        <v>8</v>
      </c>
      <c r="C16" s="452" t="s">
        <v>830</v>
      </c>
      <c r="D16" s="5">
        <f>668.56</f>
        <v>668.56</v>
      </c>
      <c r="E16" s="464">
        <v>0</v>
      </c>
      <c r="F16" s="5">
        <f t="shared" si="2"/>
        <v>668.56</v>
      </c>
      <c r="G16" s="464">
        <v>0</v>
      </c>
      <c r="H16" s="464">
        <f>(1827.9/27)</f>
        <v>67.7</v>
      </c>
      <c r="I16" s="464">
        <f>'[2]GERAL 2026'!I10</f>
        <v>1.4318262411347515</v>
      </c>
      <c r="J16" s="464">
        <v>0</v>
      </c>
      <c r="K16" s="451">
        <f t="shared" si="3"/>
        <v>737.69182624113478</v>
      </c>
      <c r="L16" s="464">
        <f>7%*K16</f>
        <v>51.638427836879437</v>
      </c>
      <c r="M16" s="464">
        <f t="shared" si="5"/>
        <v>684.6215721631205</v>
      </c>
      <c r="N16" s="5" t="s">
        <v>618</v>
      </c>
      <c r="O16" s="3">
        <v>10</v>
      </c>
      <c r="P16" s="3">
        <v>11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7" s="458" customFormat="1" ht="24.6" customHeight="1" x14ac:dyDescent="0.3">
      <c r="A17" s="452" t="s">
        <v>852</v>
      </c>
      <c r="B17" s="452">
        <v>9</v>
      </c>
      <c r="C17" s="452" t="s">
        <v>828</v>
      </c>
      <c r="D17" s="5">
        <f>681.98</f>
        <v>681.98</v>
      </c>
      <c r="E17" s="464">
        <v>0</v>
      </c>
      <c r="F17" s="5">
        <f t="shared" si="2"/>
        <v>681.98</v>
      </c>
      <c r="G17" s="464">
        <v>0</v>
      </c>
      <c r="H17" s="464">
        <f t="shared" si="4"/>
        <v>67.7</v>
      </c>
      <c r="I17" s="464">
        <f>'[2]GERAL 2026'!I11</f>
        <v>1.4318262411347515</v>
      </c>
      <c r="J17" s="464">
        <v>0</v>
      </c>
      <c r="K17" s="451">
        <f t="shared" si="3"/>
        <v>751.11182624113485</v>
      </c>
      <c r="L17" s="464">
        <f>7%*K17</f>
        <v>52.577827836879443</v>
      </c>
      <c r="M17" s="464">
        <f t="shared" si="5"/>
        <v>697.1021721631206</v>
      </c>
      <c r="N17" s="452" t="s">
        <v>618</v>
      </c>
      <c r="O17" s="125">
        <v>10</v>
      </c>
      <c r="P17" s="3">
        <v>11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7" s="69" customFormat="1" ht="24.6" customHeight="1" x14ac:dyDescent="0.3">
      <c r="A18" s="461" t="s">
        <v>739</v>
      </c>
      <c r="B18" s="461">
        <v>10</v>
      </c>
      <c r="C18" s="461" t="s">
        <v>825</v>
      </c>
      <c r="D18" s="5">
        <f>588.62</f>
        <v>588.62</v>
      </c>
      <c r="E18" s="464">
        <v>0</v>
      </c>
      <c r="F18" s="5">
        <f t="shared" si="2"/>
        <v>588.62</v>
      </c>
      <c r="G18" s="464">
        <v>26.76</v>
      </c>
      <c r="H18" s="464">
        <f t="shared" si="4"/>
        <v>67.7</v>
      </c>
      <c r="I18" s="464">
        <f>'[2]GERAL 2026'!I12</f>
        <v>1.4318262411347515</v>
      </c>
      <c r="J18" s="464">
        <v>0</v>
      </c>
      <c r="K18" s="451">
        <f t="shared" si="3"/>
        <v>684.51182624113483</v>
      </c>
      <c r="L18" s="464">
        <f t="shared" si="6"/>
        <v>47.915827836879444</v>
      </c>
      <c r="M18" s="464">
        <f t="shared" si="5"/>
        <v>635.16417216312061</v>
      </c>
      <c r="N18" s="5" t="s">
        <v>1100</v>
      </c>
      <c r="O18" s="3">
        <v>10</v>
      </c>
      <c r="P18" s="461">
        <v>11</v>
      </c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</row>
    <row r="19" spans="1:47" s="69" customFormat="1" ht="24.6" customHeight="1" x14ac:dyDescent="0.3">
      <c r="A19" s="461" t="s">
        <v>1192</v>
      </c>
      <c r="B19" s="461">
        <v>11</v>
      </c>
      <c r="C19" s="461" t="s">
        <v>825</v>
      </c>
      <c r="D19" s="464">
        <f>660</f>
        <v>660</v>
      </c>
      <c r="E19" s="464">
        <v>0</v>
      </c>
      <c r="F19" s="5">
        <f t="shared" si="2"/>
        <v>660</v>
      </c>
      <c r="G19" s="464">
        <f>25</f>
        <v>25</v>
      </c>
      <c r="H19" s="464">
        <f t="shared" si="4"/>
        <v>67.7</v>
      </c>
      <c r="I19" s="464">
        <f>'[2]GERAL 2026'!I13</f>
        <v>1.4318262411347515</v>
      </c>
      <c r="J19" s="464">
        <v>0</v>
      </c>
      <c r="K19" s="451">
        <f t="shared" si="3"/>
        <v>754.13182624113483</v>
      </c>
      <c r="L19" s="464">
        <f>7%*K19</f>
        <v>52.789227836879441</v>
      </c>
      <c r="M19" s="464">
        <f t="shared" si="5"/>
        <v>699.91077216312055</v>
      </c>
      <c r="N19" s="5" t="s">
        <v>1100</v>
      </c>
      <c r="O19" s="3">
        <v>10</v>
      </c>
      <c r="P19" s="461">
        <v>11</v>
      </c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</row>
    <row r="20" spans="1:47" s="458" customFormat="1" ht="24" customHeight="1" x14ac:dyDescent="0.3">
      <c r="A20" s="452" t="s">
        <v>1087</v>
      </c>
      <c r="B20" s="452">
        <v>12</v>
      </c>
      <c r="C20" s="452" t="s">
        <v>830</v>
      </c>
      <c r="D20" s="5">
        <v>637.22</v>
      </c>
      <c r="E20" s="464">
        <v>0</v>
      </c>
      <c r="F20" s="464">
        <f t="shared" si="2"/>
        <v>637.22</v>
      </c>
      <c r="G20" s="5">
        <v>52.23</v>
      </c>
      <c r="H20" s="464">
        <f t="shared" si="4"/>
        <v>67.7</v>
      </c>
      <c r="I20" s="464">
        <f>'[2]GERAL 2026'!I14</f>
        <v>1.4318262411347515</v>
      </c>
      <c r="J20" s="5">
        <v>0</v>
      </c>
      <c r="K20" s="451">
        <f t="shared" si="3"/>
        <v>758.58182624113488</v>
      </c>
      <c r="L20" s="464">
        <f t="shared" si="6"/>
        <v>53.100727836879443</v>
      </c>
      <c r="M20" s="464">
        <f t="shared" si="5"/>
        <v>704.04927216312069</v>
      </c>
      <c r="N20" s="5" t="s">
        <v>1101</v>
      </c>
      <c r="O20" s="3">
        <v>10</v>
      </c>
      <c r="P20" s="3">
        <v>11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pans="1:47" s="11" customFormat="1" ht="24.6" customHeight="1" x14ac:dyDescent="0.3">
      <c r="A21" s="452" t="s">
        <v>756</v>
      </c>
      <c r="B21" s="452">
        <v>13</v>
      </c>
      <c r="C21" s="452" t="s">
        <v>827</v>
      </c>
      <c r="D21" s="5">
        <v>596.77</v>
      </c>
      <c r="E21" s="5">
        <v>0</v>
      </c>
      <c r="F21" s="5">
        <f t="shared" si="2"/>
        <v>596.77</v>
      </c>
      <c r="G21" s="464">
        <v>0</v>
      </c>
      <c r="H21" s="464">
        <f t="shared" si="4"/>
        <v>67.7</v>
      </c>
      <c r="I21" s="464">
        <f>'[2]GERAL 2026'!I15</f>
        <v>1.4318262411347515</v>
      </c>
      <c r="J21" s="464">
        <v>0</v>
      </c>
      <c r="K21" s="451">
        <f t="shared" si="3"/>
        <v>665.90182624113481</v>
      </c>
      <c r="L21" s="464">
        <f t="shared" si="6"/>
        <v>46.613127836879443</v>
      </c>
      <c r="M21" s="464">
        <f t="shared" si="5"/>
        <v>617.85687216312056</v>
      </c>
      <c r="N21" s="452" t="s">
        <v>618</v>
      </c>
      <c r="O21" s="3">
        <v>10</v>
      </c>
      <c r="P21" s="3">
        <v>11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</row>
    <row r="22" spans="1:47" s="69" customFormat="1" ht="24.6" customHeight="1" x14ac:dyDescent="0.3">
      <c r="A22" s="3" t="s">
        <v>1282</v>
      </c>
      <c r="B22" s="461">
        <v>14</v>
      </c>
      <c r="C22" s="452" t="s">
        <v>828</v>
      </c>
      <c r="D22" s="5">
        <f>680/31*8</f>
        <v>175.48387096774192</v>
      </c>
      <c r="E22" s="464">
        <v>0</v>
      </c>
      <c r="F22" s="5">
        <f t="shared" si="2"/>
        <v>175.48387096774192</v>
      </c>
      <c r="G22" s="464">
        <f>50/31*8</f>
        <v>12.903225806451612</v>
      </c>
      <c r="H22" s="464">
        <f>(1827.9/27)/31*8</f>
        <v>17.470967741935485</v>
      </c>
      <c r="I22" s="464">
        <f>'[2]GERAL 2026'!I16/31*8</f>
        <v>0.3695035460992907</v>
      </c>
      <c r="J22" s="464">
        <v>0</v>
      </c>
      <c r="K22" s="451">
        <f t="shared" si="3"/>
        <v>206.2275680622283</v>
      </c>
      <c r="L22" s="464">
        <f t="shared" si="6"/>
        <v>14.435929764355983</v>
      </c>
      <c r="M22" s="464">
        <f t="shared" si="5"/>
        <v>191.42213475177303</v>
      </c>
      <c r="N22" s="5" t="s">
        <v>1317</v>
      </c>
      <c r="O22" s="3">
        <v>10</v>
      </c>
      <c r="P22" s="461">
        <v>11</v>
      </c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</row>
    <row r="23" spans="1:47" s="69" customFormat="1" ht="24.6" customHeight="1" x14ac:dyDescent="0.3">
      <c r="A23" s="117" t="s">
        <v>1318</v>
      </c>
      <c r="B23" s="461">
        <v>14</v>
      </c>
      <c r="C23" s="449" t="s">
        <v>823</v>
      </c>
      <c r="D23" s="5">
        <f>680/31*9</f>
        <v>197.41935483870967</v>
      </c>
      <c r="E23" s="464">
        <v>0</v>
      </c>
      <c r="F23" s="5">
        <f t="shared" si="2"/>
        <v>197.41935483870967</v>
      </c>
      <c r="G23" s="464">
        <f>25/31*9</f>
        <v>7.258064516129032</v>
      </c>
      <c r="H23" s="464">
        <f>(1827.9/27)/31*9</f>
        <v>19.654838709677421</v>
      </c>
      <c r="I23" s="464">
        <f>'[2]GERAL 2026'!I34/31*9</f>
        <v>0.41569148936170203</v>
      </c>
      <c r="J23" s="464">
        <v>134.09</v>
      </c>
      <c r="K23" s="451">
        <f t="shared" si="3"/>
        <v>358.83794955387782</v>
      </c>
      <c r="L23" s="464">
        <f t="shared" si="6"/>
        <v>25.118656468771452</v>
      </c>
      <c r="M23" s="464">
        <f t="shared" si="5"/>
        <v>333.30360159574468</v>
      </c>
      <c r="N23" s="5" t="s">
        <v>1319</v>
      </c>
      <c r="O23" s="3">
        <v>10</v>
      </c>
      <c r="P23" s="461">
        <v>11</v>
      </c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</row>
    <row r="24" spans="1:47" s="6" customFormat="1" ht="24.6" customHeight="1" x14ac:dyDescent="0.3">
      <c r="A24" s="452" t="s">
        <v>748</v>
      </c>
      <c r="B24" s="452">
        <v>15</v>
      </c>
      <c r="C24" s="452" t="s">
        <v>827</v>
      </c>
      <c r="D24" s="5">
        <v>737.83</v>
      </c>
      <c r="E24" s="464">
        <v>0</v>
      </c>
      <c r="F24" s="5">
        <f t="shared" si="2"/>
        <v>737.83</v>
      </c>
      <c r="G24" s="464">
        <v>27.13</v>
      </c>
      <c r="H24" s="464">
        <f t="shared" si="4"/>
        <v>67.7</v>
      </c>
      <c r="I24" s="464">
        <f>'[2]GERAL 2026'!I17</f>
        <v>2.0045567375886524</v>
      </c>
      <c r="J24" s="464">
        <v>0</v>
      </c>
      <c r="K24" s="451">
        <f t="shared" si="3"/>
        <v>834.66455673758878</v>
      </c>
      <c r="L24" s="464">
        <f t="shared" si="6"/>
        <v>58.426518971631218</v>
      </c>
      <c r="M24" s="464">
        <f t="shared" si="5"/>
        <v>774.23348102836883</v>
      </c>
      <c r="N24" s="452" t="s">
        <v>1100</v>
      </c>
      <c r="O24" s="3">
        <v>10</v>
      </c>
      <c r="P24" s="461">
        <v>11</v>
      </c>
      <c r="Q24" s="9"/>
      <c r="R24" s="9"/>
      <c r="S24" s="9"/>
      <c r="T24" s="9"/>
      <c r="U24" s="9"/>
      <c r="V24" s="9"/>
      <c r="W24" s="9"/>
      <c r="X24" s="9"/>
      <c r="Y24" s="9"/>
    </row>
    <row r="25" spans="1:47" s="11" customFormat="1" ht="24.6" customHeight="1" x14ac:dyDescent="0.3">
      <c r="A25" s="3" t="s">
        <v>1195</v>
      </c>
      <c r="B25" s="3">
        <v>16</v>
      </c>
      <c r="C25" s="461" t="s">
        <v>825</v>
      </c>
      <c r="D25" s="5">
        <f>690</f>
        <v>690</v>
      </c>
      <c r="E25" s="464">
        <v>0</v>
      </c>
      <c r="F25" s="5">
        <f>D25-E25</f>
        <v>690</v>
      </c>
      <c r="G25" s="464">
        <f>50</f>
        <v>50</v>
      </c>
      <c r="H25" s="464">
        <f t="shared" si="4"/>
        <v>67.7</v>
      </c>
      <c r="I25" s="464">
        <f>'[2]GERAL 2026'!I18</f>
        <v>1.4318262411347515</v>
      </c>
      <c r="J25" s="464">
        <v>0</v>
      </c>
      <c r="K25" s="451">
        <f t="shared" si="3"/>
        <v>809.13182624113483</v>
      </c>
      <c r="L25" s="464">
        <f t="shared" si="6"/>
        <v>56.639227836879442</v>
      </c>
      <c r="M25" s="464">
        <f t="shared" si="5"/>
        <v>751.06077216312065</v>
      </c>
      <c r="N25" s="5" t="s">
        <v>1101</v>
      </c>
      <c r="O25" s="3">
        <v>10</v>
      </c>
      <c r="P25" s="3">
        <v>11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</row>
    <row r="26" spans="1:47" s="11" customFormat="1" ht="24.6" customHeight="1" x14ac:dyDescent="0.3">
      <c r="A26" s="88" t="s">
        <v>1029</v>
      </c>
      <c r="B26" s="88">
        <v>17</v>
      </c>
      <c r="C26" s="88" t="s">
        <v>824</v>
      </c>
      <c r="D26" s="5">
        <f>628.06</f>
        <v>628.05999999999995</v>
      </c>
      <c r="E26" s="464">
        <v>0</v>
      </c>
      <c r="F26" s="5">
        <f t="shared" si="2"/>
        <v>628.05999999999995</v>
      </c>
      <c r="G26" s="464">
        <v>51.48</v>
      </c>
      <c r="H26" s="464">
        <f t="shared" si="4"/>
        <v>67.7</v>
      </c>
      <c r="I26" s="464">
        <f>'[2]GERAL 2026'!I19</f>
        <v>1.4318262411347515</v>
      </c>
      <c r="J26" s="464">
        <v>0</v>
      </c>
      <c r="K26" s="451">
        <f t="shared" si="3"/>
        <v>748.6718262411348</v>
      </c>
      <c r="L26" s="464">
        <f>7%*K26</f>
        <v>52.407027836879443</v>
      </c>
      <c r="M26" s="464">
        <f t="shared" si="5"/>
        <v>694.83297216312053</v>
      </c>
      <c r="N26" s="452" t="s">
        <v>1101</v>
      </c>
      <c r="O26" s="3">
        <v>10</v>
      </c>
      <c r="P26" s="3">
        <v>11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 spans="1:47" s="11" customFormat="1" ht="24.6" customHeight="1" x14ac:dyDescent="0.3">
      <c r="A27" s="88" t="s">
        <v>1030</v>
      </c>
      <c r="B27" s="452">
        <v>18</v>
      </c>
      <c r="C27" s="88" t="s">
        <v>824</v>
      </c>
      <c r="D27" s="5">
        <v>658.95</v>
      </c>
      <c r="E27" s="464">
        <v>0</v>
      </c>
      <c r="F27" s="5">
        <f>D27-E27</f>
        <v>658.95</v>
      </c>
      <c r="G27" s="464">
        <v>0</v>
      </c>
      <c r="H27" s="464">
        <f t="shared" si="4"/>
        <v>67.7</v>
      </c>
      <c r="I27" s="464">
        <f>'[2]GERAL 2026'!I20</f>
        <v>1.4318262411347515</v>
      </c>
      <c r="J27" s="464">
        <v>0</v>
      </c>
      <c r="K27" s="451">
        <f t="shared" si="3"/>
        <v>728.08182624113488</v>
      </c>
      <c r="L27" s="464">
        <f t="shared" si="6"/>
        <v>50.965727836879445</v>
      </c>
      <c r="M27" s="464">
        <f t="shared" si="5"/>
        <v>675.68427216312068</v>
      </c>
      <c r="N27" s="452" t="s">
        <v>618</v>
      </c>
      <c r="O27" s="3">
        <v>10</v>
      </c>
      <c r="P27" s="3">
        <v>11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 spans="1:47" s="11" customFormat="1" ht="24.6" customHeight="1" x14ac:dyDescent="0.3">
      <c r="A28" s="452" t="s">
        <v>1012</v>
      </c>
      <c r="B28" s="452">
        <v>19</v>
      </c>
      <c r="C28" s="452" t="s">
        <v>822</v>
      </c>
      <c r="D28" s="5">
        <f>605.44</f>
        <v>605.44000000000005</v>
      </c>
      <c r="E28" s="464">
        <v>0</v>
      </c>
      <c r="F28" s="5">
        <f>(D28-E28)</f>
        <v>605.44000000000005</v>
      </c>
      <c r="G28" s="464">
        <v>52.19</v>
      </c>
      <c r="H28" s="464">
        <f t="shared" si="4"/>
        <v>67.7</v>
      </c>
      <c r="I28" s="464">
        <f>'[2]GERAL 2026'!I21</f>
        <v>1.4318262411347515</v>
      </c>
      <c r="J28" s="464">
        <v>0</v>
      </c>
      <c r="K28" s="451">
        <f t="shared" si="3"/>
        <v>726.76182624113494</v>
      </c>
      <c r="L28" s="464">
        <f t="shared" si="6"/>
        <v>50.873327836879447</v>
      </c>
      <c r="M28" s="464">
        <f t="shared" si="5"/>
        <v>674.45667216312074</v>
      </c>
      <c r="N28" s="452" t="s">
        <v>1101</v>
      </c>
      <c r="O28" s="125">
        <v>10</v>
      </c>
      <c r="P28" s="3">
        <v>11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 spans="1:47" s="11" customFormat="1" ht="24" customHeight="1" x14ac:dyDescent="0.3">
      <c r="A29" s="88" t="s">
        <v>1214</v>
      </c>
      <c r="B29" s="452">
        <v>20</v>
      </c>
      <c r="C29" s="452" t="s">
        <v>822</v>
      </c>
      <c r="D29" s="5">
        <f>660</f>
        <v>660</v>
      </c>
      <c r="E29" s="464">
        <v>0</v>
      </c>
      <c r="F29" s="5">
        <f t="shared" ref="F29:F36" si="7">D29-E29</f>
        <v>660</v>
      </c>
      <c r="G29" s="464">
        <f>50</f>
        <v>50</v>
      </c>
      <c r="H29" s="464">
        <f t="shared" si="4"/>
        <v>67.7</v>
      </c>
      <c r="I29" s="464">
        <f>'[2]GERAL 2026'!I22</f>
        <v>1.4318262411347515</v>
      </c>
      <c r="J29" s="464">
        <v>0</v>
      </c>
      <c r="K29" s="451">
        <f t="shared" si="3"/>
        <v>779.13182624113483</v>
      </c>
      <c r="L29" s="464">
        <f t="shared" si="6"/>
        <v>54.539227836879441</v>
      </c>
      <c r="M29" s="464">
        <f t="shared" si="5"/>
        <v>723.16077216312055</v>
      </c>
      <c r="N29" s="452" t="s">
        <v>1101</v>
      </c>
      <c r="O29" s="125">
        <v>10</v>
      </c>
      <c r="P29" s="3">
        <v>11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</row>
    <row r="30" spans="1:47" s="11" customFormat="1" ht="25.2" customHeight="1" x14ac:dyDescent="0.3">
      <c r="A30" s="88" t="s">
        <v>788</v>
      </c>
      <c r="B30" s="452">
        <v>21</v>
      </c>
      <c r="C30" s="452" t="s">
        <v>822</v>
      </c>
      <c r="D30" s="5">
        <f>620.28</f>
        <v>620.28</v>
      </c>
      <c r="E30" s="464">
        <v>0</v>
      </c>
      <c r="F30" s="5">
        <f t="shared" si="7"/>
        <v>620.28</v>
      </c>
      <c r="G30" s="464">
        <v>26.1</v>
      </c>
      <c r="H30" s="464">
        <f t="shared" si="4"/>
        <v>67.7</v>
      </c>
      <c r="I30" s="464">
        <f>'[2]GERAL 2026'!I23</f>
        <v>1.4318262411347515</v>
      </c>
      <c r="J30" s="464">
        <v>0</v>
      </c>
      <c r="K30" s="451">
        <f t="shared" si="3"/>
        <v>715.51182624113483</v>
      </c>
      <c r="L30" s="464">
        <f t="shared" si="6"/>
        <v>50.085827836879446</v>
      </c>
      <c r="M30" s="464">
        <f t="shared" si="5"/>
        <v>663.99417216312054</v>
      </c>
      <c r="N30" s="452" t="s">
        <v>1100</v>
      </c>
      <c r="O30" s="125">
        <v>10</v>
      </c>
      <c r="P30" s="3">
        <v>11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</row>
    <row r="31" spans="1:47" s="11" customFormat="1" ht="24.6" customHeight="1" x14ac:dyDescent="0.3">
      <c r="A31" s="424" t="s">
        <v>950</v>
      </c>
      <c r="B31" s="71">
        <v>22</v>
      </c>
      <c r="C31" s="71" t="s">
        <v>951</v>
      </c>
      <c r="D31" s="230">
        <v>662.35</v>
      </c>
      <c r="E31" s="72">
        <v>0</v>
      </c>
      <c r="F31" s="230">
        <f t="shared" si="7"/>
        <v>662.35</v>
      </c>
      <c r="G31" s="72">
        <v>0</v>
      </c>
      <c r="H31" s="464">
        <f t="shared" si="4"/>
        <v>67.7</v>
      </c>
      <c r="I31" s="72">
        <f>'[2]GERAL 2026'!I24</f>
        <v>1.4318262411347515</v>
      </c>
      <c r="J31" s="72">
        <v>0</v>
      </c>
      <c r="K31" s="112">
        <f t="shared" si="3"/>
        <v>731.48182624113485</v>
      </c>
      <c r="L31" s="72">
        <f>7%*K31</f>
        <v>51.203727836879445</v>
      </c>
      <c r="M31" s="464">
        <f t="shared" si="5"/>
        <v>678.8462721631206</v>
      </c>
      <c r="N31" s="71" t="s">
        <v>618</v>
      </c>
      <c r="O31" s="138">
        <v>10</v>
      </c>
      <c r="P31" s="98">
        <v>11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</row>
    <row r="32" spans="1:47" s="452" customFormat="1" ht="24.6" customHeight="1" x14ac:dyDescent="0.3">
      <c r="A32" s="88" t="s">
        <v>1169</v>
      </c>
      <c r="B32" s="452">
        <v>23</v>
      </c>
      <c r="C32" s="452" t="s">
        <v>827</v>
      </c>
      <c r="D32" s="5">
        <f>660</f>
        <v>660</v>
      </c>
      <c r="E32" s="464">
        <v>0</v>
      </c>
      <c r="F32" s="5">
        <f t="shared" si="7"/>
        <v>660</v>
      </c>
      <c r="G32" s="464">
        <f>(50+25)</f>
        <v>75</v>
      </c>
      <c r="H32" s="464">
        <f t="shared" si="4"/>
        <v>67.7</v>
      </c>
      <c r="I32" s="464">
        <f>'[2]GERAL 2026'!I25</f>
        <v>1.4318262411347515</v>
      </c>
      <c r="J32" s="464">
        <v>0</v>
      </c>
      <c r="K32" s="451">
        <f t="shared" si="3"/>
        <v>804.13182624113483</v>
      </c>
      <c r="L32" s="464">
        <f>7%*K32</f>
        <v>56.289227836879441</v>
      </c>
      <c r="M32" s="464">
        <f t="shared" si="5"/>
        <v>746.41077216312055</v>
      </c>
      <c r="N32" s="452" t="s">
        <v>1320</v>
      </c>
      <c r="O32" s="3">
        <v>10</v>
      </c>
      <c r="P32" s="3">
        <v>11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</row>
    <row r="33" spans="1:42" s="96" customFormat="1" ht="25.2" customHeight="1" x14ac:dyDescent="0.3">
      <c r="A33" s="452" t="s">
        <v>1171</v>
      </c>
      <c r="B33" s="452">
        <v>24</v>
      </c>
      <c r="C33" s="452" t="s">
        <v>827</v>
      </c>
      <c r="D33" s="5">
        <f>740</f>
        <v>740</v>
      </c>
      <c r="E33" s="464">
        <v>0</v>
      </c>
      <c r="F33" s="5">
        <f>D33-E33</f>
        <v>740</v>
      </c>
      <c r="G33" s="464">
        <f>50</f>
        <v>50</v>
      </c>
      <c r="H33" s="464">
        <f t="shared" si="4"/>
        <v>67.7</v>
      </c>
      <c r="I33" s="464">
        <f>'[2]GERAL 2026'!I26</f>
        <v>2.0045567375886524</v>
      </c>
      <c r="J33" s="464">
        <v>0</v>
      </c>
      <c r="K33" s="451">
        <f t="shared" si="3"/>
        <v>859.70455673758875</v>
      </c>
      <c r="L33" s="464">
        <f>7%*K33</f>
        <v>60.179318971631218</v>
      </c>
      <c r="M33" s="464">
        <f t="shared" si="5"/>
        <v>797.52068102836881</v>
      </c>
      <c r="N33" s="452" t="s">
        <v>1101</v>
      </c>
      <c r="O33" s="3">
        <v>10</v>
      </c>
      <c r="P33" s="3">
        <v>11</v>
      </c>
      <c r="Q33" s="17"/>
      <c r="R33" s="17"/>
      <c r="S33" s="17"/>
      <c r="T33" s="17"/>
      <c r="U33" s="17"/>
      <c r="V33" s="17"/>
      <c r="W33" s="17"/>
      <c r="X33" s="17"/>
      <c r="Y33" s="17"/>
    </row>
    <row r="34" spans="1:42" s="6" customFormat="1" ht="24.6" customHeight="1" x14ac:dyDescent="0.3">
      <c r="A34" s="11" t="s">
        <v>1007</v>
      </c>
      <c r="B34" s="425">
        <v>25</v>
      </c>
      <c r="C34" s="425" t="s">
        <v>822</v>
      </c>
      <c r="D34" s="426">
        <v>668.07</v>
      </c>
      <c r="E34" s="427">
        <v>0</v>
      </c>
      <c r="F34" s="426">
        <f t="shared" si="7"/>
        <v>668.07</v>
      </c>
      <c r="G34" s="427">
        <v>26.1</v>
      </c>
      <c r="H34" s="464">
        <f t="shared" si="4"/>
        <v>67.7</v>
      </c>
      <c r="I34" s="427">
        <f>'[2]GERAL 2026'!I27</f>
        <v>1.4318262411347515</v>
      </c>
      <c r="J34" s="427">
        <v>0</v>
      </c>
      <c r="K34" s="428">
        <f t="shared" si="3"/>
        <v>763.3018262411349</v>
      </c>
      <c r="L34" s="427">
        <f t="shared" si="6"/>
        <v>53.431127836879448</v>
      </c>
      <c r="M34" s="464">
        <f t="shared" si="5"/>
        <v>708.43887216312066</v>
      </c>
      <c r="N34" s="425" t="s">
        <v>1100</v>
      </c>
      <c r="O34" s="429">
        <v>10</v>
      </c>
      <c r="P34" s="430">
        <v>11</v>
      </c>
      <c r="Q34" s="9"/>
      <c r="R34" s="9"/>
      <c r="S34" s="9"/>
      <c r="T34" s="9"/>
      <c r="U34" s="9"/>
      <c r="V34" s="9"/>
      <c r="W34" s="9"/>
      <c r="X34" s="9"/>
      <c r="Y34" s="9"/>
    </row>
    <row r="35" spans="1:42" s="11" customFormat="1" ht="26.4" customHeight="1" x14ac:dyDescent="0.3">
      <c r="A35" s="88" t="s">
        <v>1252</v>
      </c>
      <c r="B35" s="452">
        <v>26</v>
      </c>
      <c r="C35" s="452" t="s">
        <v>1253</v>
      </c>
      <c r="D35" s="5">
        <f>660</f>
        <v>660</v>
      </c>
      <c r="E35" s="464">
        <v>0</v>
      </c>
      <c r="F35" s="5">
        <f t="shared" si="7"/>
        <v>660</v>
      </c>
      <c r="G35" s="464">
        <v>0</v>
      </c>
      <c r="H35" s="464">
        <f t="shared" si="4"/>
        <v>67.7</v>
      </c>
      <c r="I35" s="464">
        <f>'[2]GERAL 2026'!I28</f>
        <v>1.4318262411347515</v>
      </c>
      <c r="J35" s="464">
        <v>0</v>
      </c>
      <c r="K35" s="451">
        <f t="shared" si="3"/>
        <v>729.13182624113483</v>
      </c>
      <c r="L35" s="464">
        <f>7%*K35</f>
        <v>51.039227836879441</v>
      </c>
      <c r="M35" s="464">
        <f t="shared" si="5"/>
        <v>676.66077216312055</v>
      </c>
      <c r="N35" s="452" t="s">
        <v>618</v>
      </c>
      <c r="O35" s="3">
        <v>10</v>
      </c>
      <c r="P35" s="3">
        <v>11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 spans="1:42" s="11" customFormat="1" ht="24.6" customHeight="1" x14ac:dyDescent="0.3">
      <c r="A36" s="88" t="s">
        <v>752</v>
      </c>
      <c r="B36" s="452">
        <v>27</v>
      </c>
      <c r="C36" s="71" t="s">
        <v>827</v>
      </c>
      <c r="D36" s="230">
        <v>629.32000000000005</v>
      </c>
      <c r="E36" s="72">
        <v>0</v>
      </c>
      <c r="F36" s="5">
        <f t="shared" si="7"/>
        <v>629.32000000000005</v>
      </c>
      <c r="G36" s="72">
        <v>0</v>
      </c>
      <c r="H36" s="464">
        <f t="shared" si="4"/>
        <v>67.7</v>
      </c>
      <c r="I36" s="72">
        <f>'[2]GERAL 2026'!I29</f>
        <v>1.4318262411347515</v>
      </c>
      <c r="J36" s="72">
        <v>0</v>
      </c>
      <c r="K36" s="451">
        <f t="shared" si="3"/>
        <v>698.45182624113488</v>
      </c>
      <c r="L36" s="464">
        <f t="shared" si="6"/>
        <v>48.891627836879444</v>
      </c>
      <c r="M36" s="464">
        <f t="shared" si="5"/>
        <v>648.12837216312062</v>
      </c>
      <c r="N36" s="452" t="s">
        <v>618</v>
      </c>
      <c r="O36" s="3">
        <v>10</v>
      </c>
      <c r="P36" s="3">
        <v>11</v>
      </c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</row>
    <row r="37" spans="1:42" s="206" customFormat="1" ht="25.05" customHeight="1" x14ac:dyDescent="0.3">
      <c r="A37" s="584" t="s">
        <v>4</v>
      </c>
      <c r="B37" s="584"/>
      <c r="C37" s="463"/>
      <c r="D37" s="456">
        <f>SUM(D9:D36)</f>
        <v>16815.950009806453</v>
      </c>
      <c r="E37" s="456">
        <f t="shared" ref="E37:M37" si="8">SUM(E9:E36)</f>
        <v>0</v>
      </c>
      <c r="F37" s="456">
        <f t="shared" si="8"/>
        <v>16815.950009806453</v>
      </c>
      <c r="G37" s="456">
        <f t="shared" si="8"/>
        <v>784.38129032258075</v>
      </c>
      <c r="H37" s="456">
        <f>SUM(H9:H36)</f>
        <v>1729.6258064516137</v>
      </c>
      <c r="I37" s="456">
        <f>SUM(I9:I36)</f>
        <v>38.29904255319147</v>
      </c>
      <c r="J37" s="456">
        <f>SUM(J9:J36)</f>
        <v>400.96000000000004</v>
      </c>
      <c r="K37" s="456">
        <f>SUM(K9:K36)</f>
        <v>19769.216149133841</v>
      </c>
      <c r="L37" s="456">
        <f t="shared" si="8"/>
        <v>1383.8451304393686</v>
      </c>
      <c r="M37" s="456">
        <f t="shared" si="8"/>
        <v>18347.071976141269</v>
      </c>
      <c r="N37" s="454"/>
      <c r="O37" s="197"/>
      <c r="P37" s="197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  <c r="AC37" s="205"/>
      <c r="AD37" s="205"/>
      <c r="AE37" s="205"/>
      <c r="AF37" s="205"/>
      <c r="AG37" s="205"/>
      <c r="AH37" s="205"/>
      <c r="AI37" s="205"/>
      <c r="AJ37" s="205"/>
      <c r="AK37" s="205"/>
      <c r="AL37" s="205"/>
      <c r="AM37" s="205"/>
      <c r="AN37" s="205"/>
      <c r="AO37" s="205"/>
      <c r="AP37" s="205"/>
    </row>
    <row r="38" spans="1:42" s="11" customFormat="1" ht="28.5" customHeight="1" x14ac:dyDescent="0.3">
      <c r="A38" s="521" t="s">
        <v>1321</v>
      </c>
      <c r="B38" s="521"/>
      <c r="C38" s="521"/>
      <c r="D38" s="521"/>
      <c r="E38" s="521"/>
      <c r="F38" s="521"/>
      <c r="G38" s="521"/>
      <c r="H38" s="521"/>
      <c r="I38" s="521"/>
      <c r="J38" s="521"/>
      <c r="K38" s="521"/>
      <c r="L38" s="521"/>
      <c r="M38" s="521"/>
      <c r="N38" s="521"/>
      <c r="O38" s="521"/>
      <c r="P38" s="521"/>
      <c r="Q38" s="10"/>
      <c r="R38" s="10"/>
      <c r="S38" s="10"/>
      <c r="T38" s="10"/>
      <c r="U38" s="10"/>
      <c r="V38" s="10"/>
      <c r="W38" s="10"/>
      <c r="X38" s="10"/>
      <c r="Y38" s="10"/>
    </row>
    <row r="39" spans="1:42" s="11" customFormat="1" ht="27.6" customHeight="1" x14ac:dyDescent="0.3">
      <c r="A39" s="483" t="s">
        <v>3</v>
      </c>
      <c r="B39" s="483" t="s">
        <v>0</v>
      </c>
      <c r="C39" s="483" t="s">
        <v>821</v>
      </c>
      <c r="D39" s="484" t="s">
        <v>1</v>
      </c>
      <c r="E39" s="484" t="s">
        <v>68</v>
      </c>
      <c r="F39" s="484" t="s">
        <v>69</v>
      </c>
      <c r="G39" s="485" t="s">
        <v>2</v>
      </c>
      <c r="H39" s="485" t="s">
        <v>592</v>
      </c>
      <c r="I39" s="484" t="s">
        <v>6</v>
      </c>
      <c r="J39" s="484" t="s">
        <v>7</v>
      </c>
      <c r="K39" s="484" t="s">
        <v>4</v>
      </c>
      <c r="L39" s="484" t="s">
        <v>5</v>
      </c>
      <c r="M39" s="484" t="s">
        <v>70</v>
      </c>
      <c r="N39" s="483" t="s">
        <v>59</v>
      </c>
      <c r="O39" s="486" t="s">
        <v>8</v>
      </c>
      <c r="P39" s="486" t="s">
        <v>10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42" s="96" customFormat="1" ht="24.6" customHeight="1" x14ac:dyDescent="0.3">
      <c r="A40" s="3" t="s">
        <v>1282</v>
      </c>
      <c r="B40" s="461">
        <v>14</v>
      </c>
      <c r="C40" s="452" t="s">
        <v>828</v>
      </c>
      <c r="D40" s="5">
        <v>453.77</v>
      </c>
      <c r="E40" s="41">
        <v>0</v>
      </c>
      <c r="F40" s="5">
        <f>D40-E40</f>
        <v>453.77</v>
      </c>
      <c r="G40" s="41">
        <v>0</v>
      </c>
      <c r="H40" s="41">
        <v>0</v>
      </c>
      <c r="I40" s="41">
        <v>0</v>
      </c>
      <c r="J40" s="41">
        <v>0</v>
      </c>
      <c r="K40" s="451">
        <f>SUM(F40:J40)</f>
        <v>453.77</v>
      </c>
      <c r="L40" s="464">
        <f>7%*K40</f>
        <v>31.763900000000003</v>
      </c>
      <c r="M40" s="464">
        <f>K40-L40</f>
        <v>422.0061</v>
      </c>
      <c r="N40" s="452" t="s">
        <v>1271</v>
      </c>
      <c r="O40" s="3">
        <v>10</v>
      </c>
      <c r="P40" s="423">
        <v>11</v>
      </c>
      <c r="Q40" s="17"/>
      <c r="R40" s="17"/>
      <c r="S40" s="17"/>
      <c r="T40" s="17"/>
      <c r="U40" s="17"/>
      <c r="V40" s="17"/>
      <c r="W40" s="17"/>
      <c r="X40" s="17"/>
    </row>
    <row r="41" spans="1:42" s="6" customFormat="1" ht="24.6" customHeight="1" x14ac:dyDescent="0.3">
      <c r="A41" s="425" t="s">
        <v>1005</v>
      </c>
      <c r="B41" s="487">
        <v>3</v>
      </c>
      <c r="C41" s="425" t="s">
        <v>822</v>
      </c>
      <c r="D41" s="426">
        <v>712.1</v>
      </c>
      <c r="E41" s="488">
        <v>0</v>
      </c>
      <c r="F41" s="426">
        <f>D41-E41</f>
        <v>712.1</v>
      </c>
      <c r="G41" s="488">
        <v>0</v>
      </c>
      <c r="H41" s="488">
        <v>69</v>
      </c>
      <c r="I41" s="488">
        <v>1.53</v>
      </c>
      <c r="J41" s="488"/>
      <c r="K41" s="428">
        <f>SUM(F41:J41)</f>
        <v>782.63</v>
      </c>
      <c r="L41" s="427">
        <f>7%*K41</f>
        <v>54.784100000000002</v>
      </c>
      <c r="M41" s="427">
        <f>K41-L41</f>
        <v>727.84590000000003</v>
      </c>
      <c r="N41" s="452" t="s">
        <v>1322</v>
      </c>
      <c r="O41" s="429">
        <v>10</v>
      </c>
      <c r="P41" s="489">
        <v>11</v>
      </c>
      <c r="Q41" s="9"/>
      <c r="R41" s="9"/>
      <c r="S41" s="9"/>
      <c r="T41" s="9"/>
      <c r="U41" s="9"/>
      <c r="V41" s="9"/>
      <c r="W41" s="9"/>
      <c r="X41" s="9"/>
    </row>
    <row r="42" spans="1:42" s="6" customFormat="1" ht="24.6" customHeight="1" x14ac:dyDescent="0.3">
      <c r="A42" s="425" t="s">
        <v>1005</v>
      </c>
      <c r="B42" s="487">
        <v>3</v>
      </c>
      <c r="C42" s="425" t="s">
        <v>822</v>
      </c>
      <c r="D42" s="426">
        <v>708.22</v>
      </c>
      <c r="E42" s="488">
        <v>0</v>
      </c>
      <c r="F42" s="426">
        <f>D42-E42</f>
        <v>708.22</v>
      </c>
      <c r="G42" s="488">
        <v>0</v>
      </c>
      <c r="H42" s="488">
        <v>75.3</v>
      </c>
      <c r="I42" s="488">
        <v>1.52</v>
      </c>
      <c r="J42" s="488">
        <v>0</v>
      </c>
      <c r="K42" s="428">
        <f>SUM(F42:J42)</f>
        <v>785.04</v>
      </c>
      <c r="L42" s="427">
        <f>7%*K42</f>
        <v>54.952800000000003</v>
      </c>
      <c r="M42" s="427">
        <f>K42-L42</f>
        <v>730.08719999999994</v>
      </c>
      <c r="N42" s="452" t="s">
        <v>1323</v>
      </c>
      <c r="O42" s="429">
        <v>10</v>
      </c>
      <c r="P42" s="489">
        <v>11</v>
      </c>
      <c r="Q42" s="9"/>
      <c r="R42" s="9"/>
      <c r="S42" s="9"/>
      <c r="T42" s="9"/>
      <c r="U42" s="9"/>
      <c r="V42" s="9"/>
      <c r="W42" s="9"/>
      <c r="X42" s="9"/>
    </row>
    <row r="43" spans="1:42" s="11" customFormat="1" ht="25.05" customHeight="1" x14ac:dyDescent="0.3">
      <c r="A43" s="449" t="s">
        <v>4</v>
      </c>
      <c r="B43" s="534"/>
      <c r="C43" s="549"/>
      <c r="D43" s="549"/>
      <c r="E43" s="549"/>
      <c r="F43" s="549"/>
      <c r="G43" s="549"/>
      <c r="H43" s="549"/>
      <c r="I43" s="549"/>
      <c r="J43" s="535"/>
      <c r="K43" s="451">
        <f>SUM(K40:K42)</f>
        <v>2021.44</v>
      </c>
      <c r="L43" s="451">
        <f>SUM(L40:L42)</f>
        <v>141.5008</v>
      </c>
      <c r="M43" s="451">
        <f>SUM(M40:M42)</f>
        <v>1879.9392</v>
      </c>
      <c r="N43" s="451"/>
      <c r="O43" s="451"/>
      <c r="P43" s="451"/>
      <c r="Q43" s="10"/>
      <c r="R43" s="10"/>
      <c r="S43" s="10"/>
      <c r="T43" s="10"/>
      <c r="U43" s="10"/>
      <c r="V43" s="10"/>
      <c r="W43" s="10"/>
      <c r="X43" s="10"/>
      <c r="Y43" s="10"/>
    </row>
    <row r="44" spans="1:42" s="11" customFormat="1" x14ac:dyDescent="0.3">
      <c r="A44" s="518"/>
      <c r="B44" s="518"/>
      <c r="C44" s="518"/>
      <c r="D44" s="518"/>
      <c r="E44" s="518"/>
      <c r="F44" s="518"/>
      <c r="G44" s="518"/>
      <c r="H44" s="518"/>
      <c r="I44" s="518"/>
      <c r="J44" s="518"/>
      <c r="K44" s="518"/>
      <c r="L44" s="518"/>
      <c r="M44" s="518"/>
      <c r="N44" s="518"/>
      <c r="O44" s="451"/>
      <c r="P44" s="451"/>
      <c r="Q44" s="10"/>
      <c r="R44" s="10"/>
      <c r="S44" s="10"/>
      <c r="T44" s="10"/>
      <c r="U44" s="10"/>
      <c r="V44" s="10"/>
      <c r="W44" s="10"/>
      <c r="X44" s="10"/>
      <c r="Y44" s="10"/>
    </row>
    <row r="45" spans="1:42" s="11" customFormat="1" ht="28.5" customHeight="1" x14ac:dyDescent="0.3">
      <c r="A45" s="521" t="s">
        <v>177</v>
      </c>
      <c r="B45" s="521"/>
      <c r="C45" s="521"/>
      <c r="D45" s="521"/>
      <c r="E45" s="521"/>
      <c r="F45" s="521"/>
      <c r="G45" s="521"/>
      <c r="H45" s="521"/>
      <c r="I45" s="521"/>
      <c r="J45" s="521"/>
      <c r="K45" s="521"/>
      <c r="L45" s="521"/>
      <c r="M45" s="521"/>
      <c r="N45" s="521"/>
      <c r="O45" s="521"/>
      <c r="P45" s="521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42" s="11" customFormat="1" ht="25.5" customHeight="1" x14ac:dyDescent="0.3">
      <c r="A46" s="448" t="s">
        <v>173</v>
      </c>
      <c r="B46" s="448" t="s">
        <v>0</v>
      </c>
      <c r="C46" s="450" t="s">
        <v>821</v>
      </c>
      <c r="D46" s="448" t="s">
        <v>174</v>
      </c>
      <c r="E46" s="521" t="s">
        <v>175</v>
      </c>
      <c r="F46" s="521"/>
      <c r="G46" s="521"/>
      <c r="H46" s="521"/>
      <c r="I46" s="521"/>
      <c r="J46" s="521"/>
      <c r="K46" s="462" t="s">
        <v>4</v>
      </c>
      <c r="L46" s="453"/>
      <c r="M46" s="453"/>
      <c r="N46" s="450" t="s">
        <v>59</v>
      </c>
      <c r="O46" s="130" t="s">
        <v>8</v>
      </c>
      <c r="P46" s="130" t="s">
        <v>10</v>
      </c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42" s="11" customFormat="1" ht="25.05" customHeight="1" x14ac:dyDescent="0.3">
      <c r="A47" s="3" t="s">
        <v>1282</v>
      </c>
      <c r="B47" s="461">
        <v>14</v>
      </c>
      <c r="C47" s="452" t="s">
        <v>828</v>
      </c>
      <c r="D47" s="464">
        <f>1972-453.77</f>
        <v>1518.23</v>
      </c>
      <c r="E47" s="546" t="s">
        <v>715</v>
      </c>
      <c r="F47" s="547"/>
      <c r="G47" s="547"/>
      <c r="H47" s="547"/>
      <c r="I47" s="547"/>
      <c r="J47" s="548"/>
      <c r="K47" s="464">
        <f>1972-453.77</f>
        <v>1518.23</v>
      </c>
      <c r="L47" s="5"/>
      <c r="M47" s="5"/>
      <c r="N47" s="452" t="s">
        <v>1324</v>
      </c>
      <c r="O47" s="140">
        <v>10</v>
      </c>
      <c r="P47" s="461">
        <v>11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42" s="11" customFormat="1" ht="25.05" customHeight="1" x14ac:dyDescent="0.3">
      <c r="A48" s="454" t="s">
        <v>965</v>
      </c>
      <c r="B48" s="459">
        <v>11</v>
      </c>
      <c r="C48" s="454" t="s">
        <v>827</v>
      </c>
      <c r="D48" s="460">
        <f>1191.38-297.85-200</f>
        <v>693.53000000000009</v>
      </c>
      <c r="E48" s="551" t="s">
        <v>715</v>
      </c>
      <c r="F48" s="580"/>
      <c r="G48" s="580"/>
      <c r="H48" s="580"/>
      <c r="I48" s="580"/>
      <c r="J48" s="552"/>
      <c r="K48" s="460">
        <f>1191.38-297.85-200</f>
        <v>693.53000000000009</v>
      </c>
      <c r="L48" s="274"/>
      <c r="M48" s="274"/>
      <c r="N48" s="454" t="s">
        <v>1294</v>
      </c>
      <c r="O48" s="140">
        <v>10</v>
      </c>
      <c r="P48" s="461">
        <v>11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60" s="69" customFormat="1" ht="25.05" customHeight="1" x14ac:dyDescent="0.3">
      <c r="A49" s="452" t="s">
        <v>1005</v>
      </c>
      <c r="B49" s="461">
        <v>3</v>
      </c>
      <c r="C49" s="452" t="s">
        <v>822</v>
      </c>
      <c r="D49" s="5">
        <f>636.76+67.7+1.43</f>
        <v>705.89</v>
      </c>
      <c r="E49" s="595" t="s">
        <v>1309</v>
      </c>
      <c r="F49" s="595"/>
      <c r="G49" s="595"/>
      <c r="H49" s="595"/>
      <c r="I49" s="595"/>
      <c r="J49" s="595"/>
      <c r="K49" s="5">
        <f>636.76+67.7+1.37</f>
        <v>705.83</v>
      </c>
      <c r="L49" s="5"/>
      <c r="M49" s="5"/>
      <c r="N49" s="5" t="s">
        <v>1325</v>
      </c>
      <c r="O49" s="140">
        <v>10</v>
      </c>
      <c r="P49" s="461">
        <v>11</v>
      </c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</row>
    <row r="50" spans="1:60" s="69" customFormat="1" ht="25.05" customHeight="1" x14ac:dyDescent="0.3">
      <c r="A50" s="461" t="s">
        <v>132</v>
      </c>
      <c r="B50" s="461">
        <v>1</v>
      </c>
      <c r="C50" s="461"/>
      <c r="D50" s="5">
        <f>4977.59-1520</f>
        <v>3457.59</v>
      </c>
      <c r="E50" s="595" t="s">
        <v>284</v>
      </c>
      <c r="F50" s="595"/>
      <c r="G50" s="595"/>
      <c r="H50" s="595"/>
      <c r="I50" s="595"/>
      <c r="J50" s="595"/>
      <c r="K50" s="5">
        <f>4977.59-1520</f>
        <v>3457.59</v>
      </c>
      <c r="L50" s="5"/>
      <c r="M50" s="5"/>
      <c r="N50" s="5" t="s">
        <v>510</v>
      </c>
      <c r="O50" s="140">
        <v>10</v>
      </c>
      <c r="P50" s="461">
        <v>11</v>
      </c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</row>
    <row r="51" spans="1:60" s="11" customFormat="1" ht="29.4" customHeight="1" x14ac:dyDescent="0.3">
      <c r="A51" s="452" t="s">
        <v>87</v>
      </c>
      <c r="B51" s="452">
        <v>25</v>
      </c>
      <c r="C51" s="452"/>
      <c r="D51" s="5">
        <v>3013.33</v>
      </c>
      <c r="E51" s="595" t="s">
        <v>1296</v>
      </c>
      <c r="F51" s="595"/>
      <c r="G51" s="595"/>
      <c r="H51" s="595"/>
      <c r="I51" s="595"/>
      <c r="J51" s="595"/>
      <c r="K51" s="275">
        <v>3040.58</v>
      </c>
      <c r="L51" s="464"/>
      <c r="M51" s="464"/>
      <c r="N51" s="5" t="s">
        <v>545</v>
      </c>
      <c r="O51" s="98">
        <v>10</v>
      </c>
      <c r="P51" s="3">
        <v>11</v>
      </c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60" s="11" customFormat="1" ht="25.05" customHeight="1" x14ac:dyDescent="0.3">
      <c r="A52" s="3" t="s">
        <v>894</v>
      </c>
      <c r="B52" s="452">
        <v>16</v>
      </c>
      <c r="C52" s="452" t="s">
        <v>823</v>
      </c>
      <c r="D52" s="5">
        <f>144.52+11.29+12.89+0.3+0.18+1664</f>
        <v>1833.18</v>
      </c>
      <c r="E52" s="595" t="s">
        <v>1297</v>
      </c>
      <c r="F52" s="595"/>
      <c r="G52" s="595"/>
      <c r="H52" s="595"/>
      <c r="I52" s="595"/>
      <c r="J52" s="595"/>
      <c r="K52" s="275">
        <f>144.52+11.29+12.89+0.3+0.18+1664</f>
        <v>1833.18</v>
      </c>
      <c r="L52" s="464"/>
      <c r="M52" s="464"/>
      <c r="N52" s="457" t="s">
        <v>969</v>
      </c>
      <c r="O52" s="98">
        <v>10</v>
      </c>
      <c r="P52" s="3">
        <v>11</v>
      </c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 spans="1:60" s="206" customFormat="1" ht="25.05" customHeight="1" x14ac:dyDescent="0.3">
      <c r="A53" s="237" t="s">
        <v>902</v>
      </c>
      <c r="B53" s="195">
        <v>17</v>
      </c>
      <c r="C53" s="195" t="s">
        <v>823</v>
      </c>
      <c r="D53" s="196">
        <v>2080.41</v>
      </c>
      <c r="E53" s="551" t="s">
        <v>1011</v>
      </c>
      <c r="F53" s="580"/>
      <c r="G53" s="580"/>
      <c r="H53" s="580"/>
      <c r="I53" s="580"/>
      <c r="J53" s="552"/>
      <c r="K53" s="196">
        <v>300</v>
      </c>
      <c r="L53" s="460"/>
      <c r="M53" s="460"/>
      <c r="N53" s="454" t="s">
        <v>1039</v>
      </c>
      <c r="O53" s="235">
        <v>10</v>
      </c>
      <c r="P53" s="197">
        <v>11</v>
      </c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  <c r="AC53" s="205"/>
      <c r="AD53" s="205"/>
      <c r="AE53" s="205"/>
      <c r="AF53" s="205"/>
      <c r="AG53" s="205"/>
      <c r="AH53" s="205"/>
      <c r="AI53" s="205"/>
      <c r="AJ53" s="205"/>
      <c r="AK53" s="205"/>
      <c r="AL53" s="205"/>
      <c r="AM53" s="205"/>
      <c r="AN53" s="205"/>
      <c r="AO53" s="205"/>
      <c r="AP53" s="205"/>
    </row>
    <row r="54" spans="1:60" s="206" customFormat="1" ht="25.05" customHeight="1" x14ac:dyDescent="0.3">
      <c r="A54" s="237" t="s">
        <v>902</v>
      </c>
      <c r="B54" s="195">
        <v>17</v>
      </c>
      <c r="C54" s="195" t="s">
        <v>823</v>
      </c>
      <c r="D54" s="196">
        <v>2080.41</v>
      </c>
      <c r="E54" s="551" t="s">
        <v>1011</v>
      </c>
      <c r="F54" s="580"/>
      <c r="G54" s="580"/>
      <c r="H54" s="580"/>
      <c r="I54" s="580"/>
      <c r="J54" s="552"/>
      <c r="K54" s="196">
        <v>300</v>
      </c>
      <c r="L54" s="460"/>
      <c r="M54" s="460"/>
      <c r="N54" s="454" t="s">
        <v>1049</v>
      </c>
      <c r="O54" s="235">
        <v>10</v>
      </c>
      <c r="P54" s="197">
        <v>11</v>
      </c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  <c r="AJ54" s="205"/>
      <c r="AK54" s="205"/>
      <c r="AL54" s="205"/>
      <c r="AM54" s="205"/>
      <c r="AN54" s="205"/>
      <c r="AO54" s="205"/>
      <c r="AP54" s="205"/>
    </row>
    <row r="55" spans="1:60" s="40" customFormat="1" ht="15" customHeight="1" thickBot="1" x14ac:dyDescent="0.35">
      <c r="A55" s="534" t="s">
        <v>4</v>
      </c>
      <c r="B55" s="549"/>
      <c r="C55" s="549"/>
      <c r="D55" s="549"/>
      <c r="E55" s="549"/>
      <c r="F55" s="549"/>
      <c r="G55" s="549"/>
      <c r="H55" s="549"/>
      <c r="I55" s="549"/>
      <c r="J55" s="535"/>
      <c r="K55" s="455">
        <f>SUM(K47:K54)</f>
        <v>11848.94</v>
      </c>
      <c r="L55" s="452"/>
      <c r="M55" s="452"/>
      <c r="N55" s="452"/>
      <c r="O55" s="452"/>
      <c r="P55" s="452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1"/>
      <c r="AU55" s="11"/>
      <c r="AV55" s="11"/>
      <c r="AW55" s="11"/>
    </row>
    <row r="56" spans="1:60" s="19" customFormat="1" x14ac:dyDescent="0.3">
      <c r="A56" s="179"/>
      <c r="B56" s="180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1"/>
      <c r="P56" s="182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</row>
    <row r="57" spans="1:60" s="40" customFormat="1" x14ac:dyDescent="0.3">
      <c r="A57" s="585"/>
      <c r="B57" s="585"/>
      <c r="C57" s="585"/>
      <c r="D57" s="585"/>
      <c r="E57" s="585"/>
      <c r="F57" s="46"/>
      <c r="G57" s="46"/>
      <c r="H57" s="295"/>
      <c r="I57" s="46"/>
      <c r="J57" s="46"/>
      <c r="K57" s="46"/>
      <c r="L57" s="46"/>
      <c r="M57" s="46"/>
      <c r="N57" s="544" t="s">
        <v>315</v>
      </c>
      <c r="O57" s="544"/>
      <c r="P57" s="545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1"/>
      <c r="AU57" s="11"/>
      <c r="AV57" s="11"/>
      <c r="AW57" s="11"/>
    </row>
    <row r="58" spans="1:60" s="40" customFormat="1" x14ac:dyDescent="0.3">
      <c r="A58" s="206"/>
      <c r="B58" s="223"/>
      <c r="C58" s="223"/>
      <c r="D58" s="224"/>
      <c r="E58" s="223"/>
      <c r="F58" s="46"/>
      <c r="G58" s="46"/>
      <c r="H58" s="295"/>
      <c r="I58" s="11"/>
      <c r="J58" s="11"/>
      <c r="K58" s="87"/>
      <c r="L58" s="87"/>
      <c r="M58" s="87"/>
      <c r="N58" s="527" t="s">
        <v>94</v>
      </c>
      <c r="O58" s="527"/>
      <c r="P58" s="455">
        <f>L37+L43</f>
        <v>1525.3459304393687</v>
      </c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1"/>
      <c r="AU58" s="11"/>
      <c r="AV58" s="11"/>
      <c r="AW58" s="11"/>
    </row>
    <row r="59" spans="1:60" s="40" customFormat="1" x14ac:dyDescent="0.3">
      <c r="A59" s="206"/>
      <c r="B59" s="223"/>
      <c r="C59" s="223"/>
      <c r="D59" s="224"/>
      <c r="E59" s="223"/>
      <c r="F59" s="46"/>
      <c r="G59" s="46"/>
      <c r="H59" s="295"/>
      <c r="I59" s="11"/>
      <c r="J59" s="11"/>
      <c r="K59" s="14"/>
      <c r="L59" s="14"/>
      <c r="M59" s="14"/>
      <c r="N59" s="518" t="s">
        <v>260</v>
      </c>
      <c r="O59" s="518"/>
      <c r="P59" s="455">
        <f>L6</f>
        <v>0</v>
      </c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1"/>
      <c r="AU59" s="11"/>
      <c r="AV59" s="11"/>
      <c r="AW59" s="11"/>
    </row>
    <row r="60" spans="1:60" s="40" customFormat="1" x14ac:dyDescent="0.3">
      <c r="A60" s="206"/>
      <c r="B60" s="223"/>
      <c r="C60" s="223"/>
      <c r="D60" s="224"/>
      <c r="E60" s="223"/>
      <c r="F60" s="46"/>
      <c r="G60" s="46"/>
      <c r="H60" s="295"/>
      <c r="I60" s="11"/>
      <c r="J60" s="11"/>
      <c r="K60" s="14"/>
      <c r="L60" s="14"/>
      <c r="M60" s="14"/>
      <c r="N60" s="520"/>
      <c r="O60" s="520"/>
      <c r="P60" s="52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1"/>
      <c r="AU60" s="11"/>
      <c r="AV60" s="11"/>
      <c r="AW60" s="11"/>
    </row>
    <row r="61" spans="1:60" s="40" customFormat="1" x14ac:dyDescent="0.3">
      <c r="A61" s="206"/>
      <c r="B61" s="223"/>
      <c r="C61" s="223"/>
      <c r="D61" s="224"/>
      <c r="E61" s="223"/>
      <c r="F61" s="46"/>
      <c r="G61" s="46"/>
      <c r="H61" s="295"/>
      <c r="I61" s="11"/>
      <c r="J61" s="11"/>
      <c r="K61" s="62"/>
      <c r="L61" s="62"/>
      <c r="M61" s="62"/>
      <c r="N61" s="520"/>
      <c r="O61" s="520"/>
      <c r="P61" s="52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1"/>
      <c r="AU61" s="11"/>
      <c r="AV61" s="11"/>
      <c r="AW61" s="11"/>
    </row>
    <row r="62" spans="1:60" s="40" customFormat="1" ht="14.4" x14ac:dyDescent="0.3">
      <c r="A62" s="206"/>
      <c r="B62" s="223"/>
      <c r="C62" s="223"/>
      <c r="D62" s="224"/>
      <c r="E62" s="223"/>
      <c r="F62" s="46"/>
      <c r="G62" s="46"/>
      <c r="H62" s="295"/>
      <c r="I62" s="11"/>
      <c r="J62" s="11"/>
      <c r="K62" s="14"/>
      <c r="L62" s="14"/>
      <c r="M62" s="14"/>
      <c r="N62" s="529" t="s">
        <v>12</v>
      </c>
      <c r="O62" s="529"/>
      <c r="P62" s="529"/>
      <c r="Q62" s="175"/>
      <c r="R62" s="178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1"/>
      <c r="AU62" s="11"/>
      <c r="AV62" s="11"/>
      <c r="AW62" s="11"/>
    </row>
    <row r="63" spans="1:60" s="11" customFormat="1" ht="15" customHeight="1" x14ac:dyDescent="0.3">
      <c r="A63" s="206"/>
      <c r="B63" s="223"/>
      <c r="C63" s="223"/>
      <c r="D63" s="224"/>
      <c r="E63" s="223"/>
      <c r="F63" s="46"/>
      <c r="G63" s="46"/>
      <c r="H63" s="295"/>
      <c r="K63" s="63"/>
      <c r="L63" s="63"/>
      <c r="M63" s="63"/>
      <c r="N63" s="592" t="s">
        <v>1326</v>
      </c>
      <c r="O63" s="592"/>
      <c r="P63" s="240">
        <v>111.11</v>
      </c>
      <c r="Q63" s="190"/>
      <c r="R63" s="178"/>
    </row>
    <row r="64" spans="1:60" s="11" customFormat="1" ht="15" customHeight="1" x14ac:dyDescent="0.3">
      <c r="A64" s="206"/>
      <c r="B64" s="223"/>
      <c r="C64" s="223"/>
      <c r="D64" s="224"/>
      <c r="E64" s="223"/>
      <c r="F64" s="46"/>
      <c r="G64" s="46"/>
      <c r="H64" s="295"/>
      <c r="K64" s="63"/>
      <c r="L64" s="63"/>
      <c r="M64" s="63"/>
      <c r="N64" s="592" t="s">
        <v>1327</v>
      </c>
      <c r="O64" s="592"/>
      <c r="P64" s="240">
        <v>108.91</v>
      </c>
      <c r="Q64" s="190"/>
      <c r="R64" s="178"/>
    </row>
    <row r="65" spans="1:48" s="11" customFormat="1" ht="15.6" x14ac:dyDescent="0.3">
      <c r="A65" s="206"/>
      <c r="B65" s="223"/>
      <c r="C65" s="223"/>
      <c r="D65" s="224"/>
      <c r="E65" s="223"/>
      <c r="F65" s="46"/>
      <c r="G65" s="46"/>
      <c r="H65" s="295"/>
      <c r="K65" s="14"/>
      <c r="L65" s="14"/>
      <c r="M65" s="14"/>
      <c r="N65" s="593" t="s">
        <v>127</v>
      </c>
      <c r="O65" s="593"/>
      <c r="P65" s="240">
        <v>1827.9</v>
      </c>
      <c r="Q65" s="175"/>
      <c r="R65" s="178"/>
    </row>
    <row r="66" spans="1:48" s="11" customFormat="1" ht="15" customHeight="1" x14ac:dyDescent="0.3">
      <c r="A66" s="206"/>
      <c r="B66" s="223"/>
      <c r="C66" s="223"/>
      <c r="D66" s="224"/>
      <c r="E66" s="223"/>
      <c r="F66" s="46"/>
      <c r="G66" s="46"/>
      <c r="H66" s="295"/>
      <c r="K66" s="63"/>
      <c r="L66" s="63"/>
      <c r="M66" s="63"/>
      <c r="N66" s="594" t="s">
        <v>1328</v>
      </c>
      <c r="O66" s="594"/>
      <c r="P66" s="34">
        <v>132.78</v>
      </c>
      <c r="Q66" s="190"/>
      <c r="R66" s="178"/>
    </row>
    <row r="67" spans="1:48" s="11" customFormat="1" ht="15.6" x14ac:dyDescent="0.3">
      <c r="A67" s="206"/>
      <c r="B67" s="223"/>
      <c r="C67" s="223"/>
      <c r="D67" s="224"/>
      <c r="E67" s="223"/>
      <c r="F67" s="46"/>
      <c r="G67" s="46"/>
      <c r="H67" s="295"/>
      <c r="K67" s="14"/>
      <c r="L67" s="14"/>
      <c r="M67" s="14"/>
      <c r="N67" s="594" t="s">
        <v>1329</v>
      </c>
      <c r="O67" s="594"/>
      <c r="P67" s="34">
        <v>134.09</v>
      </c>
      <c r="Q67" s="222"/>
      <c r="R67" s="178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</row>
    <row r="68" spans="1:48" s="11" customFormat="1" ht="15.6" x14ac:dyDescent="0.3">
      <c r="A68" s="206"/>
      <c r="B68" s="223"/>
      <c r="C68" s="223"/>
      <c r="D68" s="224"/>
      <c r="E68" s="223"/>
      <c r="F68" s="46"/>
      <c r="G68" s="46"/>
      <c r="H68" s="295"/>
      <c r="K68" s="63"/>
      <c r="L68" s="63"/>
      <c r="M68" s="63"/>
      <c r="N68" s="594" t="s">
        <v>1179</v>
      </c>
      <c r="O68" s="594"/>
      <c r="P68" s="490">
        <v>134.09</v>
      </c>
      <c r="Q68" s="175"/>
      <c r="R68" s="178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</row>
    <row r="69" spans="1:48" s="11" customFormat="1" ht="15.6" x14ac:dyDescent="0.3">
      <c r="A69" s="206"/>
      <c r="B69" s="223"/>
      <c r="C69" s="223"/>
      <c r="D69" s="224"/>
      <c r="E69" s="223"/>
      <c r="F69" s="46"/>
      <c r="G69" s="46"/>
      <c r="H69" s="295"/>
      <c r="K69" s="63"/>
      <c r="L69" s="63"/>
      <c r="M69" s="63"/>
      <c r="N69" s="588" t="s">
        <v>1330</v>
      </c>
      <c r="O69" s="589"/>
      <c r="P69" s="490">
        <f>96.93-38.3</f>
        <v>58.63000000000001</v>
      </c>
      <c r="Q69" s="175"/>
      <c r="R69" s="178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</row>
    <row r="70" spans="1:48" s="11" customFormat="1" ht="18.600000000000001" customHeight="1" x14ac:dyDescent="0.3">
      <c r="A70" s="206"/>
      <c r="B70" s="223"/>
      <c r="C70" s="223"/>
      <c r="D70" s="224"/>
      <c r="E70" s="223"/>
      <c r="F70" s="46"/>
      <c r="G70" s="46"/>
      <c r="H70" s="295"/>
      <c r="K70" s="63"/>
      <c r="L70" s="63"/>
      <c r="M70" s="63"/>
      <c r="N70" s="586" t="s">
        <v>26</v>
      </c>
      <c r="O70" s="586"/>
      <c r="P70" s="451">
        <f>SUM(P58:P69)</f>
        <v>4032.8559304393693</v>
      </c>
      <c r="Q70" s="175"/>
      <c r="R70" s="178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</row>
    <row r="71" spans="1:48" s="11" customFormat="1" ht="15.6" x14ac:dyDescent="0.3">
      <c r="A71" s="206"/>
      <c r="B71" s="223"/>
      <c r="C71" s="223"/>
      <c r="D71" s="224"/>
      <c r="E71" s="223"/>
      <c r="F71" s="46"/>
      <c r="G71" s="46"/>
      <c r="H71" s="295"/>
      <c r="N71" s="587"/>
      <c r="O71" s="587"/>
      <c r="P71" s="242"/>
      <c r="Q71" s="175"/>
      <c r="R71" s="178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</row>
    <row r="72" spans="1:48" s="11" customFormat="1" ht="14.4" x14ac:dyDescent="0.3">
      <c r="A72" s="206"/>
      <c r="B72" s="223"/>
      <c r="C72" s="223"/>
      <c r="D72" s="224"/>
      <c r="E72" s="223"/>
      <c r="F72" s="46"/>
      <c r="G72" s="46"/>
      <c r="H72" s="295"/>
      <c r="K72" s="63"/>
      <c r="L72" s="63"/>
      <c r="M72" s="63"/>
      <c r="N72" s="564" t="s">
        <v>11</v>
      </c>
      <c r="O72" s="565"/>
      <c r="P72" s="153">
        <f>K6+K37+K43</f>
        <v>21790.65614913384</v>
      </c>
      <c r="Q72" s="175"/>
      <c r="R72" s="178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</row>
    <row r="73" spans="1:48" s="11" customFormat="1" ht="14.4" x14ac:dyDescent="0.3">
      <c r="A73" s="206"/>
      <c r="B73" s="223"/>
      <c r="C73" s="223"/>
      <c r="D73" s="224"/>
      <c r="E73" s="223"/>
      <c r="F73" s="46"/>
      <c r="G73" s="46"/>
      <c r="H73" s="295"/>
      <c r="K73" s="14"/>
      <c r="L73" s="14"/>
      <c r="M73" s="14"/>
      <c r="N73" s="518"/>
      <c r="O73" s="518"/>
      <c r="P73" s="519"/>
      <c r="Q73" s="175"/>
      <c r="R73" s="185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</row>
    <row r="74" spans="1:48" s="11" customFormat="1" ht="14.4" x14ac:dyDescent="0.3">
      <c r="A74" s="206"/>
      <c r="B74" s="223"/>
      <c r="C74" s="223"/>
      <c r="D74" s="224"/>
      <c r="E74" s="223"/>
      <c r="F74" s="46"/>
      <c r="G74" s="46"/>
      <c r="H74" s="295"/>
      <c r="N74" s="513" t="s">
        <v>13</v>
      </c>
      <c r="O74" s="513"/>
      <c r="P74" s="151">
        <f>P72-P70</f>
        <v>17757.800218694472</v>
      </c>
      <c r="Q74" s="175"/>
      <c r="R74" s="176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</row>
    <row r="75" spans="1:48" s="11" customFormat="1" ht="14.4" x14ac:dyDescent="0.3">
      <c r="A75" s="206"/>
      <c r="B75" s="223"/>
      <c r="C75" s="223"/>
      <c r="D75" s="224"/>
      <c r="E75" s="223"/>
      <c r="F75" s="46"/>
      <c r="G75" s="46"/>
      <c r="H75" s="295"/>
      <c r="N75" s="124"/>
      <c r="O75" s="124"/>
      <c r="P75" s="57"/>
      <c r="Q75" s="175"/>
      <c r="R75" s="176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</row>
    <row r="76" spans="1:48" s="11" customFormat="1" ht="14.4" x14ac:dyDescent="0.3">
      <c r="A76" s="206"/>
      <c r="B76" s="223"/>
      <c r="C76" s="223"/>
      <c r="D76" s="224"/>
      <c r="E76" s="223"/>
      <c r="F76" s="46"/>
      <c r="G76" s="46"/>
      <c r="H76" s="295"/>
      <c r="N76" s="124"/>
      <c r="O76" s="124"/>
      <c r="P76" s="57"/>
      <c r="Q76" s="175"/>
      <c r="R76" s="178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</row>
    <row r="77" spans="1:48" s="11" customFormat="1" ht="14.4" x14ac:dyDescent="0.3">
      <c r="A77" s="206"/>
      <c r="B77" s="223"/>
      <c r="C77" s="223"/>
      <c r="D77" s="224"/>
      <c r="E77" s="223"/>
      <c r="F77" s="46"/>
      <c r="G77" s="46"/>
      <c r="H77" s="295"/>
      <c r="K77" s="14"/>
      <c r="L77" s="14"/>
      <c r="M77" s="14"/>
      <c r="N77" s="124"/>
      <c r="O77" s="124"/>
      <c r="P77" s="57"/>
      <c r="Q77" s="175"/>
      <c r="R77" s="178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</row>
    <row r="78" spans="1:48" s="11" customFormat="1" ht="14.4" x14ac:dyDescent="0.3">
      <c r="A78" s="206"/>
      <c r="B78" s="223"/>
      <c r="C78" s="223"/>
      <c r="D78" s="224"/>
      <c r="E78" s="223"/>
      <c r="F78" s="46"/>
      <c r="G78" s="46"/>
      <c r="H78" s="295"/>
      <c r="K78" s="458"/>
      <c r="L78" s="458"/>
      <c r="M78" s="458"/>
      <c r="Q78" s="175"/>
      <c r="R78" s="178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</row>
    <row r="79" spans="1:48" s="11" customFormat="1" ht="14.4" x14ac:dyDescent="0.3">
      <c r="A79" s="206"/>
      <c r="B79" s="223"/>
      <c r="C79" s="223"/>
      <c r="D79" s="224"/>
      <c r="E79" s="223"/>
      <c r="F79" s="46"/>
      <c r="G79" s="46"/>
      <c r="H79" s="295"/>
      <c r="K79" s="14"/>
      <c r="L79" s="14"/>
      <c r="M79" s="14"/>
      <c r="N79" s="458"/>
      <c r="O79" s="14"/>
      <c r="P79" s="57"/>
      <c r="Q79" s="175"/>
      <c r="R79" s="178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</row>
    <row r="80" spans="1:48" s="11" customFormat="1" ht="14.4" x14ac:dyDescent="0.3">
      <c r="A80" s="206"/>
      <c r="B80" s="223"/>
      <c r="C80" s="223"/>
      <c r="D80" s="224"/>
      <c r="E80" s="223"/>
      <c r="F80" s="46"/>
      <c r="G80" s="46"/>
      <c r="H80" s="295"/>
      <c r="K80" s="14"/>
      <c r="L80" s="14"/>
      <c r="M80" s="14"/>
      <c r="O80" s="458"/>
      <c r="P80" s="57"/>
      <c r="Q80" s="175"/>
      <c r="R80" s="178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</row>
    <row r="81" spans="1:48" s="11" customFormat="1" ht="14.4" x14ac:dyDescent="0.3">
      <c r="A81" s="206"/>
      <c r="B81" s="223"/>
      <c r="C81" s="223"/>
      <c r="D81" s="224"/>
      <c r="E81" s="223"/>
      <c r="F81" s="46"/>
      <c r="G81" s="46"/>
      <c r="H81" s="295"/>
      <c r="K81" s="14"/>
      <c r="L81" s="14"/>
      <c r="M81" s="14"/>
      <c r="P81" s="57"/>
      <c r="Q81" s="175"/>
      <c r="R81" s="178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</row>
    <row r="82" spans="1:48" s="11" customFormat="1" x14ac:dyDescent="0.3">
      <c r="A82" s="206"/>
      <c r="B82" s="223"/>
      <c r="C82" s="223"/>
      <c r="D82" s="224"/>
      <c r="E82" s="223"/>
      <c r="F82" s="46"/>
      <c r="G82" s="46"/>
      <c r="H82" s="295"/>
      <c r="K82" s="14"/>
      <c r="L82" s="14"/>
      <c r="M82" s="14"/>
      <c r="N82" s="14"/>
      <c r="O82" s="14"/>
      <c r="P82" s="57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</row>
    <row r="83" spans="1:48" s="69" customFormat="1" x14ac:dyDescent="0.3">
      <c r="A83" s="206"/>
      <c r="B83" s="223"/>
      <c r="C83" s="223"/>
      <c r="D83" s="224"/>
      <c r="E83" s="223"/>
      <c r="F83" s="46"/>
      <c r="G83" s="46"/>
      <c r="H83" s="295"/>
      <c r="I83" s="11"/>
      <c r="J83" s="11"/>
      <c r="K83" s="14"/>
      <c r="L83" s="14"/>
      <c r="M83" s="14"/>
      <c r="N83" s="14"/>
      <c r="O83" s="458"/>
      <c r="P83" s="57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</row>
    <row r="84" spans="1:48" s="69" customFormat="1" x14ac:dyDescent="0.3">
      <c r="A84" s="206"/>
      <c r="B84" s="223"/>
      <c r="C84" s="223"/>
      <c r="D84" s="224"/>
      <c r="E84" s="223"/>
      <c r="F84" s="46"/>
      <c r="G84" s="46"/>
      <c r="H84" s="295"/>
      <c r="I84" s="11"/>
      <c r="J84" s="11"/>
      <c r="K84" s="14"/>
      <c r="L84" s="14"/>
      <c r="M84" s="14"/>
      <c r="N84" s="14"/>
      <c r="O84" s="11"/>
      <c r="P84" s="57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</row>
    <row r="85" spans="1:48" s="69" customFormat="1" x14ac:dyDescent="0.3">
      <c r="A85" s="206"/>
      <c r="B85" s="223"/>
      <c r="C85" s="223"/>
      <c r="D85" s="224"/>
      <c r="E85" s="223"/>
      <c r="F85" s="46"/>
      <c r="G85" s="46"/>
      <c r="H85" s="295"/>
      <c r="I85" s="11"/>
      <c r="J85" s="11"/>
      <c r="K85" s="14"/>
      <c r="L85" s="14"/>
      <c r="M85" s="14"/>
      <c r="N85" s="14"/>
      <c r="O85" s="11"/>
      <c r="P85" s="57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</row>
    <row r="86" spans="1:48" s="69" customFormat="1" x14ac:dyDescent="0.3">
      <c r="A86" s="206"/>
      <c r="B86" s="223"/>
      <c r="C86" s="223"/>
      <c r="D86" s="224"/>
      <c r="E86" s="223"/>
      <c r="F86" s="46"/>
      <c r="G86" s="46"/>
      <c r="H86" s="295"/>
      <c r="I86" s="11"/>
      <c r="J86" s="11"/>
      <c r="K86" s="14"/>
      <c r="L86" s="14"/>
      <c r="M86" s="14"/>
      <c r="N86" s="11"/>
      <c r="O86" s="11"/>
      <c r="P86" s="57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</row>
    <row r="87" spans="1:48" s="69" customFormat="1" x14ac:dyDescent="0.3">
      <c r="A87" s="206"/>
      <c r="B87" s="223"/>
      <c r="C87" s="223"/>
      <c r="D87" s="224"/>
      <c r="E87" s="223"/>
      <c r="F87" s="46"/>
      <c r="G87" s="46"/>
      <c r="H87" s="295"/>
      <c r="I87" s="11"/>
      <c r="J87" s="11"/>
      <c r="K87" s="14"/>
      <c r="L87" s="14"/>
      <c r="M87" s="14"/>
      <c r="N87" s="11"/>
      <c r="O87" s="14"/>
      <c r="P87" s="57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</row>
    <row r="88" spans="1:48" s="69" customFormat="1" x14ac:dyDescent="0.3">
      <c r="A88" s="206"/>
      <c r="B88" s="223"/>
      <c r="C88" s="223"/>
      <c r="D88" s="224"/>
      <c r="E88" s="223"/>
      <c r="F88" s="46"/>
      <c r="G88" s="46"/>
      <c r="H88" s="295"/>
      <c r="I88" s="11"/>
      <c r="J88" s="11"/>
      <c r="K88" s="14"/>
      <c r="L88" s="14"/>
      <c r="M88" s="14"/>
      <c r="N88" s="11"/>
      <c r="O88" s="14"/>
      <c r="P88" s="57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</row>
    <row r="89" spans="1:48" s="69" customFormat="1" x14ac:dyDescent="0.3">
      <c r="A89" s="206"/>
      <c r="B89" s="223"/>
      <c r="C89" s="223"/>
      <c r="D89" s="224"/>
      <c r="E89" s="223"/>
      <c r="F89" s="46"/>
      <c r="G89" s="46"/>
      <c r="H89" s="295"/>
      <c r="I89" s="11"/>
      <c r="J89" s="11"/>
      <c r="K89" s="14"/>
      <c r="L89" s="14"/>
      <c r="M89" s="14"/>
      <c r="N89" s="11"/>
      <c r="O89" s="14"/>
      <c r="P89" s="57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</row>
    <row r="90" spans="1:48" s="69" customFormat="1" x14ac:dyDescent="0.3">
      <c r="A90" s="206"/>
      <c r="B90" s="223"/>
      <c r="C90" s="223"/>
      <c r="D90" s="224"/>
      <c r="E90" s="223"/>
      <c r="F90" s="46"/>
      <c r="G90" s="46"/>
      <c r="H90" s="295"/>
      <c r="I90" s="11"/>
      <c r="J90" s="11"/>
      <c r="K90" s="14"/>
      <c r="L90" s="14"/>
      <c r="M90" s="14"/>
      <c r="N90" s="11"/>
      <c r="O90" s="14"/>
      <c r="P90" s="57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</row>
    <row r="91" spans="1:48" s="69" customFormat="1" x14ac:dyDescent="0.3">
      <c r="A91" s="206"/>
      <c r="B91" s="223"/>
      <c r="C91" s="223"/>
      <c r="D91" s="224"/>
      <c r="E91" s="223"/>
      <c r="F91" s="46"/>
      <c r="G91" s="46"/>
      <c r="H91" s="295"/>
      <c r="I91" s="11"/>
      <c r="J91" s="11"/>
      <c r="K91" s="14"/>
      <c r="L91" s="14"/>
      <c r="M91" s="14"/>
      <c r="N91" s="11"/>
      <c r="O91" s="11"/>
      <c r="P91" s="57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</row>
    <row r="92" spans="1:48" s="69" customFormat="1" x14ac:dyDescent="0.3">
      <c r="A92" s="206"/>
      <c r="B92" s="223"/>
      <c r="C92" s="223"/>
      <c r="D92" s="224"/>
      <c r="E92" s="223"/>
      <c r="F92" s="46"/>
      <c r="G92" s="46"/>
      <c r="H92" s="296"/>
      <c r="I92" s="11"/>
      <c r="J92" s="11"/>
      <c r="K92" s="14"/>
      <c r="L92" s="14"/>
      <c r="M92" s="14"/>
      <c r="N92" s="11"/>
      <c r="O92" s="11"/>
      <c r="P92" s="57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</row>
    <row r="93" spans="1:48" s="69" customFormat="1" x14ac:dyDescent="0.3">
      <c r="A93" s="206"/>
      <c r="B93" s="223"/>
      <c r="C93" s="223"/>
      <c r="D93" s="224"/>
      <c r="E93" s="223"/>
      <c r="F93" s="46"/>
      <c r="G93" s="46"/>
      <c r="H93" s="296"/>
      <c r="I93" s="11"/>
      <c r="J93" s="11"/>
      <c r="K93" s="14"/>
      <c r="L93" s="14"/>
      <c r="M93" s="14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</row>
    <row r="94" spans="1:48" s="69" customFormat="1" x14ac:dyDescent="0.3">
      <c r="A94" s="206"/>
      <c r="B94" s="223"/>
      <c r="C94" s="223"/>
      <c r="D94" s="224"/>
      <c r="E94" s="223"/>
      <c r="F94" s="46"/>
      <c r="G94" s="46"/>
      <c r="H94" s="296"/>
      <c r="K94" s="142"/>
      <c r="L94" s="142"/>
      <c r="M94" s="142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</row>
    <row r="95" spans="1:48" s="70" customFormat="1" x14ac:dyDescent="0.3">
      <c r="A95" s="206"/>
      <c r="B95" s="223"/>
      <c r="C95" s="223"/>
      <c r="D95" s="224"/>
      <c r="E95" s="223"/>
      <c r="F95" s="46"/>
      <c r="G95" s="46"/>
      <c r="H95" s="296"/>
      <c r="I95" s="63"/>
      <c r="J95" s="63"/>
      <c r="K95" s="69"/>
      <c r="L95" s="69"/>
      <c r="M95" s="69"/>
      <c r="N95" s="69"/>
      <c r="O95" s="69"/>
      <c r="P95" s="69"/>
    </row>
    <row r="96" spans="1:48" s="70" customFormat="1" ht="15" customHeight="1" x14ac:dyDescent="0.3">
      <c r="A96" s="206"/>
      <c r="B96" s="223"/>
      <c r="C96" s="223"/>
      <c r="D96" s="224"/>
      <c r="E96" s="223"/>
      <c r="F96" s="46"/>
      <c r="G96" s="46"/>
      <c r="H96" s="296"/>
      <c r="I96" s="11"/>
      <c r="J96" s="63"/>
      <c r="K96" s="142"/>
      <c r="L96" s="142"/>
      <c r="M96" s="142"/>
      <c r="N96" s="69"/>
      <c r="O96" s="69"/>
      <c r="P96" s="69"/>
      <c r="AV96" s="69"/>
    </row>
    <row r="97" spans="1:48" s="70" customFormat="1" x14ac:dyDescent="0.3">
      <c r="A97" s="206"/>
      <c r="B97" s="223"/>
      <c r="C97" s="223"/>
      <c r="D97" s="224"/>
      <c r="E97" s="223"/>
      <c r="F97" s="46"/>
      <c r="G97" s="46"/>
      <c r="H97" s="296"/>
      <c r="I97" s="142"/>
      <c r="J97" s="142"/>
      <c r="K97" s="142"/>
      <c r="L97" s="142"/>
      <c r="M97" s="142"/>
      <c r="N97" s="69"/>
      <c r="O97" s="69"/>
      <c r="P97" s="69"/>
      <c r="AV97" s="69"/>
    </row>
    <row r="98" spans="1:48" s="70" customFormat="1" x14ac:dyDescent="0.3">
      <c r="A98" s="206"/>
      <c r="B98" s="223"/>
      <c r="C98" s="223"/>
      <c r="D98" s="224"/>
      <c r="E98" s="223"/>
      <c r="F98" s="46"/>
      <c r="G98" s="46"/>
      <c r="H98" s="296"/>
      <c r="I98" s="11"/>
      <c r="J98" s="63"/>
      <c r="K98" s="142"/>
      <c r="L98" s="142"/>
      <c r="M98" s="142"/>
      <c r="N98" s="69"/>
      <c r="O98" s="69"/>
      <c r="P98" s="69"/>
      <c r="AV98" s="69"/>
    </row>
    <row r="99" spans="1:48" s="70" customFormat="1" x14ac:dyDescent="0.3">
      <c r="A99" s="206"/>
      <c r="B99" s="223"/>
      <c r="C99" s="223"/>
      <c r="D99" s="224"/>
      <c r="E99" s="223"/>
      <c r="F99" s="46"/>
      <c r="G99" s="46"/>
      <c r="H99" s="296"/>
      <c r="I99" s="142"/>
      <c r="J99" s="142"/>
      <c r="K99" s="142"/>
      <c r="L99" s="142"/>
      <c r="M99" s="142"/>
      <c r="N99" s="69"/>
      <c r="O99" s="69"/>
      <c r="P99" s="69"/>
      <c r="AV99" s="69"/>
    </row>
    <row r="100" spans="1:48" s="70" customFormat="1" x14ac:dyDescent="0.3">
      <c r="A100" s="206"/>
      <c r="B100" s="223"/>
      <c r="C100" s="223"/>
      <c r="D100" s="224"/>
      <c r="E100" s="223"/>
      <c r="F100" s="46"/>
      <c r="G100" s="46"/>
      <c r="H100" s="296"/>
      <c r="I100" s="11"/>
      <c r="J100" s="63"/>
      <c r="K100" s="142"/>
      <c r="L100" s="142"/>
      <c r="M100" s="142"/>
      <c r="N100" s="144"/>
      <c r="O100" s="69"/>
      <c r="P100" s="69"/>
      <c r="AV100" s="69"/>
    </row>
    <row r="101" spans="1:48" s="70" customFormat="1" x14ac:dyDescent="0.3">
      <c r="A101" s="206"/>
      <c r="B101" s="223"/>
      <c r="C101" s="223"/>
      <c r="D101" s="224"/>
      <c r="E101" s="223"/>
      <c r="F101" s="46"/>
      <c r="G101" s="46"/>
      <c r="H101" s="296"/>
      <c r="I101" s="142"/>
      <c r="J101" s="142"/>
      <c r="K101" s="142"/>
      <c r="L101" s="142"/>
      <c r="M101" s="142"/>
      <c r="N101" s="144"/>
      <c r="O101" s="69"/>
      <c r="P101" s="69"/>
      <c r="AV101" s="69"/>
    </row>
    <row r="102" spans="1:48" s="70" customFormat="1" x14ac:dyDescent="0.3">
      <c r="A102" s="206"/>
      <c r="B102" s="223"/>
      <c r="C102" s="223"/>
      <c r="D102" s="224"/>
      <c r="E102" s="223"/>
      <c r="F102" s="46"/>
      <c r="G102" s="46"/>
      <c r="H102" s="296"/>
      <c r="I102" s="11"/>
      <c r="J102" s="63"/>
      <c r="K102" s="142"/>
      <c r="L102" s="142"/>
      <c r="M102" s="142"/>
      <c r="N102" s="144"/>
      <c r="O102" s="69"/>
      <c r="AV102" s="69"/>
    </row>
    <row r="103" spans="1:48" s="70" customFormat="1" x14ac:dyDescent="0.3">
      <c r="A103" s="206"/>
      <c r="B103" s="223"/>
      <c r="C103" s="223"/>
      <c r="D103" s="224"/>
      <c r="E103" s="223"/>
      <c r="F103" s="46"/>
      <c r="G103" s="46"/>
      <c r="H103" s="296"/>
      <c r="I103" s="142"/>
      <c r="J103" s="142"/>
      <c r="K103" s="142"/>
      <c r="L103" s="142"/>
      <c r="M103" s="142"/>
      <c r="N103" s="144"/>
      <c r="O103" s="69"/>
      <c r="AV103" s="69"/>
    </row>
    <row r="104" spans="1:48" s="70" customFormat="1" x14ac:dyDescent="0.3">
      <c r="A104" s="206"/>
      <c r="B104" s="223"/>
      <c r="C104" s="223"/>
      <c r="D104" s="224"/>
      <c r="E104" s="223"/>
      <c r="F104" s="46"/>
      <c r="G104" s="46"/>
      <c r="H104" s="296"/>
      <c r="I104" s="11"/>
      <c r="J104" s="63"/>
      <c r="K104" s="142"/>
      <c r="L104" s="142"/>
      <c r="M104" s="142"/>
      <c r="N104" s="144"/>
      <c r="O104" s="69"/>
      <c r="AV104" s="69"/>
    </row>
    <row r="105" spans="1:48" s="70" customFormat="1" x14ac:dyDescent="0.3">
      <c r="A105" s="148"/>
      <c r="B105" s="225"/>
      <c r="C105" s="225"/>
      <c r="D105" s="225"/>
      <c r="E105" s="225"/>
      <c r="F105" s="46"/>
      <c r="G105" s="46"/>
      <c r="H105" s="296"/>
      <c r="I105" s="142"/>
      <c r="J105" s="142"/>
      <c r="K105" s="142"/>
      <c r="L105" s="142"/>
      <c r="M105" s="142"/>
      <c r="N105" s="144"/>
      <c r="O105" s="144"/>
      <c r="AV105" s="69"/>
    </row>
    <row r="106" spans="1:48" s="70" customFormat="1" x14ac:dyDescent="0.3">
      <c r="A106" s="69"/>
      <c r="B106" s="69"/>
      <c r="C106" s="69"/>
      <c r="D106" s="69"/>
      <c r="E106" s="69"/>
      <c r="F106" s="69"/>
      <c r="G106" s="69"/>
      <c r="H106" s="297"/>
      <c r="I106" s="142"/>
      <c r="J106" s="142"/>
      <c r="K106" s="142"/>
      <c r="L106" s="142"/>
      <c r="M106" s="142"/>
      <c r="N106" s="144"/>
      <c r="O106" s="144"/>
      <c r="AV106" s="69"/>
    </row>
    <row r="107" spans="1:48" s="70" customFormat="1" x14ac:dyDescent="0.3">
      <c r="A107" s="69"/>
      <c r="B107" s="69"/>
      <c r="C107" s="69"/>
      <c r="D107" s="69"/>
      <c r="E107" s="69"/>
      <c r="F107" s="69"/>
      <c r="G107" s="69"/>
      <c r="H107" s="297"/>
      <c r="I107" s="69"/>
      <c r="J107" s="69"/>
      <c r="K107" s="142"/>
      <c r="L107" s="142"/>
      <c r="M107" s="142"/>
      <c r="N107" s="144"/>
      <c r="O107" s="144"/>
      <c r="AV107" s="69"/>
    </row>
    <row r="108" spans="1:48" s="70" customFormat="1" x14ac:dyDescent="0.3">
      <c r="A108" s="69"/>
      <c r="B108" s="69"/>
      <c r="C108" s="69"/>
      <c r="D108" s="69"/>
      <c r="E108" s="69"/>
      <c r="F108" s="69"/>
      <c r="G108" s="69"/>
      <c r="H108" s="297"/>
      <c r="I108" s="69"/>
      <c r="J108" s="69"/>
      <c r="K108" s="142"/>
      <c r="L108" s="142"/>
      <c r="M108" s="142"/>
      <c r="N108" s="144"/>
      <c r="O108" s="144"/>
      <c r="AV108" s="69"/>
    </row>
    <row r="109" spans="1:48" s="70" customFormat="1" x14ac:dyDescent="0.3">
      <c r="A109" s="69"/>
      <c r="B109" s="69"/>
      <c r="C109" s="69"/>
      <c r="D109" s="69"/>
      <c r="E109" s="69"/>
      <c r="F109" s="69"/>
      <c r="G109" s="69"/>
      <c r="H109" s="297"/>
      <c r="I109" s="69"/>
      <c r="J109" s="69"/>
      <c r="K109" s="142"/>
      <c r="L109" s="142"/>
      <c r="M109" s="142"/>
      <c r="N109" s="144"/>
      <c r="O109" s="144"/>
      <c r="AV109" s="69"/>
    </row>
    <row r="110" spans="1:48" s="70" customFormat="1" x14ac:dyDescent="0.3">
      <c r="A110" s="69"/>
      <c r="B110" s="69"/>
      <c r="C110" s="69"/>
      <c r="D110" s="69"/>
      <c r="E110" s="69"/>
      <c r="F110" s="69"/>
      <c r="G110" s="69"/>
      <c r="H110" s="297"/>
      <c r="I110" s="69"/>
      <c r="J110" s="69"/>
      <c r="K110" s="142"/>
      <c r="L110" s="142"/>
      <c r="M110" s="142"/>
      <c r="N110" s="144"/>
      <c r="O110" s="144"/>
      <c r="AV110" s="69"/>
    </row>
    <row r="111" spans="1:48" s="70" customFormat="1" x14ac:dyDescent="0.3">
      <c r="A111" s="69"/>
      <c r="B111" s="69"/>
      <c r="C111" s="69"/>
      <c r="D111" s="69"/>
      <c r="E111" s="69"/>
      <c r="F111" s="69"/>
      <c r="G111" s="69"/>
      <c r="H111" s="297"/>
      <c r="I111" s="69"/>
      <c r="J111" s="69"/>
      <c r="K111" s="142"/>
      <c r="L111" s="142"/>
      <c r="M111" s="142"/>
      <c r="N111" s="144"/>
      <c r="O111" s="144"/>
      <c r="AV111" s="69"/>
    </row>
    <row r="112" spans="1:48" s="70" customFormat="1" x14ac:dyDescent="0.3">
      <c r="A112" s="69"/>
      <c r="B112" s="69"/>
      <c r="C112" s="69"/>
      <c r="D112" s="69"/>
      <c r="E112" s="69"/>
      <c r="F112" s="69"/>
      <c r="G112" s="69"/>
      <c r="H112" s="297"/>
      <c r="I112" s="69"/>
      <c r="J112" s="69"/>
      <c r="K112" s="142"/>
      <c r="L112" s="142"/>
      <c r="M112" s="142"/>
      <c r="N112" s="144"/>
      <c r="O112" s="144"/>
      <c r="AV112" s="69"/>
    </row>
    <row r="113" spans="6:48" s="70" customFormat="1" x14ac:dyDescent="0.3">
      <c r="F113" s="69"/>
      <c r="G113" s="69"/>
      <c r="H113" s="297"/>
      <c r="I113" s="69"/>
      <c r="J113" s="69"/>
      <c r="K113" s="142"/>
      <c r="L113" s="142"/>
      <c r="M113" s="142"/>
      <c r="N113" s="144"/>
      <c r="O113" s="144"/>
      <c r="AV113" s="69"/>
    </row>
    <row r="114" spans="6:48" s="70" customFormat="1" x14ac:dyDescent="0.3">
      <c r="H114" s="298"/>
      <c r="I114" s="69"/>
      <c r="J114" s="69"/>
      <c r="K114" s="142"/>
      <c r="L114" s="142"/>
      <c r="M114" s="142"/>
      <c r="N114" s="144"/>
      <c r="O114" s="144"/>
      <c r="AV114" s="69"/>
    </row>
    <row r="115" spans="6:48" s="70" customFormat="1" x14ac:dyDescent="0.3">
      <c r="H115" s="298"/>
      <c r="K115" s="142"/>
      <c r="L115" s="142"/>
      <c r="M115" s="142"/>
      <c r="N115" s="144"/>
      <c r="O115" s="144"/>
      <c r="AV115" s="69"/>
    </row>
    <row r="116" spans="6:48" s="70" customFormat="1" x14ac:dyDescent="0.3">
      <c r="H116" s="298"/>
      <c r="K116" s="142"/>
      <c r="L116" s="142"/>
      <c r="M116" s="142"/>
      <c r="N116" s="144"/>
      <c r="O116" s="144"/>
      <c r="AV116" s="69"/>
    </row>
    <row r="117" spans="6:48" s="70" customFormat="1" x14ac:dyDescent="0.3">
      <c r="H117" s="298"/>
      <c r="K117" s="142"/>
      <c r="L117" s="142"/>
      <c r="M117" s="142"/>
      <c r="N117" s="144"/>
      <c r="O117" s="144"/>
      <c r="AV117" s="69"/>
    </row>
    <row r="118" spans="6:48" s="70" customFormat="1" x14ac:dyDescent="0.3">
      <c r="H118" s="298"/>
      <c r="K118" s="142"/>
      <c r="L118" s="142"/>
      <c r="M118" s="142"/>
      <c r="N118" s="144"/>
      <c r="O118" s="144"/>
      <c r="AV118" s="69"/>
    </row>
    <row r="119" spans="6:48" s="70" customFormat="1" x14ac:dyDescent="0.3">
      <c r="H119" s="298"/>
      <c r="K119" s="142"/>
      <c r="L119" s="142"/>
      <c r="M119" s="142"/>
      <c r="N119" s="144"/>
      <c r="O119" s="144"/>
      <c r="AV119" s="69"/>
    </row>
    <row r="120" spans="6:48" s="70" customFormat="1" x14ac:dyDescent="0.3">
      <c r="H120" s="298"/>
      <c r="K120" s="142"/>
      <c r="L120" s="142"/>
      <c r="M120" s="142"/>
      <c r="N120" s="144"/>
      <c r="O120" s="144"/>
      <c r="AV120" s="69"/>
    </row>
    <row r="121" spans="6:48" s="70" customFormat="1" x14ac:dyDescent="0.3">
      <c r="H121" s="298"/>
      <c r="K121" s="142"/>
      <c r="L121" s="142"/>
      <c r="M121" s="142"/>
      <c r="N121" s="144"/>
      <c r="O121" s="144"/>
      <c r="AV121" s="69"/>
    </row>
    <row r="122" spans="6:48" s="70" customFormat="1" x14ac:dyDescent="0.3">
      <c r="H122" s="298"/>
      <c r="K122" s="142"/>
      <c r="L122" s="142"/>
      <c r="M122" s="142"/>
      <c r="N122" s="144"/>
      <c r="O122" s="144"/>
      <c r="AV122" s="69"/>
    </row>
    <row r="123" spans="6:48" s="70" customFormat="1" x14ac:dyDescent="0.3">
      <c r="H123" s="298"/>
      <c r="K123" s="142"/>
      <c r="L123" s="142"/>
      <c r="M123" s="142"/>
      <c r="N123" s="144"/>
      <c r="O123" s="144"/>
      <c r="AV123" s="69"/>
    </row>
    <row r="124" spans="6:48" s="70" customFormat="1" x14ac:dyDescent="0.3">
      <c r="H124" s="298"/>
      <c r="K124" s="142"/>
      <c r="L124" s="142"/>
      <c r="M124" s="142"/>
      <c r="N124" s="144"/>
      <c r="O124" s="144"/>
      <c r="AV124" s="69"/>
    </row>
    <row r="125" spans="6:48" s="70" customFormat="1" x14ac:dyDescent="0.3">
      <c r="H125" s="298"/>
      <c r="K125" s="142"/>
      <c r="L125" s="142"/>
      <c r="M125" s="142"/>
      <c r="N125" s="144"/>
      <c r="O125" s="144"/>
      <c r="AV125" s="69"/>
    </row>
    <row r="126" spans="6:48" s="70" customFormat="1" x14ac:dyDescent="0.3">
      <c r="H126" s="298"/>
      <c r="K126" s="142"/>
      <c r="L126" s="142"/>
      <c r="M126" s="142"/>
      <c r="N126" s="144"/>
      <c r="O126" s="144"/>
      <c r="AV126" s="69"/>
    </row>
    <row r="127" spans="6:48" s="70" customFormat="1" x14ac:dyDescent="0.3">
      <c r="H127" s="298"/>
      <c r="K127" s="142"/>
      <c r="L127" s="142"/>
      <c r="M127" s="142"/>
      <c r="N127" s="144"/>
      <c r="O127" s="144"/>
      <c r="AV127" s="69"/>
    </row>
    <row r="128" spans="6:48" s="70" customFormat="1" x14ac:dyDescent="0.3">
      <c r="H128" s="298"/>
      <c r="K128" s="142"/>
      <c r="L128" s="142"/>
      <c r="M128" s="142"/>
      <c r="N128" s="144"/>
      <c r="O128" s="144"/>
      <c r="AV128" s="69"/>
    </row>
    <row r="129" spans="8:48" s="70" customFormat="1" x14ac:dyDescent="0.3">
      <c r="H129" s="298"/>
      <c r="K129" s="142"/>
      <c r="L129" s="142"/>
      <c r="M129" s="142"/>
      <c r="N129" s="144"/>
      <c r="O129" s="144"/>
      <c r="AV129" s="69"/>
    </row>
    <row r="130" spans="8:48" s="70" customFormat="1" x14ac:dyDescent="0.3">
      <c r="H130" s="298"/>
      <c r="K130" s="142"/>
      <c r="L130" s="142"/>
      <c r="M130" s="142"/>
      <c r="N130" s="144"/>
      <c r="O130" s="144"/>
      <c r="AV130" s="69"/>
    </row>
    <row r="131" spans="8:48" s="70" customFormat="1" x14ac:dyDescent="0.3">
      <c r="H131" s="298"/>
      <c r="K131" s="142"/>
      <c r="L131" s="142"/>
      <c r="M131" s="142"/>
      <c r="N131" s="144"/>
      <c r="O131" s="144"/>
      <c r="AV131" s="69"/>
    </row>
    <row r="132" spans="8:48" s="70" customFormat="1" x14ac:dyDescent="0.3">
      <c r="H132" s="298"/>
      <c r="K132" s="142"/>
      <c r="L132" s="142"/>
      <c r="M132" s="142"/>
      <c r="N132" s="144"/>
      <c r="O132" s="144"/>
      <c r="AV132" s="69"/>
    </row>
    <row r="133" spans="8:48" s="70" customFormat="1" x14ac:dyDescent="0.3">
      <c r="H133" s="298"/>
      <c r="K133" s="142"/>
      <c r="L133" s="142"/>
      <c r="M133" s="142"/>
      <c r="N133" s="144"/>
      <c r="O133" s="144"/>
      <c r="AV133" s="69"/>
    </row>
    <row r="134" spans="8:48" s="70" customFormat="1" x14ac:dyDescent="0.3">
      <c r="H134" s="298"/>
      <c r="K134" s="142"/>
      <c r="L134" s="142"/>
      <c r="M134" s="142"/>
      <c r="N134" s="144"/>
      <c r="O134" s="144"/>
      <c r="AV134" s="69"/>
    </row>
    <row r="135" spans="8:48" s="70" customFormat="1" x14ac:dyDescent="0.3">
      <c r="H135" s="298"/>
      <c r="K135" s="142"/>
      <c r="L135" s="142"/>
      <c r="M135" s="142"/>
      <c r="N135" s="144"/>
      <c r="O135" s="144"/>
      <c r="AV135" s="69"/>
    </row>
    <row r="136" spans="8:48" s="70" customFormat="1" x14ac:dyDescent="0.3">
      <c r="H136" s="298"/>
      <c r="K136" s="142"/>
      <c r="L136" s="142"/>
      <c r="M136" s="142"/>
      <c r="N136" s="144"/>
      <c r="O136" s="144"/>
      <c r="AV136" s="69"/>
    </row>
    <row r="137" spans="8:48" s="70" customFormat="1" x14ac:dyDescent="0.3">
      <c r="H137" s="298"/>
      <c r="K137" s="142"/>
      <c r="L137" s="142"/>
      <c r="M137" s="142"/>
      <c r="N137" s="144"/>
      <c r="O137" s="144"/>
      <c r="AV137" s="69"/>
    </row>
    <row r="138" spans="8:48" s="70" customFormat="1" x14ac:dyDescent="0.3">
      <c r="H138" s="298"/>
      <c r="K138" s="142"/>
      <c r="L138" s="142"/>
      <c r="M138" s="142"/>
      <c r="N138" s="144"/>
      <c r="O138" s="144"/>
      <c r="AV138" s="69"/>
    </row>
    <row r="139" spans="8:48" s="70" customFormat="1" x14ac:dyDescent="0.3">
      <c r="H139" s="298"/>
      <c r="K139" s="142"/>
      <c r="L139" s="142"/>
      <c r="M139" s="142"/>
      <c r="N139" s="144"/>
      <c r="O139" s="144"/>
      <c r="AV139" s="69"/>
    </row>
    <row r="140" spans="8:48" s="70" customFormat="1" x14ac:dyDescent="0.3">
      <c r="H140" s="298"/>
      <c r="K140" s="142"/>
      <c r="L140" s="142"/>
      <c r="M140" s="142"/>
      <c r="N140" s="144"/>
      <c r="O140" s="144"/>
      <c r="AV140" s="69"/>
    </row>
    <row r="141" spans="8:48" s="70" customFormat="1" x14ac:dyDescent="0.3">
      <c r="H141" s="298"/>
      <c r="K141" s="142"/>
      <c r="L141" s="142"/>
      <c r="M141" s="142"/>
      <c r="N141" s="144"/>
      <c r="O141" s="144"/>
      <c r="AV141" s="69"/>
    </row>
    <row r="142" spans="8:48" s="70" customFormat="1" x14ac:dyDescent="0.3">
      <c r="H142" s="298"/>
      <c r="K142" s="142"/>
      <c r="L142" s="142"/>
      <c r="M142" s="142"/>
      <c r="N142" s="144"/>
      <c r="O142" s="144"/>
      <c r="AV142" s="69"/>
    </row>
    <row r="143" spans="8:48" s="70" customFormat="1" x14ac:dyDescent="0.3">
      <c r="H143" s="298"/>
      <c r="K143" s="142"/>
      <c r="L143" s="142"/>
      <c r="M143" s="142"/>
      <c r="N143" s="144"/>
      <c r="O143" s="144"/>
      <c r="AV143" s="69"/>
    </row>
    <row r="144" spans="8:48" s="70" customFormat="1" x14ac:dyDescent="0.3">
      <c r="H144" s="298"/>
      <c r="K144" s="142"/>
      <c r="L144" s="142"/>
      <c r="M144" s="142"/>
      <c r="N144" s="144"/>
      <c r="O144" s="144"/>
      <c r="AV144" s="69"/>
    </row>
    <row r="145" spans="8:48" s="70" customFormat="1" x14ac:dyDescent="0.3">
      <c r="H145" s="298"/>
      <c r="K145" s="142"/>
      <c r="L145" s="142"/>
      <c r="M145" s="142"/>
      <c r="N145" s="144"/>
      <c r="O145" s="144"/>
      <c r="AV145" s="69"/>
    </row>
    <row r="146" spans="8:48" s="70" customFormat="1" x14ac:dyDescent="0.3">
      <c r="H146" s="298"/>
      <c r="K146" s="142"/>
      <c r="L146" s="142"/>
      <c r="M146" s="142"/>
      <c r="N146" s="144"/>
      <c r="O146" s="144"/>
      <c r="AV146" s="69"/>
    </row>
    <row r="147" spans="8:48" s="70" customFormat="1" x14ac:dyDescent="0.3">
      <c r="H147" s="298"/>
      <c r="K147" s="142"/>
      <c r="L147" s="142"/>
      <c r="M147" s="142"/>
      <c r="N147" s="144"/>
      <c r="O147" s="144"/>
      <c r="AV147" s="69"/>
    </row>
    <row r="148" spans="8:48" s="70" customFormat="1" x14ac:dyDescent="0.3">
      <c r="H148" s="298"/>
      <c r="K148" s="142"/>
      <c r="L148" s="142"/>
      <c r="M148" s="142"/>
      <c r="N148" s="144"/>
      <c r="O148" s="144"/>
      <c r="AV148" s="69"/>
    </row>
    <row r="149" spans="8:48" s="70" customFormat="1" x14ac:dyDescent="0.3">
      <c r="H149" s="298"/>
      <c r="K149" s="142"/>
      <c r="L149" s="142"/>
      <c r="M149" s="142"/>
      <c r="N149" s="144"/>
      <c r="O149" s="144"/>
      <c r="AV149" s="69"/>
    </row>
    <row r="150" spans="8:48" s="70" customFormat="1" x14ac:dyDescent="0.3">
      <c r="H150" s="298"/>
      <c r="K150" s="142"/>
      <c r="L150" s="142"/>
      <c r="M150" s="142"/>
      <c r="N150" s="144"/>
      <c r="O150" s="144"/>
      <c r="AV150" s="69"/>
    </row>
    <row r="151" spans="8:48" s="70" customFormat="1" x14ac:dyDescent="0.3">
      <c r="H151" s="298"/>
      <c r="K151" s="142"/>
      <c r="L151" s="142"/>
      <c r="M151" s="142"/>
      <c r="N151" s="144"/>
      <c r="O151" s="144"/>
      <c r="AV151" s="69"/>
    </row>
    <row r="152" spans="8:48" s="70" customFormat="1" x14ac:dyDescent="0.3">
      <c r="H152" s="298"/>
      <c r="K152" s="142"/>
      <c r="L152" s="142"/>
      <c r="M152" s="142"/>
      <c r="N152" s="144"/>
      <c r="O152" s="144"/>
      <c r="AV152" s="69"/>
    </row>
    <row r="153" spans="8:48" s="70" customFormat="1" x14ac:dyDescent="0.3">
      <c r="H153" s="298"/>
      <c r="K153" s="142"/>
      <c r="L153" s="142"/>
      <c r="M153" s="142"/>
      <c r="N153" s="144"/>
      <c r="O153" s="144"/>
      <c r="AV153" s="69"/>
    </row>
    <row r="154" spans="8:48" s="70" customFormat="1" x14ac:dyDescent="0.3">
      <c r="H154" s="298"/>
      <c r="K154" s="142"/>
      <c r="L154" s="142"/>
      <c r="M154" s="142"/>
      <c r="N154" s="144"/>
      <c r="O154" s="144"/>
      <c r="AV154" s="69"/>
    </row>
    <row r="155" spans="8:48" s="70" customFormat="1" x14ac:dyDescent="0.3">
      <c r="H155" s="298"/>
      <c r="K155" s="142"/>
      <c r="L155" s="142"/>
      <c r="M155" s="142"/>
      <c r="N155" s="144"/>
      <c r="O155" s="144"/>
      <c r="AV155" s="69"/>
    </row>
    <row r="156" spans="8:48" s="70" customFormat="1" x14ac:dyDescent="0.3">
      <c r="H156" s="298"/>
      <c r="K156" s="142"/>
      <c r="L156" s="142"/>
      <c r="M156" s="142"/>
      <c r="N156" s="144"/>
      <c r="O156" s="144"/>
      <c r="AV156" s="69"/>
    </row>
    <row r="157" spans="8:48" s="70" customFormat="1" x14ac:dyDescent="0.3">
      <c r="H157" s="298"/>
      <c r="K157" s="142"/>
      <c r="L157" s="142"/>
      <c r="M157" s="142"/>
      <c r="N157" s="144"/>
      <c r="O157" s="144"/>
      <c r="AV157" s="69"/>
    </row>
    <row r="158" spans="8:48" s="70" customFormat="1" x14ac:dyDescent="0.3">
      <c r="H158" s="298"/>
      <c r="K158" s="142"/>
      <c r="L158" s="142"/>
      <c r="M158" s="142"/>
      <c r="N158" s="144"/>
      <c r="O158" s="144"/>
      <c r="AV158" s="69"/>
    </row>
    <row r="159" spans="8:48" s="70" customFormat="1" x14ac:dyDescent="0.3">
      <c r="H159" s="298"/>
      <c r="K159" s="142"/>
      <c r="L159" s="142"/>
      <c r="M159" s="142"/>
      <c r="N159" s="144"/>
      <c r="O159" s="144"/>
      <c r="AV159" s="69"/>
    </row>
    <row r="160" spans="8:48" s="70" customFormat="1" x14ac:dyDescent="0.3">
      <c r="H160" s="298"/>
      <c r="K160" s="142"/>
      <c r="L160" s="142"/>
      <c r="M160" s="142"/>
      <c r="N160" s="144"/>
      <c r="O160" s="144"/>
      <c r="AV160" s="69"/>
    </row>
    <row r="161" spans="1:49" s="70" customFormat="1" x14ac:dyDescent="0.3">
      <c r="H161" s="298"/>
      <c r="K161" s="142"/>
      <c r="L161" s="142"/>
      <c r="M161" s="142"/>
      <c r="N161" s="144"/>
      <c r="O161" s="144"/>
      <c r="AV161" s="69"/>
    </row>
    <row r="162" spans="1:49" s="70" customFormat="1" x14ac:dyDescent="0.3">
      <c r="H162" s="298"/>
      <c r="K162" s="142"/>
      <c r="L162" s="142"/>
      <c r="M162" s="142"/>
      <c r="N162" s="144"/>
      <c r="O162" s="144"/>
      <c r="AV162" s="69"/>
    </row>
    <row r="163" spans="1:49" s="70" customFormat="1" x14ac:dyDescent="0.3">
      <c r="H163" s="298"/>
      <c r="K163" s="142"/>
      <c r="L163" s="142"/>
      <c r="M163" s="142"/>
      <c r="N163" s="144"/>
      <c r="O163" s="144"/>
      <c r="AV163" s="69"/>
    </row>
    <row r="164" spans="1:49" s="70" customFormat="1" x14ac:dyDescent="0.3">
      <c r="H164" s="298"/>
      <c r="K164" s="142"/>
      <c r="L164" s="142"/>
      <c r="M164" s="142"/>
      <c r="N164" s="144"/>
      <c r="O164" s="144"/>
      <c r="AV164" s="69"/>
    </row>
    <row r="165" spans="1:49" s="70" customFormat="1" x14ac:dyDescent="0.3">
      <c r="H165" s="298"/>
      <c r="K165" s="142"/>
      <c r="L165" s="142"/>
      <c r="M165" s="142"/>
      <c r="N165" s="144"/>
      <c r="O165" s="144"/>
      <c r="AV165" s="69"/>
    </row>
    <row r="166" spans="1:49" s="70" customFormat="1" x14ac:dyDescent="0.3">
      <c r="H166" s="298"/>
      <c r="K166" s="142"/>
      <c r="L166" s="142"/>
      <c r="M166" s="142"/>
      <c r="N166" s="144"/>
      <c r="O166" s="144"/>
      <c r="AV166" s="69"/>
    </row>
    <row r="167" spans="1:49" s="70" customFormat="1" x14ac:dyDescent="0.3">
      <c r="H167" s="298"/>
      <c r="K167" s="142"/>
      <c r="L167" s="142"/>
      <c r="M167" s="142"/>
      <c r="N167" s="144"/>
      <c r="O167" s="144"/>
      <c r="AV167" s="69"/>
    </row>
    <row r="168" spans="1:49" s="70" customFormat="1" x14ac:dyDescent="0.3">
      <c r="H168" s="298"/>
      <c r="K168" s="142"/>
      <c r="L168" s="142"/>
      <c r="M168" s="142"/>
      <c r="N168" s="144"/>
      <c r="O168" s="144"/>
      <c r="AV168" s="69"/>
    </row>
    <row r="169" spans="1:49" s="70" customFormat="1" x14ac:dyDescent="0.3">
      <c r="H169" s="298"/>
      <c r="K169" s="142"/>
      <c r="L169" s="142"/>
      <c r="M169" s="142"/>
      <c r="N169" s="144"/>
      <c r="O169" s="144"/>
      <c r="AV169" s="69"/>
    </row>
    <row r="170" spans="1:49" s="145" customFormat="1" x14ac:dyDescent="0.3">
      <c r="A170" s="70"/>
      <c r="B170" s="70"/>
      <c r="C170" s="70"/>
      <c r="D170" s="70"/>
      <c r="E170" s="70"/>
      <c r="F170" s="70"/>
      <c r="G170" s="70"/>
      <c r="H170" s="298"/>
      <c r="I170" s="70"/>
      <c r="J170" s="70"/>
      <c r="K170" s="142"/>
      <c r="L170" s="142"/>
      <c r="M170" s="142"/>
      <c r="N170" s="144"/>
      <c r="O170" s="144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69"/>
      <c r="AW170" s="70"/>
    </row>
    <row r="171" spans="1:49" s="145" customFormat="1" x14ac:dyDescent="0.3">
      <c r="A171" s="70"/>
      <c r="B171" s="70"/>
      <c r="C171" s="70"/>
      <c r="D171" s="70"/>
      <c r="E171" s="70"/>
      <c r="F171" s="70"/>
      <c r="G171" s="70"/>
      <c r="H171" s="298"/>
      <c r="I171" s="70"/>
      <c r="J171" s="70"/>
      <c r="K171" s="142"/>
      <c r="L171" s="142"/>
      <c r="M171" s="142"/>
      <c r="N171" s="144"/>
      <c r="O171" s="144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69"/>
      <c r="AW171" s="70"/>
    </row>
    <row r="172" spans="1:49" s="145" customFormat="1" x14ac:dyDescent="0.3">
      <c r="A172" s="70"/>
      <c r="B172" s="70"/>
      <c r="C172" s="70"/>
      <c r="D172" s="70"/>
      <c r="E172" s="70"/>
      <c r="F172" s="70"/>
      <c r="G172" s="70"/>
      <c r="H172" s="298"/>
      <c r="I172" s="70"/>
      <c r="J172" s="70"/>
      <c r="K172" s="142"/>
      <c r="L172" s="142"/>
      <c r="M172" s="142"/>
      <c r="N172" s="144"/>
      <c r="O172" s="144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69"/>
      <c r="AW172" s="70"/>
    </row>
    <row r="173" spans="1:49" s="145" customFormat="1" x14ac:dyDescent="0.3">
      <c r="A173" s="70"/>
      <c r="B173" s="70"/>
      <c r="C173" s="70"/>
      <c r="D173" s="70"/>
      <c r="E173" s="70"/>
      <c r="F173" s="70"/>
      <c r="G173" s="70"/>
      <c r="H173" s="298"/>
      <c r="I173" s="70"/>
      <c r="J173" s="70"/>
      <c r="K173" s="142"/>
      <c r="L173" s="142"/>
      <c r="M173" s="142"/>
      <c r="N173" s="144"/>
      <c r="O173" s="144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69"/>
      <c r="AW173" s="70"/>
    </row>
    <row r="174" spans="1:49" s="145" customFormat="1" x14ac:dyDescent="0.3">
      <c r="A174" s="70"/>
      <c r="B174" s="70"/>
      <c r="C174" s="70"/>
      <c r="D174" s="70"/>
      <c r="E174" s="70"/>
      <c r="F174" s="70"/>
      <c r="G174" s="70"/>
      <c r="H174" s="298"/>
      <c r="I174" s="70"/>
      <c r="J174" s="70"/>
      <c r="K174" s="142"/>
      <c r="L174" s="142"/>
      <c r="M174" s="142"/>
      <c r="N174" s="144"/>
      <c r="O174" s="144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69"/>
      <c r="AW174" s="70"/>
    </row>
    <row r="175" spans="1:49" s="145" customFormat="1" x14ac:dyDescent="0.3">
      <c r="A175" s="70"/>
      <c r="B175" s="70"/>
      <c r="C175" s="70"/>
      <c r="D175" s="70"/>
      <c r="E175" s="70"/>
      <c r="F175" s="70"/>
      <c r="G175" s="70"/>
      <c r="H175" s="298"/>
      <c r="I175" s="70"/>
      <c r="J175" s="70"/>
      <c r="K175" s="142"/>
      <c r="L175" s="142"/>
      <c r="M175" s="142"/>
      <c r="N175" s="144"/>
      <c r="O175" s="144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69"/>
      <c r="AW175" s="70"/>
    </row>
    <row r="176" spans="1:49" s="145" customFormat="1" x14ac:dyDescent="0.3">
      <c r="A176" s="70"/>
      <c r="B176" s="70"/>
      <c r="C176" s="70"/>
      <c r="D176" s="70"/>
      <c r="E176" s="70"/>
      <c r="F176" s="70"/>
      <c r="G176" s="70"/>
      <c r="H176" s="298"/>
      <c r="I176" s="70"/>
      <c r="J176" s="70"/>
      <c r="K176" s="142"/>
      <c r="L176" s="142"/>
      <c r="M176" s="142"/>
      <c r="N176" s="144"/>
      <c r="O176" s="144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69"/>
      <c r="AW176" s="70"/>
    </row>
    <row r="177" spans="1:49" s="145" customFormat="1" x14ac:dyDescent="0.3">
      <c r="A177" s="70"/>
      <c r="B177" s="70"/>
      <c r="C177" s="70"/>
      <c r="D177" s="70"/>
      <c r="E177" s="70"/>
      <c r="F177" s="70"/>
      <c r="G177" s="70"/>
      <c r="H177" s="298"/>
      <c r="I177" s="70"/>
      <c r="J177" s="70"/>
      <c r="K177" s="142"/>
      <c r="L177" s="142"/>
      <c r="M177" s="142"/>
      <c r="N177" s="147"/>
      <c r="O177" s="144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69"/>
      <c r="AW177" s="70"/>
    </row>
    <row r="178" spans="1:49" s="145" customFormat="1" x14ac:dyDescent="0.3">
      <c r="A178" s="70"/>
      <c r="B178" s="70"/>
      <c r="C178" s="70"/>
      <c r="D178" s="70"/>
      <c r="E178" s="70"/>
      <c r="F178" s="70"/>
      <c r="G178" s="70"/>
      <c r="H178" s="298"/>
      <c r="I178" s="70"/>
      <c r="J178" s="70"/>
      <c r="K178" s="142"/>
      <c r="L178" s="142"/>
      <c r="M178" s="142"/>
      <c r="N178" s="147"/>
      <c r="O178" s="144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69"/>
      <c r="AW178" s="70"/>
    </row>
    <row r="179" spans="1:49" s="145" customFormat="1" x14ac:dyDescent="0.3">
      <c r="A179" s="70"/>
      <c r="B179" s="70"/>
      <c r="C179" s="70"/>
      <c r="D179" s="70"/>
      <c r="E179" s="70"/>
      <c r="F179" s="70"/>
      <c r="G179" s="70"/>
      <c r="H179" s="298"/>
      <c r="I179" s="70"/>
      <c r="J179" s="70"/>
      <c r="K179" s="142"/>
      <c r="L179" s="142"/>
      <c r="M179" s="142"/>
      <c r="N179" s="147"/>
      <c r="O179" s="144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69"/>
      <c r="AW179" s="70"/>
    </row>
    <row r="180" spans="1:49" s="145" customFormat="1" x14ac:dyDescent="0.3">
      <c r="A180" s="70"/>
      <c r="B180" s="70"/>
      <c r="C180" s="70"/>
      <c r="D180" s="70"/>
      <c r="E180" s="70"/>
      <c r="F180" s="70"/>
      <c r="G180" s="70"/>
      <c r="H180" s="298"/>
      <c r="I180" s="70"/>
      <c r="J180" s="70"/>
      <c r="K180" s="142"/>
      <c r="L180" s="142"/>
      <c r="M180" s="142"/>
      <c r="N180" s="147"/>
      <c r="O180" s="144"/>
      <c r="P180" s="149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69"/>
      <c r="AW180" s="70"/>
    </row>
    <row r="181" spans="1:49" s="145" customFormat="1" x14ac:dyDescent="0.3">
      <c r="A181" s="70"/>
      <c r="B181" s="70"/>
      <c r="C181" s="70"/>
      <c r="D181" s="70"/>
      <c r="E181" s="70"/>
      <c r="F181" s="70"/>
      <c r="G181" s="70"/>
      <c r="H181" s="298"/>
      <c r="I181" s="70"/>
      <c r="J181" s="70"/>
      <c r="K181" s="142"/>
      <c r="L181" s="142"/>
      <c r="M181" s="142"/>
      <c r="N181" s="147"/>
      <c r="O181" s="144"/>
      <c r="P181" s="149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69"/>
      <c r="AW181" s="70"/>
    </row>
    <row r="182" spans="1:49" s="145" customFormat="1" x14ac:dyDescent="0.3">
      <c r="A182" s="70"/>
      <c r="B182" s="70"/>
      <c r="C182" s="70"/>
      <c r="D182" s="70"/>
      <c r="E182" s="70"/>
      <c r="F182" s="70"/>
      <c r="G182" s="70"/>
      <c r="H182" s="298"/>
      <c r="I182" s="70"/>
      <c r="J182" s="70"/>
      <c r="K182" s="146"/>
      <c r="L182" s="146"/>
      <c r="M182" s="146"/>
      <c r="N182" s="147"/>
      <c r="O182" s="147"/>
      <c r="P182" s="149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69"/>
      <c r="AW182" s="70"/>
    </row>
    <row r="183" spans="1:49" s="145" customFormat="1" x14ac:dyDescent="0.3">
      <c r="A183" s="70"/>
      <c r="B183" s="70"/>
      <c r="C183" s="70"/>
      <c r="D183" s="70"/>
      <c r="E183" s="70"/>
      <c r="F183" s="70"/>
      <c r="G183" s="70"/>
      <c r="H183" s="298"/>
      <c r="I183" s="70"/>
      <c r="J183" s="70"/>
      <c r="K183" s="146"/>
      <c r="L183" s="146"/>
      <c r="M183" s="146"/>
      <c r="N183" s="147"/>
      <c r="O183" s="147"/>
      <c r="P183" s="149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69"/>
      <c r="AW183" s="70"/>
    </row>
    <row r="184" spans="1:49" s="145" customFormat="1" x14ac:dyDescent="0.3">
      <c r="A184" s="70"/>
      <c r="B184" s="70"/>
      <c r="C184" s="70"/>
      <c r="D184" s="70"/>
      <c r="E184" s="70"/>
      <c r="F184" s="70"/>
      <c r="G184" s="70"/>
      <c r="H184" s="298"/>
      <c r="I184" s="70"/>
      <c r="J184" s="70"/>
      <c r="K184" s="146"/>
      <c r="L184" s="146"/>
      <c r="M184" s="146"/>
      <c r="N184" s="147"/>
      <c r="O184" s="147"/>
      <c r="P184" s="149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69"/>
      <c r="AW184" s="70"/>
    </row>
    <row r="185" spans="1:49" s="145" customFormat="1" x14ac:dyDescent="0.3">
      <c r="A185" s="70"/>
      <c r="B185" s="70"/>
      <c r="C185" s="70"/>
      <c r="D185" s="70"/>
      <c r="E185" s="70"/>
      <c r="F185" s="70"/>
      <c r="G185" s="70"/>
      <c r="H185" s="298"/>
      <c r="I185" s="70"/>
      <c r="J185" s="70"/>
      <c r="K185" s="146"/>
      <c r="L185" s="146"/>
      <c r="M185" s="146"/>
      <c r="N185" s="147"/>
      <c r="O185" s="147"/>
      <c r="P185" s="149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69"/>
      <c r="AW185" s="70"/>
    </row>
    <row r="186" spans="1:49" s="145" customFormat="1" x14ac:dyDescent="0.3">
      <c r="A186" s="70"/>
      <c r="B186" s="70"/>
      <c r="C186" s="70"/>
      <c r="D186" s="70"/>
      <c r="E186" s="70"/>
      <c r="F186" s="70"/>
      <c r="G186" s="70"/>
      <c r="H186" s="298"/>
      <c r="I186" s="70"/>
      <c r="J186" s="70"/>
      <c r="K186" s="146"/>
      <c r="L186" s="146"/>
      <c r="M186" s="146"/>
      <c r="N186" s="147"/>
      <c r="O186" s="147"/>
      <c r="P186" s="149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69"/>
      <c r="AW186" s="70"/>
    </row>
    <row r="187" spans="1:49" x14ac:dyDescent="0.3">
      <c r="A187" s="70"/>
      <c r="B187" s="70"/>
      <c r="C187" s="70"/>
      <c r="D187" s="70"/>
      <c r="E187" s="70"/>
      <c r="F187" s="70"/>
      <c r="G187" s="70"/>
      <c r="H187" s="298"/>
      <c r="I187" s="70"/>
      <c r="J187" s="70"/>
      <c r="K187" s="146"/>
      <c r="L187" s="146"/>
      <c r="M187" s="146"/>
      <c r="N187" s="147"/>
      <c r="O187" s="147"/>
      <c r="P187" s="149"/>
      <c r="AV187" s="148"/>
      <c r="AW187" s="148"/>
    </row>
    <row r="188" spans="1:49" x14ac:dyDescent="0.3">
      <c r="A188" s="70"/>
      <c r="B188" s="70"/>
      <c r="C188" s="70"/>
      <c r="D188" s="70"/>
      <c r="E188" s="70"/>
      <c r="F188" s="70"/>
      <c r="G188" s="70"/>
      <c r="H188" s="298"/>
      <c r="I188" s="70"/>
      <c r="J188" s="70"/>
      <c r="K188" s="146"/>
      <c r="L188" s="146"/>
      <c r="M188" s="146"/>
      <c r="N188" s="147"/>
      <c r="O188" s="147"/>
      <c r="P188" s="149"/>
      <c r="AV188" s="148"/>
      <c r="AW188" s="148"/>
    </row>
    <row r="189" spans="1:49" x14ac:dyDescent="0.3">
      <c r="A189" s="70"/>
      <c r="B189" s="70"/>
      <c r="C189" s="70"/>
      <c r="D189" s="70"/>
      <c r="E189" s="70"/>
      <c r="F189" s="70"/>
      <c r="G189" s="70"/>
      <c r="H189" s="298"/>
      <c r="I189" s="70"/>
      <c r="J189" s="70"/>
      <c r="K189" s="146"/>
      <c r="L189" s="146"/>
      <c r="M189" s="146"/>
      <c r="N189" s="147"/>
      <c r="O189" s="147"/>
      <c r="P189" s="149"/>
      <c r="AV189" s="148"/>
      <c r="AW189" s="148"/>
    </row>
    <row r="190" spans="1:49" x14ac:dyDescent="0.3">
      <c r="A190" s="149"/>
      <c r="B190" s="149"/>
      <c r="C190" s="149"/>
      <c r="D190" s="149"/>
      <c r="E190" s="149"/>
      <c r="F190" s="70"/>
      <c r="G190" s="70"/>
      <c r="H190" s="298"/>
      <c r="I190" s="70"/>
      <c r="J190" s="70"/>
      <c r="K190" s="146"/>
      <c r="L190" s="146"/>
      <c r="M190" s="146"/>
      <c r="N190" s="147"/>
      <c r="O190" s="147"/>
      <c r="P190" s="149"/>
      <c r="AV190" s="148"/>
      <c r="AW190" s="148"/>
    </row>
    <row r="191" spans="1:49" x14ac:dyDescent="0.3">
      <c r="A191" s="149"/>
      <c r="B191" s="149"/>
      <c r="C191" s="149"/>
      <c r="D191" s="149"/>
      <c r="E191" s="149"/>
      <c r="F191" s="149"/>
      <c r="G191" s="149"/>
      <c r="H191" s="299"/>
      <c r="I191" s="70"/>
      <c r="J191" s="70"/>
      <c r="K191" s="146"/>
      <c r="L191" s="146"/>
      <c r="M191" s="146"/>
      <c r="N191" s="147"/>
      <c r="O191" s="147"/>
      <c r="P191" s="149"/>
      <c r="AV191" s="148"/>
      <c r="AW191" s="148"/>
    </row>
    <row r="192" spans="1:49" x14ac:dyDescent="0.3">
      <c r="A192" s="149"/>
      <c r="B192" s="149"/>
      <c r="C192" s="149"/>
      <c r="D192" s="149"/>
      <c r="E192" s="149"/>
      <c r="F192" s="149"/>
      <c r="G192" s="149"/>
      <c r="H192" s="299"/>
      <c r="I192" s="149"/>
      <c r="J192" s="149"/>
      <c r="K192" s="146"/>
      <c r="L192" s="146"/>
      <c r="M192" s="146"/>
      <c r="N192" s="147"/>
      <c r="O192" s="147"/>
      <c r="AV192" s="148"/>
      <c r="AW192" s="148"/>
    </row>
    <row r="193" spans="1:49" x14ac:dyDescent="0.3">
      <c r="A193" s="149"/>
      <c r="B193" s="149"/>
      <c r="C193" s="149"/>
      <c r="D193" s="149"/>
      <c r="E193" s="149"/>
      <c r="F193" s="149"/>
      <c r="G193" s="149"/>
      <c r="H193" s="299"/>
      <c r="I193" s="149"/>
      <c r="J193" s="149"/>
      <c r="K193" s="146"/>
      <c r="L193" s="146"/>
      <c r="M193" s="146"/>
      <c r="N193" s="147"/>
      <c r="O193" s="147"/>
      <c r="AV193" s="148"/>
      <c r="AW193" s="148"/>
    </row>
    <row r="194" spans="1:49" x14ac:dyDescent="0.3">
      <c r="A194" s="149"/>
      <c r="B194" s="149"/>
      <c r="C194" s="149"/>
      <c r="D194" s="149"/>
      <c r="E194" s="149"/>
      <c r="F194" s="149"/>
      <c r="G194" s="149"/>
      <c r="H194" s="299"/>
      <c r="I194" s="149"/>
      <c r="J194" s="149"/>
      <c r="K194" s="146"/>
      <c r="L194" s="146"/>
      <c r="M194" s="146"/>
      <c r="O194" s="147"/>
      <c r="AV194" s="148"/>
      <c r="AW194" s="148"/>
    </row>
    <row r="195" spans="1:49" x14ac:dyDescent="0.3">
      <c r="A195" s="149"/>
      <c r="B195" s="149"/>
      <c r="C195" s="149"/>
      <c r="D195" s="149"/>
      <c r="E195" s="149"/>
      <c r="F195" s="149"/>
      <c r="G195" s="149"/>
      <c r="H195" s="299"/>
      <c r="I195" s="149"/>
      <c r="J195" s="149"/>
      <c r="K195" s="146"/>
      <c r="L195" s="146"/>
      <c r="M195" s="146"/>
      <c r="O195" s="147"/>
      <c r="AV195" s="148"/>
      <c r="AW195" s="148"/>
    </row>
    <row r="196" spans="1:49" x14ac:dyDescent="0.3">
      <c r="A196" s="149"/>
      <c r="B196" s="149"/>
      <c r="C196" s="149"/>
      <c r="D196" s="149"/>
      <c r="E196" s="149"/>
      <c r="F196" s="149"/>
      <c r="G196" s="149"/>
      <c r="H196" s="299"/>
      <c r="I196" s="149"/>
      <c r="J196" s="149"/>
      <c r="K196" s="146"/>
      <c r="L196" s="146"/>
      <c r="M196" s="146"/>
      <c r="O196" s="147"/>
      <c r="AV196" s="148"/>
      <c r="AW196" s="148"/>
    </row>
    <row r="197" spans="1:49" x14ac:dyDescent="0.3">
      <c r="A197" s="149"/>
      <c r="B197" s="149"/>
      <c r="C197" s="149"/>
      <c r="D197" s="149"/>
      <c r="E197" s="149"/>
      <c r="F197" s="149"/>
      <c r="G197" s="149"/>
      <c r="H197" s="299"/>
      <c r="I197" s="149"/>
      <c r="J197" s="149"/>
      <c r="K197" s="146"/>
      <c r="L197" s="146"/>
      <c r="M197" s="146"/>
      <c r="O197" s="147"/>
      <c r="AV197" s="148"/>
      <c r="AW197" s="148"/>
    </row>
    <row r="198" spans="1:49" x14ac:dyDescent="0.3">
      <c r="A198" s="149"/>
      <c r="B198" s="149"/>
      <c r="C198" s="149"/>
      <c r="D198" s="149"/>
      <c r="E198" s="149"/>
      <c r="F198" s="149"/>
      <c r="G198" s="149"/>
      <c r="H198" s="299"/>
      <c r="I198" s="149"/>
      <c r="J198" s="149"/>
      <c r="K198" s="146"/>
      <c r="L198" s="146"/>
      <c r="M198" s="146"/>
      <c r="N198" s="148"/>
      <c r="O198" s="147"/>
      <c r="AV198" s="148"/>
      <c r="AW198" s="148"/>
    </row>
    <row r="199" spans="1:49" x14ac:dyDescent="0.3">
      <c r="A199" s="149"/>
      <c r="B199" s="149"/>
      <c r="C199" s="149"/>
      <c r="D199" s="149"/>
      <c r="E199" s="149"/>
      <c r="F199" s="149"/>
      <c r="G199" s="149"/>
      <c r="H199" s="299"/>
      <c r="I199" s="149"/>
      <c r="J199" s="149"/>
    </row>
    <row r="200" spans="1:49" x14ac:dyDescent="0.3">
      <c r="A200" s="149"/>
      <c r="B200" s="149"/>
      <c r="C200" s="149"/>
      <c r="D200" s="149"/>
      <c r="E200" s="149"/>
      <c r="F200" s="149"/>
      <c r="G200" s="149"/>
      <c r="H200" s="299"/>
      <c r="I200" s="149"/>
      <c r="J200" s="14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  <c r="AP200" s="69"/>
      <c r="AQ200" s="69"/>
      <c r="AR200" s="69"/>
      <c r="AS200" s="69"/>
      <c r="AT200" s="69"/>
      <c r="AU200" s="69"/>
      <c r="AV200" s="148"/>
      <c r="AW200" s="148"/>
    </row>
    <row r="201" spans="1:49" x14ac:dyDescent="0.3">
      <c r="A201" s="149"/>
      <c r="B201" s="149"/>
      <c r="C201" s="149"/>
      <c r="D201" s="149"/>
      <c r="E201" s="149"/>
      <c r="F201" s="149"/>
      <c r="G201" s="149"/>
      <c r="H201" s="299"/>
      <c r="I201" s="149"/>
      <c r="J201" s="149"/>
    </row>
    <row r="202" spans="1:49" x14ac:dyDescent="0.3">
      <c r="A202" s="149"/>
      <c r="B202" s="149"/>
      <c r="C202" s="149"/>
      <c r="D202" s="149"/>
      <c r="E202" s="149"/>
      <c r="F202" s="149"/>
      <c r="G202" s="149"/>
      <c r="H202" s="299"/>
      <c r="I202" s="149"/>
      <c r="J202" s="149"/>
    </row>
    <row r="203" spans="1:49" x14ac:dyDescent="0.3">
      <c r="A203" s="149"/>
      <c r="B203" s="149"/>
      <c r="C203" s="149"/>
      <c r="D203" s="149"/>
      <c r="E203" s="149"/>
      <c r="F203" s="149"/>
      <c r="G203" s="149"/>
      <c r="H203" s="299"/>
      <c r="I203" s="149"/>
      <c r="J203" s="149"/>
    </row>
    <row r="204" spans="1:49" x14ac:dyDescent="0.3">
      <c r="A204" s="149"/>
      <c r="B204" s="149"/>
      <c r="C204" s="149"/>
      <c r="D204" s="149"/>
      <c r="E204" s="149"/>
      <c r="F204" s="149"/>
      <c r="G204" s="149"/>
      <c r="H204" s="299"/>
      <c r="I204" s="149"/>
      <c r="J204" s="149"/>
    </row>
    <row r="205" spans="1:49" x14ac:dyDescent="0.3">
      <c r="A205" s="149"/>
      <c r="B205" s="149"/>
      <c r="C205" s="149"/>
      <c r="D205" s="149"/>
      <c r="E205" s="149"/>
      <c r="F205" s="149"/>
      <c r="G205" s="149"/>
      <c r="H205" s="299"/>
      <c r="I205" s="149"/>
      <c r="J205" s="149"/>
    </row>
    <row r="206" spans="1:49" x14ac:dyDescent="0.3">
      <c r="A206" s="149"/>
      <c r="B206" s="149"/>
      <c r="C206" s="149"/>
      <c r="D206" s="149"/>
      <c r="E206" s="149"/>
      <c r="F206" s="149"/>
      <c r="G206" s="149"/>
      <c r="H206" s="299"/>
      <c r="I206" s="149"/>
      <c r="J206" s="149"/>
    </row>
    <row r="207" spans="1:49" x14ac:dyDescent="0.3">
      <c r="F207" s="149"/>
      <c r="G207" s="149"/>
      <c r="H207" s="299"/>
      <c r="I207" s="149"/>
      <c r="J207" s="149"/>
    </row>
    <row r="208" spans="1:49" x14ac:dyDescent="0.3">
      <c r="I208" s="149"/>
      <c r="J208" s="149"/>
    </row>
    <row r="212" spans="11:13" x14ac:dyDescent="0.3">
      <c r="K212" s="148"/>
      <c r="L212" s="148"/>
      <c r="M212" s="148"/>
    </row>
    <row r="1048536" spans="1:60" x14ac:dyDescent="0.3">
      <c r="P1048536" s="57"/>
    </row>
    <row r="1048544" spans="1:60" s="70" customFormat="1" x14ac:dyDescent="0.3">
      <c r="A1048544" s="148"/>
      <c r="B1048544" s="148"/>
      <c r="C1048544" s="148"/>
      <c r="D1048544" s="148"/>
      <c r="E1048544" s="148"/>
      <c r="F1048544" s="148"/>
      <c r="G1048544" s="148"/>
      <c r="H1048544" s="297"/>
      <c r="I1048544" s="148"/>
      <c r="J1048544" s="148"/>
      <c r="K1048544" s="150"/>
      <c r="L1048544" s="150"/>
      <c r="M1048544" s="150"/>
      <c r="N1048544" s="150"/>
      <c r="O1048544" s="150"/>
      <c r="P1048544" s="148"/>
      <c r="AV1048544" s="69"/>
      <c r="AW1048544" s="69"/>
      <c r="AX1048544" s="148"/>
      <c r="AY1048544" s="148"/>
      <c r="AZ1048544" s="148"/>
      <c r="BA1048544" s="148"/>
      <c r="BB1048544" s="148"/>
      <c r="BC1048544" s="148"/>
      <c r="BD1048544" s="148"/>
      <c r="BE1048544" s="148"/>
      <c r="BF1048544" s="148"/>
      <c r="BG1048544" s="148"/>
      <c r="BH1048544" s="148"/>
    </row>
  </sheetData>
  <mergeCells count="37">
    <mergeCell ref="N74:O74"/>
    <mergeCell ref="N68:O68"/>
    <mergeCell ref="N69:O69"/>
    <mergeCell ref="N70:O70"/>
    <mergeCell ref="N71:O71"/>
    <mergeCell ref="N72:O72"/>
    <mergeCell ref="N73:P73"/>
    <mergeCell ref="N67:O67"/>
    <mergeCell ref="A55:J55"/>
    <mergeCell ref="A57:E57"/>
    <mergeCell ref="N57:P57"/>
    <mergeCell ref="N58:O58"/>
    <mergeCell ref="N59:O59"/>
    <mergeCell ref="N60:P61"/>
    <mergeCell ref="N62:P62"/>
    <mergeCell ref="N63:O63"/>
    <mergeCell ref="N64:O64"/>
    <mergeCell ref="N65:O65"/>
    <mergeCell ref="N66:O66"/>
    <mergeCell ref="E54:J54"/>
    <mergeCell ref="B43:J43"/>
    <mergeCell ref="A44:N44"/>
    <mergeCell ref="A45:P45"/>
    <mergeCell ref="E46:J46"/>
    <mergeCell ref="E47:J47"/>
    <mergeCell ref="E48:J48"/>
    <mergeCell ref="E49:J49"/>
    <mergeCell ref="E50:J50"/>
    <mergeCell ref="E51:J51"/>
    <mergeCell ref="E52:J52"/>
    <mergeCell ref="E53:J53"/>
    <mergeCell ref="A38:P38"/>
    <mergeCell ref="A1:P1"/>
    <mergeCell ref="A2:P2"/>
    <mergeCell ref="A6:B6"/>
    <mergeCell ref="A7:P7"/>
    <mergeCell ref="A37:B37"/>
  </mergeCells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CFF39-8960-40E1-AC6B-CFE1C5B7B5F7}">
  <dimension ref="A1:BH1048539"/>
  <sheetViews>
    <sheetView workbookViewId="0">
      <selection activeCell="F11" sqref="F11"/>
    </sheetView>
  </sheetViews>
  <sheetFormatPr defaultColWidth="9.109375" defaultRowHeight="13.8" x14ac:dyDescent="0.3"/>
  <cols>
    <col min="1" max="1" width="57.88671875" style="148" customWidth="1"/>
    <col min="2" max="2" width="8.33203125" style="148" bestFit="1" customWidth="1"/>
    <col min="3" max="3" width="17.33203125" style="148" customWidth="1"/>
    <col min="4" max="4" width="17.109375" style="148" bestFit="1" customWidth="1"/>
    <col min="5" max="5" width="18.33203125" style="148" customWidth="1"/>
    <col min="6" max="6" width="17.109375" style="148" bestFit="1" customWidth="1"/>
    <col min="7" max="7" width="16" style="148" bestFit="1" customWidth="1"/>
    <col min="8" max="8" width="15.88671875" style="297" bestFit="1" customWidth="1"/>
    <col min="9" max="9" width="12.6640625" style="148" customWidth="1"/>
    <col min="10" max="10" width="12.109375" style="148" customWidth="1"/>
    <col min="11" max="11" width="16.77734375" style="150" bestFit="1" customWidth="1"/>
    <col min="12" max="12" width="15.88671875" style="150" bestFit="1" customWidth="1"/>
    <col min="13" max="13" width="17.109375" style="150" bestFit="1" customWidth="1"/>
    <col min="14" max="14" width="130.5546875" style="150" customWidth="1"/>
    <col min="15" max="15" width="8.6640625" style="150" customWidth="1"/>
    <col min="16" max="16" width="16.77734375" style="148" bestFit="1" customWidth="1"/>
    <col min="17" max="18" width="13.109375" style="70" bestFit="1" customWidth="1"/>
    <col min="19" max="47" width="9.109375" style="70"/>
    <col min="48" max="49" width="9.109375" style="69"/>
    <col min="50" max="16384" width="9.109375" style="148"/>
  </cols>
  <sheetData>
    <row r="1" spans="1:42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</row>
    <row r="2" spans="1:42" s="10" customFormat="1" ht="28.5" customHeight="1" x14ac:dyDescent="0.3">
      <c r="A2" s="571" t="s">
        <v>1331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3"/>
    </row>
    <row r="3" spans="1:42" s="10" customFormat="1" ht="33.6" customHeight="1" x14ac:dyDescent="0.3">
      <c r="A3" s="83" t="s">
        <v>3</v>
      </c>
      <c r="B3" s="83" t="s">
        <v>0</v>
      </c>
      <c r="C3" s="83" t="s">
        <v>821</v>
      </c>
      <c r="D3" s="84" t="s">
        <v>1</v>
      </c>
      <c r="E3" s="84" t="s">
        <v>68</v>
      </c>
      <c r="F3" s="84" t="s">
        <v>69</v>
      </c>
      <c r="G3" s="85" t="s">
        <v>2</v>
      </c>
      <c r="H3" s="85" t="s">
        <v>592</v>
      </c>
      <c r="I3" s="84" t="s">
        <v>6</v>
      </c>
      <c r="J3" s="84" t="s">
        <v>7</v>
      </c>
      <c r="K3" s="84" t="s">
        <v>4</v>
      </c>
      <c r="L3" s="84" t="s">
        <v>5</v>
      </c>
      <c r="M3" s="84" t="s">
        <v>70</v>
      </c>
      <c r="N3" s="83" t="s">
        <v>59</v>
      </c>
      <c r="O3" s="86" t="s">
        <v>8</v>
      </c>
      <c r="P3" s="86" t="s">
        <v>10</v>
      </c>
    </row>
    <row r="4" spans="1:42" s="476" customFormat="1" ht="24.6" customHeight="1" x14ac:dyDescent="0.3">
      <c r="A4" s="197" t="s">
        <v>1318</v>
      </c>
      <c r="B4" s="476">
        <v>14</v>
      </c>
      <c r="C4" s="466" t="s">
        <v>823</v>
      </c>
      <c r="D4" s="196">
        <f>680</f>
        <v>680</v>
      </c>
      <c r="E4" s="477">
        <v>0</v>
      </c>
      <c r="F4" s="196">
        <f t="shared" ref="F4" si="0">D4-E4</f>
        <v>680</v>
      </c>
      <c r="G4" s="477">
        <f>25</f>
        <v>25</v>
      </c>
      <c r="H4" s="477">
        <f>(1827.9/27)</f>
        <v>67.7</v>
      </c>
      <c r="I4" s="477">
        <f>'[2]GERAL 2026'!I15</f>
        <v>1.4318262411347515</v>
      </c>
      <c r="J4" s="477">
        <v>0</v>
      </c>
      <c r="K4" s="467">
        <f>SUM(F4:J4)</f>
        <v>774.13182624113483</v>
      </c>
      <c r="L4" s="477">
        <f>60%*(D4+G4)</f>
        <v>423</v>
      </c>
      <c r="M4" s="477">
        <f>K4-L4</f>
        <v>351.13182624113483</v>
      </c>
      <c r="N4" s="196" t="s">
        <v>1117</v>
      </c>
      <c r="O4" s="197">
        <v>10</v>
      </c>
      <c r="P4" s="197">
        <v>11</v>
      </c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208"/>
      <c r="AC4" s="208"/>
      <c r="AD4" s="208"/>
      <c r="AE4" s="208"/>
      <c r="AF4" s="208"/>
      <c r="AG4" s="208"/>
      <c r="AH4" s="208"/>
      <c r="AI4" s="208"/>
      <c r="AJ4" s="208"/>
      <c r="AK4" s="208"/>
      <c r="AL4" s="509"/>
      <c r="AM4" s="403"/>
      <c r="AN4" s="403"/>
      <c r="AO4" s="403"/>
      <c r="AP4" s="403"/>
    </row>
    <row r="5" spans="1:42" s="206" customFormat="1" ht="24.6" customHeight="1" x14ac:dyDescent="0.3">
      <c r="A5" s="195"/>
      <c r="B5" s="466"/>
      <c r="C5" s="466"/>
      <c r="D5" s="196">
        <v>0</v>
      </c>
      <c r="E5" s="477">
        <v>0</v>
      </c>
      <c r="F5" s="196">
        <f>D5-E5</f>
        <v>0</v>
      </c>
      <c r="G5" s="477">
        <v>0</v>
      </c>
      <c r="H5" s="477">
        <v>0</v>
      </c>
      <c r="I5" s="477">
        <v>0</v>
      </c>
      <c r="J5" s="477">
        <v>0</v>
      </c>
      <c r="K5" s="467">
        <f>SUM(F5:J5)</f>
        <v>0</v>
      </c>
      <c r="L5" s="477">
        <f>60%*(D5+G5)</f>
        <v>0</v>
      </c>
      <c r="M5" s="477">
        <f>K5-L5</f>
        <v>0</v>
      </c>
      <c r="N5" s="466"/>
      <c r="O5" s="197"/>
      <c r="P5" s="197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</row>
    <row r="6" spans="1:42" s="10" customFormat="1" ht="25.05" customHeight="1" x14ac:dyDescent="0.3">
      <c r="A6" s="518" t="s">
        <v>4</v>
      </c>
      <c r="B6" s="518"/>
      <c r="C6" s="469"/>
      <c r="D6" s="472">
        <f>SUM(D4:D5)</f>
        <v>680</v>
      </c>
      <c r="E6" s="472">
        <f t="shared" ref="E6:J6" si="1">SUM(E4:E5)</f>
        <v>0</v>
      </c>
      <c r="F6" s="472">
        <f t="shared" si="1"/>
        <v>680</v>
      </c>
      <c r="G6" s="472">
        <f t="shared" si="1"/>
        <v>25</v>
      </c>
      <c r="H6" s="472">
        <f t="shared" si="1"/>
        <v>67.7</v>
      </c>
      <c r="I6" s="472">
        <f t="shared" si="1"/>
        <v>1.4318262411347515</v>
      </c>
      <c r="J6" s="472">
        <f t="shared" si="1"/>
        <v>0</v>
      </c>
      <c r="K6" s="472">
        <f>SUM(K4:K5)</f>
        <v>774.13182624113483</v>
      </c>
      <c r="L6" s="472">
        <f>SUM(L4:L5)</f>
        <v>423</v>
      </c>
      <c r="M6" s="472">
        <f>SUM(M4:M5)</f>
        <v>351.13182624113483</v>
      </c>
      <c r="N6" s="470"/>
      <c r="O6" s="3"/>
      <c r="P6" s="3"/>
    </row>
    <row r="7" spans="1:42" s="10" customFormat="1" ht="25.05" customHeight="1" x14ac:dyDescent="0.3">
      <c r="A7" s="571" t="s">
        <v>1332</v>
      </c>
      <c r="B7" s="572"/>
      <c r="C7" s="572"/>
      <c r="D7" s="572"/>
      <c r="E7" s="572"/>
      <c r="F7" s="572"/>
      <c r="G7" s="572"/>
      <c r="H7" s="572"/>
      <c r="I7" s="572"/>
      <c r="J7" s="572"/>
      <c r="K7" s="572"/>
      <c r="L7" s="572"/>
      <c r="M7" s="572"/>
      <c r="N7" s="572"/>
      <c r="O7" s="572"/>
      <c r="P7" s="573"/>
    </row>
    <row r="8" spans="1:42" s="11" customFormat="1" ht="34.799999999999997" customHeight="1" x14ac:dyDescent="0.3">
      <c r="A8" s="83" t="s">
        <v>3</v>
      </c>
      <c r="B8" s="83" t="s">
        <v>0</v>
      </c>
      <c r="C8" s="83" t="s">
        <v>821</v>
      </c>
      <c r="D8" s="84" t="s">
        <v>1</v>
      </c>
      <c r="E8" s="84" t="s">
        <v>68</v>
      </c>
      <c r="F8" s="84" t="s">
        <v>69</v>
      </c>
      <c r="G8" s="85" t="s">
        <v>2</v>
      </c>
      <c r="H8" s="85" t="s">
        <v>592</v>
      </c>
      <c r="I8" s="84" t="s">
        <v>6</v>
      </c>
      <c r="J8" s="84" t="s">
        <v>7</v>
      </c>
      <c r="K8" s="84" t="s">
        <v>4</v>
      </c>
      <c r="L8" s="84" t="s">
        <v>5</v>
      </c>
      <c r="M8" s="84" t="s">
        <v>70</v>
      </c>
      <c r="N8" s="83" t="s">
        <v>59</v>
      </c>
      <c r="O8" s="86" t="s">
        <v>8</v>
      </c>
      <c r="P8" s="86" t="s">
        <v>10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</row>
    <row r="9" spans="1:42" s="481" customFormat="1" ht="24.6" customHeight="1" x14ac:dyDescent="0.3">
      <c r="A9" s="195" t="s">
        <v>1079</v>
      </c>
      <c r="B9" s="466">
        <v>1</v>
      </c>
      <c r="C9" s="466" t="s">
        <v>830</v>
      </c>
      <c r="D9" s="196">
        <v>637.22</v>
      </c>
      <c r="E9" s="477">
        <v>0</v>
      </c>
      <c r="F9" s="477">
        <f t="shared" ref="F9:F25" si="2">D9-E9</f>
        <v>637.22</v>
      </c>
      <c r="G9" s="196">
        <v>52.23</v>
      </c>
      <c r="H9" s="477">
        <f>(1827.9/27)</f>
        <v>67.7</v>
      </c>
      <c r="I9" s="477">
        <f>'[2]GERAL 2026'!I3</f>
        <v>1.4318262411347515</v>
      </c>
      <c r="J9" s="477">
        <v>0</v>
      </c>
      <c r="K9" s="467">
        <f t="shared" ref="K9:K35" si="3">SUM(F9:J9)</f>
        <v>758.58182624113488</v>
      </c>
      <c r="L9" s="477">
        <f>7%*K9</f>
        <v>53.100727836879443</v>
      </c>
      <c r="M9" s="477">
        <f>(K9-L9)</f>
        <v>705.48109840425548</v>
      </c>
      <c r="N9" s="196" t="s">
        <v>1333</v>
      </c>
      <c r="O9" s="197">
        <v>10</v>
      </c>
      <c r="P9" s="197">
        <v>11</v>
      </c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</row>
    <row r="10" spans="1:42" s="203" customFormat="1" ht="26.4" customHeight="1" x14ac:dyDescent="0.3">
      <c r="A10" s="466" t="s">
        <v>1210</v>
      </c>
      <c r="B10" s="476">
        <v>2</v>
      </c>
      <c r="C10" s="466" t="s">
        <v>822</v>
      </c>
      <c r="D10" s="196">
        <f>660</f>
        <v>660</v>
      </c>
      <c r="E10" s="196">
        <v>0</v>
      </c>
      <c r="F10" s="196">
        <f t="shared" si="2"/>
        <v>660</v>
      </c>
      <c r="G10" s="196">
        <f>50</f>
        <v>50</v>
      </c>
      <c r="H10" s="477">
        <f t="shared" ref="H10:H35" si="4">(1827.9/27)</f>
        <v>67.7</v>
      </c>
      <c r="I10" s="477">
        <f>'[2]GERAL 2026'!I4</f>
        <v>1.4318262411347515</v>
      </c>
      <c r="J10" s="196">
        <v>0</v>
      </c>
      <c r="K10" s="467">
        <f t="shared" si="3"/>
        <v>779.13182624113483</v>
      </c>
      <c r="L10" s="477">
        <f>7%*K10</f>
        <v>54.539227836879441</v>
      </c>
      <c r="M10" s="477">
        <f t="shared" ref="M10:M35" si="5">(K10-L10)</f>
        <v>724.59259840425534</v>
      </c>
      <c r="N10" s="466" t="s">
        <v>1115</v>
      </c>
      <c r="O10" s="197">
        <v>10</v>
      </c>
      <c r="P10" s="197">
        <v>11</v>
      </c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1"/>
      <c r="AM10" s="202"/>
      <c r="AN10" s="202"/>
      <c r="AO10" s="202"/>
      <c r="AP10" s="202"/>
    </row>
    <row r="11" spans="1:42" s="204" customFormat="1" ht="24.6" customHeight="1" x14ac:dyDescent="0.3">
      <c r="A11" s="466" t="s">
        <v>1005</v>
      </c>
      <c r="B11" s="476">
        <v>3</v>
      </c>
      <c r="C11" s="466" t="s">
        <v>822</v>
      </c>
      <c r="D11" s="196">
        <v>0</v>
      </c>
      <c r="E11" s="196">
        <v>0</v>
      </c>
      <c r="F11" s="196">
        <f t="shared" si="2"/>
        <v>0</v>
      </c>
      <c r="G11" s="196">
        <v>0</v>
      </c>
      <c r="H11" s="477">
        <v>0</v>
      </c>
      <c r="I11" s="477">
        <v>0</v>
      </c>
      <c r="J11" s="196">
        <v>0</v>
      </c>
      <c r="K11" s="467">
        <f t="shared" si="3"/>
        <v>0</v>
      </c>
      <c r="L11" s="477">
        <f>7%*K11</f>
        <v>0</v>
      </c>
      <c r="M11" s="477">
        <f t="shared" si="5"/>
        <v>0</v>
      </c>
      <c r="N11" s="466" t="s">
        <v>179</v>
      </c>
      <c r="O11" s="197">
        <v>10</v>
      </c>
      <c r="P11" s="197">
        <v>11</v>
      </c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</row>
    <row r="12" spans="1:42" s="481" customFormat="1" ht="24.6" customHeight="1" x14ac:dyDescent="0.3">
      <c r="A12" s="466" t="s">
        <v>1133</v>
      </c>
      <c r="B12" s="466">
        <v>4</v>
      </c>
      <c r="C12" s="466" t="s">
        <v>829</v>
      </c>
      <c r="D12" s="196">
        <f>660</f>
        <v>660</v>
      </c>
      <c r="E12" s="196">
        <v>0</v>
      </c>
      <c r="F12" s="196">
        <f t="shared" si="2"/>
        <v>660</v>
      </c>
      <c r="G12" s="477">
        <f>50</f>
        <v>50</v>
      </c>
      <c r="H12" s="477">
        <f t="shared" si="4"/>
        <v>67.7</v>
      </c>
      <c r="I12" s="477">
        <f>'[2]GERAL 2026'!I6</f>
        <v>1.4318262411347515</v>
      </c>
      <c r="J12" s="477">
        <v>0</v>
      </c>
      <c r="K12" s="467">
        <f t="shared" si="3"/>
        <v>779.13182624113483</v>
      </c>
      <c r="L12" s="477">
        <f>7%*K12</f>
        <v>54.539227836879441</v>
      </c>
      <c r="M12" s="477">
        <f t="shared" si="5"/>
        <v>724.59259840425534</v>
      </c>
      <c r="N12" s="466" t="s">
        <v>1115</v>
      </c>
      <c r="O12" s="197">
        <v>10</v>
      </c>
      <c r="P12" s="476">
        <v>11</v>
      </c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</row>
    <row r="13" spans="1:42" s="481" customFormat="1" ht="24.6" customHeight="1" x14ac:dyDescent="0.3">
      <c r="A13" s="466" t="s">
        <v>744</v>
      </c>
      <c r="B13" s="466">
        <v>5</v>
      </c>
      <c r="C13" s="466" t="s">
        <v>823</v>
      </c>
      <c r="D13" s="196">
        <f>'[2]GERAL 2023'!G7+(6.53784 %*580)</f>
        <v>617.91947200000004</v>
      </c>
      <c r="E13" s="477">
        <v>0</v>
      </c>
      <c r="F13" s="477">
        <f t="shared" si="2"/>
        <v>617.91947200000004</v>
      </c>
      <c r="G13" s="477">
        <f>50</f>
        <v>50</v>
      </c>
      <c r="H13" s="477">
        <f t="shared" si="4"/>
        <v>67.7</v>
      </c>
      <c r="I13" s="477">
        <f>'[2]GERAL 2026'!I7</f>
        <v>1.4318262411347515</v>
      </c>
      <c r="J13" s="477">
        <v>0</v>
      </c>
      <c r="K13" s="467">
        <f t="shared" si="3"/>
        <v>737.05129824113487</v>
      </c>
      <c r="L13" s="477">
        <f>7%*K13</f>
        <v>51.593590876879446</v>
      </c>
      <c r="M13" s="477">
        <f t="shared" si="5"/>
        <v>685.45770736425538</v>
      </c>
      <c r="N13" s="466" t="s">
        <v>1115</v>
      </c>
      <c r="O13" s="197">
        <v>10</v>
      </c>
      <c r="P13" s="197">
        <v>11</v>
      </c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</row>
    <row r="14" spans="1:42" s="206" customFormat="1" ht="26.4" customHeight="1" x14ac:dyDescent="0.3">
      <c r="A14" s="466" t="s">
        <v>745</v>
      </c>
      <c r="B14" s="466">
        <v>6</v>
      </c>
      <c r="C14" s="466" t="s">
        <v>823</v>
      </c>
      <c r="D14" s="196">
        <f>'[2]GERAL 2023'!G8+(6.53784%*680)</f>
        <v>724.457312</v>
      </c>
      <c r="E14" s="196">
        <v>0</v>
      </c>
      <c r="F14" s="477">
        <f t="shared" si="2"/>
        <v>724.457312</v>
      </c>
      <c r="G14" s="477">
        <v>50</v>
      </c>
      <c r="H14" s="477">
        <f t="shared" si="4"/>
        <v>67.7</v>
      </c>
      <c r="I14" s="477">
        <f>'[2]GERAL 2026'!I8</f>
        <v>2.0045567375886524</v>
      </c>
      <c r="J14" s="477">
        <v>0</v>
      </c>
      <c r="K14" s="467">
        <f t="shared" si="3"/>
        <v>844.16186873758875</v>
      </c>
      <c r="L14" s="477">
        <f t="shared" ref="L14:L35" si="6">7%*K14</f>
        <v>59.091330811631217</v>
      </c>
      <c r="M14" s="477">
        <f t="shared" si="5"/>
        <v>785.07053792595752</v>
      </c>
      <c r="N14" s="466" t="s">
        <v>1115</v>
      </c>
      <c r="O14" s="197">
        <v>10</v>
      </c>
      <c r="P14" s="197">
        <v>11</v>
      </c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</row>
    <row r="15" spans="1:42" s="481" customFormat="1" ht="24.6" customHeight="1" x14ac:dyDescent="0.3">
      <c r="A15" s="466" t="s">
        <v>1136</v>
      </c>
      <c r="B15" s="466">
        <v>7</v>
      </c>
      <c r="C15" s="466" t="s">
        <v>829</v>
      </c>
      <c r="D15" s="196">
        <f>690</f>
        <v>690</v>
      </c>
      <c r="E15" s="196">
        <v>0</v>
      </c>
      <c r="F15" s="196">
        <f t="shared" si="2"/>
        <v>690</v>
      </c>
      <c r="G15" s="196">
        <v>0</v>
      </c>
      <c r="H15" s="477">
        <f t="shared" si="4"/>
        <v>67.7</v>
      </c>
      <c r="I15" s="477">
        <f>'[2]GERAL 2026'!I9</f>
        <v>1.4318262411347515</v>
      </c>
      <c r="J15" s="196">
        <v>0</v>
      </c>
      <c r="K15" s="467">
        <f t="shared" si="3"/>
        <v>759.13182624113483</v>
      </c>
      <c r="L15" s="477">
        <f>7%*K15</f>
        <v>53.139227836879442</v>
      </c>
      <c r="M15" s="477">
        <f t="shared" si="5"/>
        <v>705.99259840425543</v>
      </c>
      <c r="N15" s="196" t="s">
        <v>639</v>
      </c>
      <c r="O15" s="197">
        <v>10</v>
      </c>
      <c r="P15" s="197">
        <v>11</v>
      </c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</row>
    <row r="16" spans="1:42" s="481" customFormat="1" ht="24.6" customHeight="1" x14ac:dyDescent="0.3">
      <c r="A16" s="466" t="s">
        <v>1085</v>
      </c>
      <c r="B16" s="466">
        <v>8</v>
      </c>
      <c r="C16" s="466" t="s">
        <v>830</v>
      </c>
      <c r="D16" s="196">
        <f>668.56</f>
        <v>668.56</v>
      </c>
      <c r="E16" s="477">
        <v>0</v>
      </c>
      <c r="F16" s="196">
        <f t="shared" si="2"/>
        <v>668.56</v>
      </c>
      <c r="G16" s="477">
        <v>0</v>
      </c>
      <c r="H16" s="477">
        <f>(1827.9/27)</f>
        <v>67.7</v>
      </c>
      <c r="I16" s="477">
        <f>'[2]GERAL 2026'!I10</f>
        <v>1.4318262411347515</v>
      </c>
      <c r="J16" s="477">
        <v>0</v>
      </c>
      <c r="K16" s="467">
        <f t="shared" si="3"/>
        <v>737.69182624113478</v>
      </c>
      <c r="L16" s="477">
        <f>7%*K16</f>
        <v>51.638427836879437</v>
      </c>
      <c r="M16" s="477">
        <f t="shared" si="5"/>
        <v>686.05339840425529</v>
      </c>
      <c r="N16" s="196" t="s">
        <v>639</v>
      </c>
      <c r="O16" s="197">
        <v>10</v>
      </c>
      <c r="P16" s="197">
        <v>11</v>
      </c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</row>
    <row r="17" spans="1:47" s="481" customFormat="1" ht="24.6" customHeight="1" x14ac:dyDescent="0.3">
      <c r="A17" s="466" t="s">
        <v>852</v>
      </c>
      <c r="B17" s="466">
        <v>9</v>
      </c>
      <c r="C17" s="466" t="s">
        <v>828</v>
      </c>
      <c r="D17" s="196">
        <f>681.98</f>
        <v>681.98</v>
      </c>
      <c r="E17" s="477">
        <v>0</v>
      </c>
      <c r="F17" s="196">
        <f t="shared" si="2"/>
        <v>681.98</v>
      </c>
      <c r="G17" s="477">
        <v>0</v>
      </c>
      <c r="H17" s="477">
        <f t="shared" si="4"/>
        <v>67.7</v>
      </c>
      <c r="I17" s="477">
        <f>'[2]GERAL 2026'!I11</f>
        <v>1.4318262411347515</v>
      </c>
      <c r="J17" s="477">
        <v>0</v>
      </c>
      <c r="K17" s="467">
        <f t="shared" si="3"/>
        <v>751.11182624113485</v>
      </c>
      <c r="L17" s="477">
        <f>7%*K17</f>
        <v>52.577827836879443</v>
      </c>
      <c r="M17" s="477">
        <f t="shared" si="5"/>
        <v>698.53399840425539</v>
      </c>
      <c r="N17" s="466" t="s">
        <v>639</v>
      </c>
      <c r="O17" s="207">
        <v>10</v>
      </c>
      <c r="P17" s="197">
        <v>11</v>
      </c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</row>
    <row r="18" spans="1:47" s="148" customFormat="1" ht="24.6" customHeight="1" x14ac:dyDescent="0.3">
      <c r="A18" s="476" t="s">
        <v>739</v>
      </c>
      <c r="B18" s="476">
        <v>10</v>
      </c>
      <c r="C18" s="476" t="s">
        <v>825</v>
      </c>
      <c r="D18" s="196">
        <f>588.62</f>
        <v>588.62</v>
      </c>
      <c r="E18" s="477">
        <v>0</v>
      </c>
      <c r="F18" s="196">
        <f t="shared" si="2"/>
        <v>588.62</v>
      </c>
      <c r="G18" s="477">
        <v>26.76</v>
      </c>
      <c r="H18" s="477">
        <f t="shared" si="4"/>
        <v>67.7</v>
      </c>
      <c r="I18" s="477">
        <f>'[2]GERAL 2026'!I12</f>
        <v>1.4318262411347515</v>
      </c>
      <c r="J18" s="477">
        <v>0</v>
      </c>
      <c r="K18" s="467">
        <f t="shared" si="3"/>
        <v>684.51182624113483</v>
      </c>
      <c r="L18" s="477">
        <f t="shared" si="6"/>
        <v>47.915827836879444</v>
      </c>
      <c r="M18" s="477">
        <f t="shared" si="5"/>
        <v>636.5959984042554</v>
      </c>
      <c r="N18" s="196" t="s">
        <v>1117</v>
      </c>
      <c r="O18" s="197">
        <v>10</v>
      </c>
      <c r="P18" s="476">
        <v>11</v>
      </c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  <c r="AI18" s="208"/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  <c r="AT18" s="208"/>
      <c r="AU18" s="208"/>
    </row>
    <row r="19" spans="1:47" s="148" customFormat="1" ht="24.6" customHeight="1" x14ac:dyDescent="0.3">
      <c r="A19" s="476" t="s">
        <v>1192</v>
      </c>
      <c r="B19" s="476">
        <v>11</v>
      </c>
      <c r="C19" s="476" t="s">
        <v>825</v>
      </c>
      <c r="D19" s="477">
        <f>660</f>
        <v>660</v>
      </c>
      <c r="E19" s="477">
        <v>0</v>
      </c>
      <c r="F19" s="196">
        <f t="shared" si="2"/>
        <v>660</v>
      </c>
      <c r="G19" s="477">
        <f>25</f>
        <v>25</v>
      </c>
      <c r="H19" s="477">
        <f t="shared" si="4"/>
        <v>67.7</v>
      </c>
      <c r="I19" s="477">
        <f>'[2]GERAL 2026'!I13</f>
        <v>1.4318262411347515</v>
      </c>
      <c r="J19" s="477">
        <v>0</v>
      </c>
      <c r="K19" s="467">
        <f t="shared" si="3"/>
        <v>754.13182624113483</v>
      </c>
      <c r="L19" s="477">
        <f>7%*K19</f>
        <v>52.789227836879441</v>
      </c>
      <c r="M19" s="477">
        <f t="shared" si="5"/>
        <v>701.34259840425534</v>
      </c>
      <c r="N19" s="196" t="s">
        <v>1117</v>
      </c>
      <c r="O19" s="197">
        <v>10</v>
      </c>
      <c r="P19" s="476">
        <v>11</v>
      </c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8"/>
      <c r="AR19" s="208"/>
      <c r="AS19" s="208"/>
      <c r="AT19" s="208"/>
      <c r="AU19" s="208"/>
    </row>
    <row r="20" spans="1:47" s="481" customFormat="1" ht="24" customHeight="1" x14ac:dyDescent="0.3">
      <c r="A20" s="466" t="s">
        <v>1087</v>
      </c>
      <c r="B20" s="466">
        <v>12</v>
      </c>
      <c r="C20" s="466" t="s">
        <v>830</v>
      </c>
      <c r="D20" s="196">
        <v>637.22</v>
      </c>
      <c r="E20" s="477">
        <v>0</v>
      </c>
      <c r="F20" s="477">
        <f t="shared" si="2"/>
        <v>637.22</v>
      </c>
      <c r="G20" s="196">
        <v>52.23</v>
      </c>
      <c r="H20" s="477">
        <f t="shared" si="4"/>
        <v>67.7</v>
      </c>
      <c r="I20" s="477">
        <f>'[2]GERAL 2026'!I14</f>
        <v>1.4318262411347515</v>
      </c>
      <c r="J20" s="196">
        <v>0</v>
      </c>
      <c r="K20" s="467">
        <f t="shared" si="3"/>
        <v>758.58182624113488</v>
      </c>
      <c r="L20" s="477">
        <f t="shared" si="6"/>
        <v>53.100727836879443</v>
      </c>
      <c r="M20" s="477">
        <f t="shared" si="5"/>
        <v>705.48109840425548</v>
      </c>
      <c r="N20" s="196" t="s">
        <v>1115</v>
      </c>
      <c r="O20" s="197">
        <v>10</v>
      </c>
      <c r="P20" s="197">
        <v>11</v>
      </c>
      <c r="Q20" s="198"/>
      <c r="R20" s="198"/>
      <c r="S20" s="198"/>
      <c r="T20" s="198"/>
      <c r="U20" s="198"/>
      <c r="V20" s="198"/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</row>
    <row r="21" spans="1:47" s="206" customFormat="1" ht="24.6" customHeight="1" x14ac:dyDescent="0.3">
      <c r="A21" s="466" t="s">
        <v>756</v>
      </c>
      <c r="B21" s="466">
        <v>13</v>
      </c>
      <c r="C21" s="466" t="s">
        <v>827</v>
      </c>
      <c r="D21" s="196">
        <v>596.77</v>
      </c>
      <c r="E21" s="196">
        <v>0</v>
      </c>
      <c r="F21" s="196">
        <f t="shared" si="2"/>
        <v>596.77</v>
      </c>
      <c r="G21" s="477">
        <v>0</v>
      </c>
      <c r="H21" s="477">
        <f t="shared" si="4"/>
        <v>67.7</v>
      </c>
      <c r="I21" s="477">
        <f>'[2]GERAL 2026'!I15</f>
        <v>1.4318262411347515</v>
      </c>
      <c r="J21" s="477">
        <v>0</v>
      </c>
      <c r="K21" s="467">
        <f t="shared" si="3"/>
        <v>665.90182624113481</v>
      </c>
      <c r="L21" s="477">
        <f t="shared" si="6"/>
        <v>46.613127836879443</v>
      </c>
      <c r="M21" s="477">
        <f t="shared" si="5"/>
        <v>619.28869840425534</v>
      </c>
      <c r="N21" s="466" t="s">
        <v>639</v>
      </c>
      <c r="O21" s="197">
        <v>10</v>
      </c>
      <c r="P21" s="197">
        <v>11</v>
      </c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</row>
    <row r="22" spans="1:47" s="148" customFormat="1" ht="24.6" customHeight="1" x14ac:dyDescent="0.3">
      <c r="A22" s="197" t="s">
        <v>1318</v>
      </c>
      <c r="B22" s="476">
        <v>14</v>
      </c>
      <c r="C22" s="466" t="s">
        <v>823</v>
      </c>
      <c r="D22" s="196">
        <v>0</v>
      </c>
      <c r="E22" s="477">
        <v>0</v>
      </c>
      <c r="F22" s="196">
        <f t="shared" si="2"/>
        <v>0</v>
      </c>
      <c r="G22" s="477">
        <v>0</v>
      </c>
      <c r="H22" s="477">
        <v>0</v>
      </c>
      <c r="I22" s="477">
        <v>0</v>
      </c>
      <c r="J22" s="477">
        <v>0</v>
      </c>
      <c r="K22" s="467">
        <f t="shared" si="3"/>
        <v>0</v>
      </c>
      <c r="L22" s="477">
        <f t="shared" si="6"/>
        <v>0</v>
      </c>
      <c r="M22" s="477">
        <f t="shared" si="5"/>
        <v>0</v>
      </c>
      <c r="N22" s="196" t="s">
        <v>108</v>
      </c>
      <c r="O22" s="197">
        <v>10</v>
      </c>
      <c r="P22" s="476">
        <v>11</v>
      </c>
      <c r="Q22" s="208"/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  <c r="AD22" s="208"/>
      <c r="AE22" s="208"/>
      <c r="AF22" s="208"/>
      <c r="AG22" s="208"/>
      <c r="AH22" s="208"/>
      <c r="AI22" s="208"/>
      <c r="AJ22" s="208"/>
      <c r="AK22" s="208"/>
      <c r="AL22" s="208"/>
      <c r="AM22" s="208"/>
      <c r="AN22" s="208"/>
      <c r="AO22" s="208"/>
      <c r="AP22" s="208"/>
      <c r="AQ22" s="208"/>
      <c r="AR22" s="208"/>
      <c r="AS22" s="208"/>
      <c r="AT22" s="208"/>
      <c r="AU22" s="208"/>
    </row>
    <row r="23" spans="1:47" s="204" customFormat="1" ht="24.6" customHeight="1" x14ac:dyDescent="0.3">
      <c r="A23" s="466" t="s">
        <v>748</v>
      </c>
      <c r="B23" s="466">
        <v>15</v>
      </c>
      <c r="C23" s="466" t="s">
        <v>827</v>
      </c>
      <c r="D23" s="196">
        <v>737.83</v>
      </c>
      <c r="E23" s="477">
        <v>0</v>
      </c>
      <c r="F23" s="196">
        <f t="shared" si="2"/>
        <v>737.83</v>
      </c>
      <c r="G23" s="477">
        <v>27.13</v>
      </c>
      <c r="H23" s="477">
        <f t="shared" si="4"/>
        <v>67.7</v>
      </c>
      <c r="I23" s="477">
        <f>'[2]GERAL 2026'!I17</f>
        <v>2.0045567375886524</v>
      </c>
      <c r="J23" s="477">
        <v>0</v>
      </c>
      <c r="K23" s="467">
        <f t="shared" si="3"/>
        <v>834.66455673758878</v>
      </c>
      <c r="L23" s="477">
        <f t="shared" si="6"/>
        <v>58.426518971631218</v>
      </c>
      <c r="M23" s="477">
        <f t="shared" si="5"/>
        <v>776.23803776595753</v>
      </c>
      <c r="N23" s="466" t="s">
        <v>1117</v>
      </c>
      <c r="O23" s="197">
        <v>10</v>
      </c>
      <c r="P23" s="476">
        <v>11</v>
      </c>
      <c r="Q23" s="200"/>
      <c r="R23" s="200"/>
      <c r="S23" s="200"/>
      <c r="T23" s="200"/>
      <c r="U23" s="200"/>
      <c r="V23" s="200"/>
      <c r="W23" s="200"/>
      <c r="X23" s="200"/>
      <c r="Y23" s="200"/>
    </row>
    <row r="24" spans="1:47" s="206" customFormat="1" ht="24.6" customHeight="1" x14ac:dyDescent="0.3">
      <c r="A24" s="197" t="s">
        <v>1195</v>
      </c>
      <c r="B24" s="197">
        <v>16</v>
      </c>
      <c r="C24" s="476" t="s">
        <v>825</v>
      </c>
      <c r="D24" s="196">
        <f>690</f>
        <v>690</v>
      </c>
      <c r="E24" s="477">
        <v>0</v>
      </c>
      <c r="F24" s="196">
        <f>D24-E24</f>
        <v>690</v>
      </c>
      <c r="G24" s="477">
        <f>50</f>
        <v>50</v>
      </c>
      <c r="H24" s="477">
        <f t="shared" si="4"/>
        <v>67.7</v>
      </c>
      <c r="I24" s="477">
        <f>'[2]GERAL 2026'!I18</f>
        <v>1.4318262411347515</v>
      </c>
      <c r="J24" s="477">
        <v>0</v>
      </c>
      <c r="K24" s="467">
        <f t="shared" si="3"/>
        <v>809.13182624113483</v>
      </c>
      <c r="L24" s="477">
        <f t="shared" si="6"/>
        <v>56.639227836879442</v>
      </c>
      <c r="M24" s="477">
        <f t="shared" si="5"/>
        <v>752.49259840425543</v>
      </c>
      <c r="N24" s="196" t="s">
        <v>1115</v>
      </c>
      <c r="O24" s="197">
        <v>10</v>
      </c>
      <c r="P24" s="197">
        <v>11</v>
      </c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  <c r="AP24" s="205"/>
    </row>
    <row r="25" spans="1:47" s="206" customFormat="1" ht="24.6" customHeight="1" x14ac:dyDescent="0.3">
      <c r="A25" s="195" t="s">
        <v>1029</v>
      </c>
      <c r="B25" s="195">
        <v>17</v>
      </c>
      <c r="C25" s="195" t="s">
        <v>824</v>
      </c>
      <c r="D25" s="196">
        <f>628.06</f>
        <v>628.05999999999995</v>
      </c>
      <c r="E25" s="477">
        <v>0</v>
      </c>
      <c r="F25" s="196">
        <f t="shared" si="2"/>
        <v>628.05999999999995</v>
      </c>
      <c r="G25" s="477">
        <v>51.48</v>
      </c>
      <c r="H25" s="477">
        <f t="shared" si="4"/>
        <v>67.7</v>
      </c>
      <c r="I25" s="477">
        <f>'[2]GERAL 2026'!I19</f>
        <v>1.4318262411347515</v>
      </c>
      <c r="J25" s="477">
        <v>0</v>
      </c>
      <c r="K25" s="467">
        <f t="shared" si="3"/>
        <v>748.6718262411348</v>
      </c>
      <c r="L25" s="477">
        <f>7%*K25</f>
        <v>52.407027836879443</v>
      </c>
      <c r="M25" s="477">
        <f t="shared" si="5"/>
        <v>696.26479840425532</v>
      </c>
      <c r="N25" s="466" t="s">
        <v>1115</v>
      </c>
      <c r="O25" s="197">
        <v>10</v>
      </c>
      <c r="P25" s="197">
        <v>11</v>
      </c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</row>
    <row r="26" spans="1:47" s="206" customFormat="1" ht="24.6" customHeight="1" x14ac:dyDescent="0.3">
      <c r="A26" s="195" t="s">
        <v>1030</v>
      </c>
      <c r="B26" s="466">
        <v>18</v>
      </c>
      <c r="C26" s="195" t="s">
        <v>824</v>
      </c>
      <c r="D26" s="196">
        <v>658.95</v>
      </c>
      <c r="E26" s="477">
        <v>0</v>
      </c>
      <c r="F26" s="196">
        <f>D26-E26</f>
        <v>658.95</v>
      </c>
      <c r="G26" s="477">
        <v>0</v>
      </c>
      <c r="H26" s="477">
        <f t="shared" si="4"/>
        <v>67.7</v>
      </c>
      <c r="I26" s="477">
        <f>'[2]GERAL 2026'!I20</f>
        <v>1.4318262411347515</v>
      </c>
      <c r="J26" s="477">
        <v>0</v>
      </c>
      <c r="K26" s="467">
        <f t="shared" si="3"/>
        <v>728.08182624113488</v>
      </c>
      <c r="L26" s="477">
        <f t="shared" si="6"/>
        <v>50.965727836879445</v>
      </c>
      <c r="M26" s="477">
        <f t="shared" si="5"/>
        <v>677.11609840425547</v>
      </c>
      <c r="N26" s="466" t="s">
        <v>639</v>
      </c>
      <c r="O26" s="197">
        <v>10</v>
      </c>
      <c r="P26" s="197">
        <v>11</v>
      </c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</row>
    <row r="27" spans="1:47" s="206" customFormat="1" ht="24.6" customHeight="1" x14ac:dyDescent="0.3">
      <c r="A27" s="466" t="s">
        <v>1012</v>
      </c>
      <c r="B27" s="466">
        <v>19</v>
      </c>
      <c r="C27" s="466" t="s">
        <v>822</v>
      </c>
      <c r="D27" s="196">
        <f>605.44</f>
        <v>605.44000000000005</v>
      </c>
      <c r="E27" s="477">
        <v>0</v>
      </c>
      <c r="F27" s="196">
        <f>(D27-E27)</f>
        <v>605.44000000000005</v>
      </c>
      <c r="G27" s="477">
        <v>52.19</v>
      </c>
      <c r="H27" s="477">
        <f t="shared" si="4"/>
        <v>67.7</v>
      </c>
      <c r="I27" s="477">
        <f>'[2]GERAL 2026'!I21</f>
        <v>1.4318262411347515</v>
      </c>
      <c r="J27" s="477">
        <v>0</v>
      </c>
      <c r="K27" s="467">
        <f t="shared" si="3"/>
        <v>726.76182624113494</v>
      </c>
      <c r="L27" s="477">
        <f t="shared" si="6"/>
        <v>50.873327836879447</v>
      </c>
      <c r="M27" s="477">
        <f t="shared" si="5"/>
        <v>675.88849840425553</v>
      </c>
      <c r="N27" s="466" t="s">
        <v>1115</v>
      </c>
      <c r="O27" s="207">
        <v>10</v>
      </c>
      <c r="P27" s="197">
        <v>11</v>
      </c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</row>
    <row r="28" spans="1:47" s="206" customFormat="1" ht="24" customHeight="1" x14ac:dyDescent="0.3">
      <c r="A28" s="195" t="s">
        <v>1214</v>
      </c>
      <c r="B28" s="466">
        <v>20</v>
      </c>
      <c r="C28" s="466" t="s">
        <v>822</v>
      </c>
      <c r="D28" s="196">
        <f>660</f>
        <v>660</v>
      </c>
      <c r="E28" s="477">
        <v>0</v>
      </c>
      <c r="F28" s="196">
        <f t="shared" ref="F28:F35" si="7">D28-E28</f>
        <v>660</v>
      </c>
      <c r="G28" s="477">
        <f>50</f>
        <v>50</v>
      </c>
      <c r="H28" s="477">
        <f t="shared" si="4"/>
        <v>67.7</v>
      </c>
      <c r="I28" s="477">
        <f>'[2]GERAL 2026'!I22</f>
        <v>1.4318262411347515</v>
      </c>
      <c r="J28" s="477">
        <v>0</v>
      </c>
      <c r="K28" s="467">
        <f t="shared" si="3"/>
        <v>779.13182624113483</v>
      </c>
      <c r="L28" s="477">
        <f t="shared" si="6"/>
        <v>54.539227836879441</v>
      </c>
      <c r="M28" s="477">
        <f t="shared" si="5"/>
        <v>724.59259840425534</v>
      </c>
      <c r="N28" s="466" t="s">
        <v>1115</v>
      </c>
      <c r="O28" s="207">
        <v>10</v>
      </c>
      <c r="P28" s="197">
        <v>11</v>
      </c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</row>
    <row r="29" spans="1:47" s="206" customFormat="1" ht="25.2" customHeight="1" x14ac:dyDescent="0.3">
      <c r="A29" s="195" t="s">
        <v>788</v>
      </c>
      <c r="B29" s="466">
        <v>21</v>
      </c>
      <c r="C29" s="466" t="s">
        <v>822</v>
      </c>
      <c r="D29" s="196">
        <f>620.28</f>
        <v>620.28</v>
      </c>
      <c r="E29" s="477">
        <v>0</v>
      </c>
      <c r="F29" s="196">
        <f t="shared" si="7"/>
        <v>620.28</v>
      </c>
      <c r="G29" s="477">
        <v>26.1</v>
      </c>
      <c r="H29" s="477">
        <f t="shared" si="4"/>
        <v>67.7</v>
      </c>
      <c r="I29" s="477">
        <f>'[2]GERAL 2026'!I23</f>
        <v>1.4318262411347515</v>
      </c>
      <c r="J29" s="477">
        <v>0</v>
      </c>
      <c r="K29" s="467">
        <f t="shared" si="3"/>
        <v>715.51182624113483</v>
      </c>
      <c r="L29" s="477">
        <f t="shared" si="6"/>
        <v>50.085827836879446</v>
      </c>
      <c r="M29" s="477">
        <f t="shared" si="5"/>
        <v>665.42599840425532</v>
      </c>
      <c r="N29" s="466" t="s">
        <v>1117</v>
      </c>
      <c r="O29" s="207">
        <v>10</v>
      </c>
      <c r="P29" s="197">
        <v>11</v>
      </c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</row>
    <row r="30" spans="1:47" s="206" customFormat="1" ht="24.6" customHeight="1" x14ac:dyDescent="0.3">
      <c r="A30" s="338" t="s">
        <v>950</v>
      </c>
      <c r="B30" s="216">
        <v>22</v>
      </c>
      <c r="C30" s="216" t="s">
        <v>951</v>
      </c>
      <c r="D30" s="217">
        <v>662.35</v>
      </c>
      <c r="E30" s="210">
        <v>0</v>
      </c>
      <c r="F30" s="217">
        <f t="shared" si="7"/>
        <v>662.35</v>
      </c>
      <c r="G30" s="210">
        <v>0</v>
      </c>
      <c r="H30" s="477">
        <f t="shared" si="4"/>
        <v>67.7</v>
      </c>
      <c r="I30" s="210">
        <f>'[2]GERAL 2026'!I24</f>
        <v>1.4318262411347515</v>
      </c>
      <c r="J30" s="210">
        <v>0</v>
      </c>
      <c r="K30" s="339">
        <f t="shared" si="3"/>
        <v>731.48182624113485</v>
      </c>
      <c r="L30" s="210">
        <f>7%*K30</f>
        <v>51.203727836879445</v>
      </c>
      <c r="M30" s="477">
        <f t="shared" si="5"/>
        <v>680.27809840425539</v>
      </c>
      <c r="N30" s="216" t="s">
        <v>639</v>
      </c>
      <c r="O30" s="340">
        <v>10</v>
      </c>
      <c r="P30" s="235">
        <v>11</v>
      </c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</row>
    <row r="31" spans="1:47" s="466" customFormat="1" ht="24.6" customHeight="1" x14ac:dyDescent="0.3">
      <c r="A31" s="195" t="s">
        <v>1169</v>
      </c>
      <c r="B31" s="466">
        <v>23</v>
      </c>
      <c r="C31" s="466" t="s">
        <v>827</v>
      </c>
      <c r="D31" s="196">
        <f>660</f>
        <v>660</v>
      </c>
      <c r="E31" s="477">
        <v>0</v>
      </c>
      <c r="F31" s="196">
        <f t="shared" si="7"/>
        <v>660</v>
      </c>
      <c r="G31" s="477">
        <f>(50+25)</f>
        <v>75</v>
      </c>
      <c r="H31" s="477">
        <f t="shared" si="4"/>
        <v>67.7</v>
      </c>
      <c r="I31" s="477">
        <f>'[2]GERAL 2026'!I25</f>
        <v>1.4318262411347515</v>
      </c>
      <c r="J31" s="477">
        <v>0</v>
      </c>
      <c r="K31" s="467">
        <f t="shared" si="3"/>
        <v>804.13182624113483</v>
      </c>
      <c r="L31" s="477">
        <f>7%*K31</f>
        <v>56.289227836879441</v>
      </c>
      <c r="M31" s="477">
        <f t="shared" si="5"/>
        <v>747.84259840425534</v>
      </c>
      <c r="N31" s="466" t="s">
        <v>1334</v>
      </c>
      <c r="O31" s="197">
        <v>10</v>
      </c>
      <c r="P31" s="197">
        <v>11</v>
      </c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</row>
    <row r="32" spans="1:47" s="203" customFormat="1" ht="25.2" customHeight="1" x14ac:dyDescent="0.3">
      <c r="A32" s="466" t="s">
        <v>1171</v>
      </c>
      <c r="B32" s="466">
        <v>24</v>
      </c>
      <c r="C32" s="466" t="s">
        <v>827</v>
      </c>
      <c r="D32" s="196">
        <f>740</f>
        <v>740</v>
      </c>
      <c r="E32" s="477">
        <v>0</v>
      </c>
      <c r="F32" s="196">
        <f>D32-E32</f>
        <v>740</v>
      </c>
      <c r="G32" s="477">
        <f>50</f>
        <v>50</v>
      </c>
      <c r="H32" s="477">
        <f t="shared" si="4"/>
        <v>67.7</v>
      </c>
      <c r="I32" s="477">
        <f>'[2]GERAL 2026'!I26</f>
        <v>2.0045567375886524</v>
      </c>
      <c r="J32" s="477">
        <v>0</v>
      </c>
      <c r="K32" s="467">
        <f t="shared" si="3"/>
        <v>859.70455673758875</v>
      </c>
      <c r="L32" s="477">
        <f>7%*K32</f>
        <v>60.179318971631218</v>
      </c>
      <c r="M32" s="477">
        <f t="shared" si="5"/>
        <v>799.52523776595751</v>
      </c>
      <c r="N32" s="466" t="s">
        <v>1115</v>
      </c>
      <c r="O32" s="197">
        <v>10</v>
      </c>
      <c r="P32" s="197">
        <v>11</v>
      </c>
      <c r="Q32" s="202"/>
      <c r="R32" s="202"/>
      <c r="S32" s="202"/>
      <c r="T32" s="202"/>
      <c r="U32" s="202"/>
      <c r="V32" s="202"/>
      <c r="W32" s="202"/>
      <c r="X32" s="202"/>
      <c r="Y32" s="202"/>
    </row>
    <row r="33" spans="1:47" s="204" customFormat="1" ht="24.6" customHeight="1" x14ac:dyDescent="0.3">
      <c r="A33" s="206" t="s">
        <v>1007</v>
      </c>
      <c r="B33" s="341">
        <v>25</v>
      </c>
      <c r="C33" s="341" t="s">
        <v>822</v>
      </c>
      <c r="D33" s="342">
        <v>668.07</v>
      </c>
      <c r="E33" s="343">
        <v>0</v>
      </c>
      <c r="F33" s="342">
        <f t="shared" si="7"/>
        <v>668.07</v>
      </c>
      <c r="G33" s="343">
        <v>26.1</v>
      </c>
      <c r="H33" s="477">
        <f t="shared" si="4"/>
        <v>67.7</v>
      </c>
      <c r="I33" s="343">
        <f>'[2]GERAL 2026'!I27</f>
        <v>1.4318262411347515</v>
      </c>
      <c r="J33" s="343">
        <v>0</v>
      </c>
      <c r="K33" s="344">
        <f t="shared" si="3"/>
        <v>763.3018262411349</v>
      </c>
      <c r="L33" s="343">
        <f t="shared" si="6"/>
        <v>53.431127836879448</v>
      </c>
      <c r="M33" s="477">
        <f t="shared" si="5"/>
        <v>709.87069840425545</v>
      </c>
      <c r="N33" s="341" t="s">
        <v>1117</v>
      </c>
      <c r="O33" s="345">
        <v>10</v>
      </c>
      <c r="P33" s="346">
        <v>11</v>
      </c>
      <c r="Q33" s="200"/>
      <c r="R33" s="200"/>
      <c r="S33" s="200"/>
      <c r="T33" s="200"/>
      <c r="U33" s="200"/>
      <c r="V33" s="200"/>
      <c r="W33" s="200"/>
      <c r="X33" s="200"/>
      <c r="Y33" s="200"/>
    </row>
    <row r="34" spans="1:47" s="206" customFormat="1" ht="26.4" customHeight="1" x14ac:dyDescent="0.3">
      <c r="A34" s="195" t="s">
        <v>1252</v>
      </c>
      <c r="B34" s="466">
        <v>26</v>
      </c>
      <c r="C34" s="466" t="s">
        <v>1253</v>
      </c>
      <c r="D34" s="196">
        <f>660</f>
        <v>660</v>
      </c>
      <c r="E34" s="477">
        <v>0</v>
      </c>
      <c r="F34" s="196">
        <f t="shared" si="7"/>
        <v>660</v>
      </c>
      <c r="G34" s="477">
        <v>0</v>
      </c>
      <c r="H34" s="477">
        <f t="shared" si="4"/>
        <v>67.7</v>
      </c>
      <c r="I34" s="477">
        <f>'[2]GERAL 2026'!I28</f>
        <v>1.4318262411347515</v>
      </c>
      <c r="J34" s="477">
        <v>0</v>
      </c>
      <c r="K34" s="467">
        <f t="shared" si="3"/>
        <v>729.13182624113483</v>
      </c>
      <c r="L34" s="477">
        <f>7%*K34</f>
        <v>51.039227836879441</v>
      </c>
      <c r="M34" s="477">
        <f t="shared" si="5"/>
        <v>678.09259840425534</v>
      </c>
      <c r="N34" s="466" t="s">
        <v>639</v>
      </c>
      <c r="O34" s="197">
        <v>10</v>
      </c>
      <c r="P34" s="197">
        <v>11</v>
      </c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</row>
    <row r="35" spans="1:47" s="206" customFormat="1" ht="24.6" customHeight="1" x14ac:dyDescent="0.3">
      <c r="A35" s="195" t="s">
        <v>752</v>
      </c>
      <c r="B35" s="466">
        <v>27</v>
      </c>
      <c r="C35" s="216" t="s">
        <v>827</v>
      </c>
      <c r="D35" s="217">
        <v>629.32000000000005</v>
      </c>
      <c r="E35" s="210">
        <v>0</v>
      </c>
      <c r="F35" s="196">
        <f t="shared" si="7"/>
        <v>629.32000000000005</v>
      </c>
      <c r="G35" s="210">
        <v>0</v>
      </c>
      <c r="H35" s="477">
        <f t="shared" si="4"/>
        <v>67.7</v>
      </c>
      <c r="I35" s="210">
        <f>'[2]GERAL 2026'!I29</f>
        <v>1.4318262411347515</v>
      </c>
      <c r="J35" s="210">
        <v>0</v>
      </c>
      <c r="K35" s="467">
        <f t="shared" si="3"/>
        <v>698.45182624113488</v>
      </c>
      <c r="L35" s="477">
        <f t="shared" si="6"/>
        <v>48.891627836879444</v>
      </c>
      <c r="M35" s="477">
        <f t="shared" si="5"/>
        <v>649.5601984042554</v>
      </c>
      <c r="N35" s="466" t="s">
        <v>639</v>
      </c>
      <c r="O35" s="197">
        <v>10</v>
      </c>
      <c r="P35" s="197">
        <v>11</v>
      </c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</row>
    <row r="36" spans="1:47" s="206" customFormat="1" ht="25.05" customHeight="1" x14ac:dyDescent="0.3">
      <c r="A36" s="584" t="s">
        <v>4</v>
      </c>
      <c r="B36" s="584"/>
      <c r="C36" s="480"/>
      <c r="D36" s="467">
        <f>SUM(D9:D35)</f>
        <v>16443.046784000002</v>
      </c>
      <c r="E36" s="467">
        <f t="shared" ref="E36:M36" si="8">SUM(E9:E35)</f>
        <v>0</v>
      </c>
      <c r="F36" s="467">
        <f t="shared" si="8"/>
        <v>16443.046784000002</v>
      </c>
      <c r="G36" s="467">
        <f t="shared" si="8"/>
        <v>764.22</v>
      </c>
      <c r="H36" s="467">
        <f t="shared" si="8"/>
        <v>1692.5000000000007</v>
      </c>
      <c r="I36" s="467">
        <f t="shared" si="8"/>
        <v>37.513847517730476</v>
      </c>
      <c r="J36" s="467">
        <f t="shared" si="8"/>
        <v>0</v>
      </c>
      <c r="K36" s="467">
        <f t="shared" si="8"/>
        <v>18937.280631517733</v>
      </c>
      <c r="L36" s="467">
        <f t="shared" si="8"/>
        <v>1325.6096442062412</v>
      </c>
      <c r="M36" s="467">
        <f t="shared" si="8"/>
        <v>17611.670987311492</v>
      </c>
      <c r="N36" s="466"/>
      <c r="O36" s="197"/>
      <c r="P36" s="197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</row>
    <row r="37" spans="1:47" s="11" customFormat="1" ht="28.5" customHeight="1" x14ac:dyDescent="0.3">
      <c r="A37" s="521" t="s">
        <v>1335</v>
      </c>
      <c r="B37" s="521"/>
      <c r="C37" s="521"/>
      <c r="D37" s="521"/>
      <c r="E37" s="521"/>
      <c r="F37" s="521"/>
      <c r="G37" s="521"/>
      <c r="H37" s="521"/>
      <c r="I37" s="521"/>
      <c r="J37" s="521"/>
      <c r="K37" s="521"/>
      <c r="L37" s="521"/>
      <c r="M37" s="521"/>
      <c r="N37" s="521"/>
      <c r="O37" s="521"/>
      <c r="P37" s="521"/>
      <c r="Q37" s="10"/>
      <c r="R37" s="10"/>
      <c r="S37" s="10"/>
      <c r="T37" s="10"/>
      <c r="U37" s="10"/>
      <c r="V37" s="10"/>
      <c r="W37" s="10"/>
      <c r="X37" s="10"/>
      <c r="Y37" s="10"/>
    </row>
    <row r="38" spans="1:47" s="11" customFormat="1" ht="27.6" customHeight="1" x14ac:dyDescent="0.3">
      <c r="A38" s="465" t="s">
        <v>3</v>
      </c>
      <c r="B38" s="465" t="s">
        <v>0</v>
      </c>
      <c r="C38" s="465" t="s">
        <v>821</v>
      </c>
      <c r="D38" s="473" t="s">
        <v>1</v>
      </c>
      <c r="E38" s="473" t="s">
        <v>68</v>
      </c>
      <c r="F38" s="473" t="s">
        <v>69</v>
      </c>
      <c r="G38" s="510" t="s">
        <v>2</v>
      </c>
      <c r="H38" s="510" t="s">
        <v>592</v>
      </c>
      <c r="I38" s="473" t="s">
        <v>6</v>
      </c>
      <c r="J38" s="473" t="s">
        <v>7</v>
      </c>
      <c r="K38" s="473" t="s">
        <v>4</v>
      </c>
      <c r="L38" s="473" t="s">
        <v>5</v>
      </c>
      <c r="M38" s="473" t="s">
        <v>70</v>
      </c>
      <c r="N38" s="465" t="s">
        <v>59</v>
      </c>
      <c r="O38" s="130" t="s">
        <v>8</v>
      </c>
      <c r="P38" s="130" t="s">
        <v>10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47" s="204" customFormat="1" ht="24.6" customHeight="1" x14ac:dyDescent="0.3">
      <c r="A39" s="341" t="s">
        <v>1005</v>
      </c>
      <c r="B39" s="511">
        <v>3</v>
      </c>
      <c r="C39" s="341" t="s">
        <v>822</v>
      </c>
      <c r="D39" s="196">
        <v>704.26</v>
      </c>
      <c r="E39" s="512">
        <v>0</v>
      </c>
      <c r="F39" s="196">
        <f>D39-E39</f>
        <v>704.26</v>
      </c>
      <c r="G39" s="512">
        <v>0</v>
      </c>
      <c r="H39" s="512">
        <v>74.88</v>
      </c>
      <c r="I39" s="512">
        <v>1.58</v>
      </c>
      <c r="J39" s="512">
        <v>0</v>
      </c>
      <c r="K39" s="467">
        <f>SUM(F39:J39)</f>
        <v>780.72</v>
      </c>
      <c r="L39" s="477">
        <f>7%*K39</f>
        <v>54.650400000000005</v>
      </c>
      <c r="M39" s="477">
        <f>K39-L39</f>
        <v>726.06960000000004</v>
      </c>
      <c r="N39" s="466" t="s">
        <v>1336</v>
      </c>
      <c r="O39" s="197">
        <v>10</v>
      </c>
      <c r="P39" s="403">
        <v>11</v>
      </c>
      <c r="Q39" s="200"/>
      <c r="R39" s="200"/>
      <c r="S39" s="200"/>
      <c r="T39" s="200"/>
      <c r="U39" s="200"/>
      <c r="V39" s="200"/>
      <c r="W39" s="200"/>
      <c r="X39" s="200"/>
    </row>
    <row r="40" spans="1:47" s="11" customFormat="1" ht="25.05" customHeight="1" x14ac:dyDescent="0.3">
      <c r="A40" s="469" t="s">
        <v>4</v>
      </c>
      <c r="B40" s="518"/>
      <c r="C40" s="518"/>
      <c r="D40" s="518"/>
      <c r="E40" s="518"/>
      <c r="F40" s="518"/>
      <c r="G40" s="518"/>
      <c r="H40" s="518"/>
      <c r="I40" s="518"/>
      <c r="J40" s="518"/>
      <c r="K40" s="472">
        <f>SUM(K39:K39)</f>
        <v>780.72</v>
      </c>
      <c r="L40" s="472">
        <f>SUM(L39:L39)</f>
        <v>54.650400000000005</v>
      </c>
      <c r="M40" s="472">
        <f>SUM(M39:M39)</f>
        <v>726.06960000000004</v>
      </c>
      <c r="N40" s="472"/>
      <c r="O40" s="472"/>
      <c r="P40" s="472"/>
      <c r="Q40" s="10"/>
      <c r="R40" s="10"/>
      <c r="S40" s="10"/>
      <c r="T40" s="10"/>
      <c r="U40" s="10"/>
      <c r="V40" s="10"/>
      <c r="W40" s="10"/>
      <c r="X40" s="10"/>
      <c r="Y40" s="10"/>
    </row>
    <row r="41" spans="1:47" s="11" customFormat="1" x14ac:dyDescent="0.3">
      <c r="A41" s="518"/>
      <c r="B41" s="518"/>
      <c r="C41" s="518"/>
      <c r="D41" s="518"/>
      <c r="E41" s="518"/>
      <c r="F41" s="518"/>
      <c r="G41" s="518"/>
      <c r="H41" s="518"/>
      <c r="I41" s="518"/>
      <c r="J41" s="518"/>
      <c r="K41" s="518"/>
      <c r="L41" s="518"/>
      <c r="M41" s="518"/>
      <c r="N41" s="518"/>
      <c r="O41" s="472"/>
      <c r="P41" s="472"/>
      <c r="Q41" s="10"/>
      <c r="R41" s="10"/>
      <c r="S41" s="10"/>
      <c r="T41" s="10"/>
      <c r="U41" s="10"/>
      <c r="V41" s="10"/>
      <c r="W41" s="10"/>
      <c r="X41" s="10"/>
      <c r="Y41" s="10"/>
    </row>
    <row r="42" spans="1:47" s="11" customFormat="1" ht="28.5" customHeight="1" x14ac:dyDescent="0.3">
      <c r="A42" s="521" t="s">
        <v>177</v>
      </c>
      <c r="B42" s="521"/>
      <c r="C42" s="521"/>
      <c r="D42" s="521"/>
      <c r="E42" s="521"/>
      <c r="F42" s="521"/>
      <c r="G42" s="521"/>
      <c r="H42" s="521"/>
      <c r="I42" s="521"/>
      <c r="J42" s="521"/>
      <c r="K42" s="521"/>
      <c r="L42" s="521"/>
      <c r="M42" s="521"/>
      <c r="N42" s="521"/>
      <c r="O42" s="521"/>
      <c r="P42" s="521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47" s="11" customFormat="1" ht="25.5" customHeight="1" x14ac:dyDescent="0.3">
      <c r="A43" s="471" t="s">
        <v>173</v>
      </c>
      <c r="B43" s="471" t="s">
        <v>0</v>
      </c>
      <c r="C43" s="465" t="s">
        <v>821</v>
      </c>
      <c r="D43" s="471" t="s">
        <v>174</v>
      </c>
      <c r="E43" s="521" t="s">
        <v>175</v>
      </c>
      <c r="F43" s="521"/>
      <c r="G43" s="521"/>
      <c r="H43" s="521"/>
      <c r="I43" s="521"/>
      <c r="J43" s="521"/>
      <c r="K43" s="479" t="s">
        <v>4</v>
      </c>
      <c r="L43" s="473"/>
      <c r="M43" s="473"/>
      <c r="N43" s="465" t="s">
        <v>59</v>
      </c>
      <c r="O43" s="130" t="s">
        <v>8</v>
      </c>
      <c r="P43" s="130" t="s">
        <v>10</v>
      </c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47" s="69" customFormat="1" ht="25.05" customHeight="1" x14ac:dyDescent="0.3">
      <c r="A44" s="470" t="s">
        <v>1005</v>
      </c>
      <c r="B44" s="478">
        <v>3</v>
      </c>
      <c r="C44" s="470" t="s">
        <v>822</v>
      </c>
      <c r="D44" s="5">
        <f>636.76+67.7+1.43</f>
        <v>705.89</v>
      </c>
      <c r="E44" s="595" t="s">
        <v>1337</v>
      </c>
      <c r="F44" s="595"/>
      <c r="G44" s="595"/>
      <c r="H44" s="595"/>
      <c r="I44" s="595"/>
      <c r="J44" s="595"/>
      <c r="K44" s="5">
        <f>636.76+67.7+1.43</f>
        <v>705.89</v>
      </c>
      <c r="L44" s="5"/>
      <c r="M44" s="5"/>
      <c r="N44" s="5" t="s">
        <v>1338</v>
      </c>
      <c r="O44" s="140">
        <v>10</v>
      </c>
      <c r="P44" s="478">
        <v>11</v>
      </c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</row>
    <row r="45" spans="1:47" s="11" customFormat="1" ht="25.05" customHeight="1" x14ac:dyDescent="0.3">
      <c r="A45" s="3" t="s">
        <v>1282</v>
      </c>
      <c r="B45" s="478">
        <v>14</v>
      </c>
      <c r="C45" s="470" t="s">
        <v>828</v>
      </c>
      <c r="D45" s="482">
        <f>1972-453.77</f>
        <v>1518.23</v>
      </c>
      <c r="E45" s="546" t="s">
        <v>715</v>
      </c>
      <c r="F45" s="547"/>
      <c r="G45" s="547"/>
      <c r="H45" s="547"/>
      <c r="I45" s="547"/>
      <c r="J45" s="548"/>
      <c r="K45" s="482">
        <f>1972-453.77</f>
        <v>1518.23</v>
      </c>
      <c r="L45" s="5"/>
      <c r="M45" s="5"/>
      <c r="N45" s="470" t="s">
        <v>1324</v>
      </c>
      <c r="O45" s="140">
        <v>10</v>
      </c>
      <c r="P45" s="478">
        <v>11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47" s="11" customFormat="1" ht="25.05" customHeight="1" x14ac:dyDescent="0.3">
      <c r="A46" s="466" t="s">
        <v>965</v>
      </c>
      <c r="B46" s="476">
        <v>11</v>
      </c>
      <c r="C46" s="466" t="s">
        <v>827</v>
      </c>
      <c r="D46" s="477">
        <f>1191.38-297.85-200</f>
        <v>693.53000000000009</v>
      </c>
      <c r="E46" s="551" t="s">
        <v>715</v>
      </c>
      <c r="F46" s="580"/>
      <c r="G46" s="580"/>
      <c r="H46" s="580"/>
      <c r="I46" s="580"/>
      <c r="J46" s="552"/>
      <c r="K46" s="477">
        <f>1191.38-297.85-200</f>
        <v>693.53000000000009</v>
      </c>
      <c r="L46" s="274"/>
      <c r="M46" s="274"/>
      <c r="N46" s="466" t="s">
        <v>1294</v>
      </c>
      <c r="O46" s="140">
        <v>10</v>
      </c>
      <c r="P46" s="478">
        <v>11</v>
      </c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47" s="69" customFormat="1" ht="25.05" customHeight="1" x14ac:dyDescent="0.3">
      <c r="A47" s="478" t="s">
        <v>132</v>
      </c>
      <c r="B47" s="478">
        <v>1</v>
      </c>
      <c r="C47" s="478"/>
      <c r="D47" s="5">
        <f>4977.59-1520</f>
        <v>3457.59</v>
      </c>
      <c r="E47" s="595" t="s">
        <v>284</v>
      </c>
      <c r="F47" s="595"/>
      <c r="G47" s="595"/>
      <c r="H47" s="595"/>
      <c r="I47" s="595"/>
      <c r="J47" s="595"/>
      <c r="K47" s="5">
        <f>4977.59-1520</f>
        <v>3457.59</v>
      </c>
      <c r="L47" s="5"/>
      <c r="M47" s="5"/>
      <c r="N47" s="5" t="s">
        <v>510</v>
      </c>
      <c r="O47" s="140">
        <v>10</v>
      </c>
      <c r="P47" s="478">
        <v>11</v>
      </c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</row>
    <row r="48" spans="1:47" s="11" customFormat="1" ht="29.4" customHeight="1" x14ac:dyDescent="0.3">
      <c r="A48" s="470" t="s">
        <v>87</v>
      </c>
      <c r="B48" s="470">
        <v>25</v>
      </c>
      <c r="C48" s="470"/>
      <c r="D48" s="5">
        <v>3013.33</v>
      </c>
      <c r="E48" s="595" t="s">
        <v>1296</v>
      </c>
      <c r="F48" s="595"/>
      <c r="G48" s="595"/>
      <c r="H48" s="595"/>
      <c r="I48" s="595"/>
      <c r="J48" s="595"/>
      <c r="K48" s="275">
        <v>3040.58</v>
      </c>
      <c r="L48" s="482"/>
      <c r="M48" s="482"/>
      <c r="N48" s="5" t="s">
        <v>545</v>
      </c>
      <c r="O48" s="98">
        <v>10</v>
      </c>
      <c r="P48" s="3">
        <v>11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</row>
    <row r="49" spans="1:60" s="11" customFormat="1" ht="25.05" customHeight="1" x14ac:dyDescent="0.3">
      <c r="A49" s="3" t="s">
        <v>894</v>
      </c>
      <c r="B49" s="470">
        <v>16</v>
      </c>
      <c r="C49" s="470" t="s">
        <v>823</v>
      </c>
      <c r="D49" s="5">
        <f>144.52+11.29+12.89+0.3+0.18+1664</f>
        <v>1833.18</v>
      </c>
      <c r="E49" s="595" t="s">
        <v>1297</v>
      </c>
      <c r="F49" s="595"/>
      <c r="G49" s="595"/>
      <c r="H49" s="595"/>
      <c r="I49" s="595"/>
      <c r="J49" s="595"/>
      <c r="K49" s="275">
        <f>144.52+11.29+12.89+0.3+0.18+1664</f>
        <v>1833.18</v>
      </c>
      <c r="L49" s="482"/>
      <c r="M49" s="482"/>
      <c r="N49" s="468" t="s">
        <v>969</v>
      </c>
      <c r="O49" s="98">
        <v>10</v>
      </c>
      <c r="P49" s="3">
        <v>11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  <row r="50" spans="1:60" s="206" customFormat="1" ht="25.05" customHeight="1" x14ac:dyDescent="0.3">
      <c r="A50" s="237" t="s">
        <v>902</v>
      </c>
      <c r="B50" s="195">
        <v>17</v>
      </c>
      <c r="C50" s="195" t="s">
        <v>823</v>
      </c>
      <c r="D50" s="196">
        <v>2080.41</v>
      </c>
      <c r="E50" s="551" t="s">
        <v>1011</v>
      </c>
      <c r="F50" s="580"/>
      <c r="G50" s="580"/>
      <c r="H50" s="580"/>
      <c r="I50" s="580"/>
      <c r="J50" s="552"/>
      <c r="K50" s="196">
        <v>300</v>
      </c>
      <c r="L50" s="477"/>
      <c r="M50" s="477"/>
      <c r="N50" s="466" t="s">
        <v>1039</v>
      </c>
      <c r="O50" s="235">
        <v>10</v>
      </c>
      <c r="P50" s="197">
        <v>11</v>
      </c>
      <c r="Q50" s="205"/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</row>
    <row r="51" spans="1:60" s="206" customFormat="1" ht="25.05" customHeight="1" x14ac:dyDescent="0.3">
      <c r="A51" s="237" t="s">
        <v>902</v>
      </c>
      <c r="B51" s="195">
        <v>17</v>
      </c>
      <c r="C51" s="195" t="s">
        <v>823</v>
      </c>
      <c r="D51" s="196">
        <v>2080.41</v>
      </c>
      <c r="E51" s="551" t="s">
        <v>1011</v>
      </c>
      <c r="F51" s="580"/>
      <c r="G51" s="580"/>
      <c r="H51" s="580"/>
      <c r="I51" s="580"/>
      <c r="J51" s="552"/>
      <c r="K51" s="196">
        <v>300</v>
      </c>
      <c r="L51" s="477"/>
      <c r="M51" s="477"/>
      <c r="N51" s="466" t="s">
        <v>1049</v>
      </c>
      <c r="O51" s="235">
        <v>10</v>
      </c>
      <c r="P51" s="197">
        <v>11</v>
      </c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  <c r="AC51" s="205"/>
      <c r="AD51" s="205"/>
      <c r="AE51" s="205"/>
      <c r="AF51" s="205"/>
      <c r="AG51" s="205"/>
      <c r="AH51" s="205"/>
      <c r="AI51" s="205"/>
      <c r="AJ51" s="205"/>
      <c r="AK51" s="205"/>
      <c r="AL51" s="205"/>
      <c r="AM51" s="205"/>
      <c r="AN51" s="205"/>
      <c r="AO51" s="205"/>
      <c r="AP51" s="205"/>
    </row>
    <row r="52" spans="1:60" s="40" customFormat="1" ht="15" customHeight="1" thickBot="1" x14ac:dyDescent="0.35">
      <c r="A52" s="534" t="s">
        <v>4</v>
      </c>
      <c r="B52" s="549"/>
      <c r="C52" s="549"/>
      <c r="D52" s="549"/>
      <c r="E52" s="549"/>
      <c r="F52" s="549"/>
      <c r="G52" s="549"/>
      <c r="H52" s="549"/>
      <c r="I52" s="549"/>
      <c r="J52" s="535"/>
      <c r="K52" s="474">
        <f>SUM(K44:K51)</f>
        <v>11849</v>
      </c>
      <c r="L52" s="470"/>
      <c r="M52" s="470"/>
      <c r="N52" s="470"/>
      <c r="O52" s="470"/>
      <c r="P52" s="47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1"/>
      <c r="AU52" s="11"/>
      <c r="AV52" s="11"/>
      <c r="AW52" s="11"/>
    </row>
    <row r="53" spans="1:60" s="19" customFormat="1" x14ac:dyDescent="0.3">
      <c r="A53" s="179"/>
      <c r="B53" s="180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1"/>
      <c r="P53" s="182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</row>
    <row r="54" spans="1:60" s="40" customFormat="1" x14ac:dyDescent="0.3">
      <c r="A54" s="585"/>
      <c r="B54" s="585"/>
      <c r="C54" s="585"/>
      <c r="D54" s="585"/>
      <c r="E54" s="585"/>
      <c r="F54" s="46"/>
      <c r="G54" s="46"/>
      <c r="H54" s="295"/>
      <c r="I54" s="46"/>
      <c r="J54" s="46"/>
      <c r="K54" s="46"/>
      <c r="L54" s="46"/>
      <c r="M54" s="46"/>
      <c r="N54" s="544" t="s">
        <v>315</v>
      </c>
      <c r="O54" s="544"/>
      <c r="P54" s="545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1"/>
      <c r="AU54" s="11"/>
      <c r="AV54" s="11"/>
      <c r="AW54" s="11"/>
    </row>
    <row r="55" spans="1:60" s="40" customFormat="1" x14ac:dyDescent="0.3">
      <c r="A55" s="206"/>
      <c r="B55" s="223"/>
      <c r="C55" s="223"/>
      <c r="D55" s="224"/>
      <c r="E55" s="223"/>
      <c r="F55" s="46"/>
      <c r="G55" s="46"/>
      <c r="H55" s="295"/>
      <c r="I55" s="11"/>
      <c r="J55" s="11"/>
      <c r="K55" s="87"/>
      <c r="L55" s="87"/>
      <c r="M55" s="87"/>
      <c r="N55" s="527" t="s">
        <v>94</v>
      </c>
      <c r="O55" s="527"/>
      <c r="P55" s="474">
        <f>L36+L40</f>
        <v>1380.2600442062412</v>
      </c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1"/>
      <c r="AU55" s="11"/>
      <c r="AV55" s="11"/>
      <c r="AW55" s="11"/>
    </row>
    <row r="56" spans="1:60" s="40" customFormat="1" x14ac:dyDescent="0.3">
      <c r="A56" s="206"/>
      <c r="B56" s="223"/>
      <c r="C56" s="223"/>
      <c r="D56" s="224"/>
      <c r="E56" s="223"/>
      <c r="F56" s="46"/>
      <c r="G56" s="46"/>
      <c r="H56" s="295"/>
      <c r="I56" s="11"/>
      <c r="J56" s="11"/>
      <c r="K56" s="14"/>
      <c r="L56" s="14"/>
      <c r="M56" s="14"/>
      <c r="N56" s="518" t="s">
        <v>260</v>
      </c>
      <c r="O56" s="518"/>
      <c r="P56" s="474">
        <f>L6</f>
        <v>423</v>
      </c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1"/>
      <c r="AU56" s="11"/>
      <c r="AV56" s="11"/>
      <c r="AW56" s="11"/>
    </row>
    <row r="57" spans="1:60" s="40" customFormat="1" x14ac:dyDescent="0.3">
      <c r="A57" s="206"/>
      <c r="B57" s="223"/>
      <c r="C57" s="223"/>
      <c r="D57" s="224"/>
      <c r="E57" s="223"/>
      <c r="F57" s="46"/>
      <c r="G57" s="46"/>
      <c r="H57" s="295"/>
      <c r="I57" s="11"/>
      <c r="J57" s="11"/>
      <c r="K57" s="14"/>
      <c r="L57" s="14"/>
      <c r="M57" s="14"/>
      <c r="N57" s="520"/>
      <c r="O57" s="520"/>
      <c r="P57" s="52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1"/>
      <c r="AU57" s="11"/>
      <c r="AV57" s="11"/>
      <c r="AW57" s="11"/>
    </row>
    <row r="58" spans="1:60" s="40" customFormat="1" x14ac:dyDescent="0.3">
      <c r="A58" s="206"/>
      <c r="B58" s="223"/>
      <c r="C58" s="223"/>
      <c r="D58" s="224"/>
      <c r="E58" s="223"/>
      <c r="F58" s="46"/>
      <c r="G58" s="46"/>
      <c r="H58" s="295"/>
      <c r="I58" s="11"/>
      <c r="J58" s="11"/>
      <c r="K58" s="62"/>
      <c r="L58" s="62"/>
      <c r="M58" s="62"/>
      <c r="N58" s="520"/>
      <c r="O58" s="520"/>
      <c r="P58" s="52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1"/>
      <c r="AU58" s="11"/>
      <c r="AV58" s="11"/>
      <c r="AW58" s="11"/>
    </row>
    <row r="59" spans="1:60" s="40" customFormat="1" ht="14.4" x14ac:dyDescent="0.3">
      <c r="A59" s="206"/>
      <c r="B59" s="223"/>
      <c r="C59" s="223"/>
      <c r="D59" s="224"/>
      <c r="E59" s="223"/>
      <c r="F59" s="46"/>
      <c r="G59" s="46"/>
      <c r="H59" s="295"/>
      <c r="I59" s="11"/>
      <c r="J59" s="11"/>
      <c r="K59" s="14"/>
      <c r="L59" s="14"/>
      <c r="M59" s="14"/>
      <c r="N59" s="529" t="s">
        <v>12</v>
      </c>
      <c r="O59" s="529"/>
      <c r="P59" s="529"/>
      <c r="Q59" s="175"/>
      <c r="R59" s="178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1"/>
      <c r="AU59" s="11"/>
      <c r="AV59" s="11"/>
      <c r="AW59" s="11"/>
    </row>
    <row r="60" spans="1:60" s="11" customFormat="1" ht="15.6" x14ac:dyDescent="0.3">
      <c r="A60" s="206"/>
      <c r="B60" s="223"/>
      <c r="C60" s="223"/>
      <c r="D60" s="224"/>
      <c r="E60" s="223"/>
      <c r="F60" s="46"/>
      <c r="G60" s="46"/>
      <c r="H60" s="295"/>
      <c r="K60" s="14"/>
      <c r="L60" s="14"/>
      <c r="M60" s="14"/>
      <c r="N60" s="593" t="s">
        <v>127</v>
      </c>
      <c r="O60" s="593"/>
      <c r="P60" s="240">
        <v>1865.06</v>
      </c>
      <c r="Q60" s="175"/>
      <c r="R60" s="178"/>
    </row>
    <row r="61" spans="1:60" s="11" customFormat="1" ht="15" customHeight="1" x14ac:dyDescent="0.3">
      <c r="A61" s="206"/>
      <c r="B61" s="223"/>
      <c r="C61" s="223"/>
      <c r="D61" s="224"/>
      <c r="E61" s="223"/>
      <c r="F61" s="46"/>
      <c r="G61" s="46"/>
      <c r="H61" s="295"/>
      <c r="K61" s="63"/>
      <c r="L61" s="63"/>
      <c r="M61" s="63"/>
      <c r="N61" s="594" t="s">
        <v>1339</v>
      </c>
      <c r="O61" s="594"/>
      <c r="P61" s="490">
        <v>96.9</v>
      </c>
      <c r="Q61" s="190"/>
      <c r="R61" s="178"/>
    </row>
    <row r="62" spans="1:60" s="11" customFormat="1" ht="15.6" x14ac:dyDescent="0.3">
      <c r="A62" s="206"/>
      <c r="B62" s="223"/>
      <c r="C62" s="223"/>
      <c r="D62" s="224"/>
      <c r="E62" s="223"/>
      <c r="F62" s="46"/>
      <c r="G62" s="46"/>
      <c r="H62" s="295"/>
      <c r="K62" s="14"/>
      <c r="L62" s="14"/>
      <c r="M62" s="14"/>
      <c r="N62" s="594"/>
      <c r="O62" s="594"/>
      <c r="P62" s="34"/>
      <c r="Q62" s="222"/>
      <c r="R62" s="178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</row>
    <row r="63" spans="1:60" s="11" customFormat="1" ht="15.6" x14ac:dyDescent="0.3">
      <c r="A63" s="206"/>
      <c r="B63" s="223"/>
      <c r="C63" s="223"/>
      <c r="D63" s="224"/>
      <c r="E63" s="223"/>
      <c r="F63" s="46"/>
      <c r="G63" s="46"/>
      <c r="H63" s="295"/>
      <c r="K63" s="63"/>
      <c r="L63" s="63"/>
      <c r="M63" s="63"/>
      <c r="N63" s="588"/>
      <c r="O63" s="589"/>
      <c r="P63" s="490"/>
      <c r="Q63" s="175"/>
      <c r="R63" s="178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</row>
    <row r="64" spans="1:60" s="11" customFormat="1" ht="15.6" x14ac:dyDescent="0.3">
      <c r="A64" s="206"/>
      <c r="B64" s="223"/>
      <c r="C64" s="223"/>
      <c r="D64" s="224"/>
      <c r="E64" s="223"/>
      <c r="F64" s="46"/>
      <c r="G64" s="46"/>
      <c r="H64" s="295"/>
      <c r="K64" s="63"/>
      <c r="L64" s="63"/>
      <c r="M64" s="63"/>
      <c r="N64" s="588"/>
      <c r="O64" s="589"/>
      <c r="P64" s="470"/>
      <c r="Q64" s="175"/>
      <c r="R64" s="178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</row>
    <row r="65" spans="1:48" s="11" customFormat="1" ht="18.600000000000001" customHeight="1" x14ac:dyDescent="0.3">
      <c r="A65" s="206"/>
      <c r="B65" s="223"/>
      <c r="C65" s="223"/>
      <c r="D65" s="224"/>
      <c r="E65" s="223"/>
      <c r="F65" s="46"/>
      <c r="G65" s="46"/>
      <c r="H65" s="295"/>
      <c r="K65" s="63"/>
      <c r="L65" s="63"/>
      <c r="M65" s="63"/>
      <c r="N65" s="586" t="s">
        <v>26</v>
      </c>
      <c r="O65" s="586"/>
      <c r="P65" s="472">
        <f>SUM(P55:P63)</f>
        <v>3765.2200442062413</v>
      </c>
      <c r="Q65" s="175"/>
      <c r="R65" s="178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</row>
    <row r="66" spans="1:48" s="11" customFormat="1" ht="15.6" x14ac:dyDescent="0.3">
      <c r="A66" s="206"/>
      <c r="B66" s="223"/>
      <c r="C66" s="223"/>
      <c r="D66" s="224"/>
      <c r="E66" s="223"/>
      <c r="F66" s="46"/>
      <c r="G66" s="46"/>
      <c r="H66" s="295"/>
      <c r="N66" s="587"/>
      <c r="O66" s="587"/>
      <c r="P66" s="242"/>
      <c r="Q66" s="175"/>
      <c r="R66" s="178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</row>
    <row r="67" spans="1:48" s="11" customFormat="1" ht="14.4" x14ac:dyDescent="0.3">
      <c r="A67" s="206"/>
      <c r="B67" s="223"/>
      <c r="C67" s="223"/>
      <c r="D67" s="224"/>
      <c r="E67" s="223"/>
      <c r="F67" s="46"/>
      <c r="G67" s="46"/>
      <c r="H67" s="295"/>
      <c r="K67" s="63"/>
      <c r="L67" s="63"/>
      <c r="M67" s="63"/>
      <c r="N67" s="564" t="s">
        <v>11</v>
      </c>
      <c r="O67" s="565"/>
      <c r="P67" s="153">
        <f>K6+K36+K40</f>
        <v>20492.132457758868</v>
      </c>
      <c r="Q67" s="175"/>
      <c r="R67" s="178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</row>
    <row r="68" spans="1:48" s="11" customFormat="1" ht="14.4" x14ac:dyDescent="0.3">
      <c r="A68" s="206"/>
      <c r="B68" s="223"/>
      <c r="C68" s="223"/>
      <c r="D68" s="224"/>
      <c r="E68" s="223"/>
      <c r="F68" s="46"/>
      <c r="G68" s="46"/>
      <c r="H68" s="295"/>
      <c r="K68" s="14"/>
      <c r="L68" s="14"/>
      <c r="M68" s="14"/>
      <c r="N68" s="518"/>
      <c r="O68" s="518"/>
      <c r="P68" s="519"/>
      <c r="Q68" s="175"/>
      <c r="R68" s="185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</row>
    <row r="69" spans="1:48" s="11" customFormat="1" ht="14.4" x14ac:dyDescent="0.3">
      <c r="A69" s="206"/>
      <c r="B69" s="223"/>
      <c r="C69" s="223"/>
      <c r="D69" s="224"/>
      <c r="E69" s="223"/>
      <c r="F69" s="46"/>
      <c r="G69" s="46"/>
      <c r="H69" s="295"/>
      <c r="N69" s="513" t="s">
        <v>13</v>
      </c>
      <c r="O69" s="513"/>
      <c r="P69" s="151">
        <f>P67-P65</f>
        <v>16726.912413552625</v>
      </c>
      <c r="Q69" s="175"/>
      <c r="R69" s="176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</row>
    <row r="70" spans="1:48" s="11" customFormat="1" ht="14.4" x14ac:dyDescent="0.3">
      <c r="A70" s="206"/>
      <c r="B70" s="223"/>
      <c r="C70" s="223"/>
      <c r="D70" s="224"/>
      <c r="E70" s="223"/>
      <c r="F70" s="46"/>
      <c r="G70" s="46"/>
      <c r="H70" s="295"/>
      <c r="N70" s="124"/>
      <c r="O70" s="124"/>
      <c r="P70" s="57"/>
      <c r="Q70" s="175"/>
      <c r="R70" s="176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</row>
    <row r="71" spans="1:48" s="11" customFormat="1" ht="14.4" x14ac:dyDescent="0.3">
      <c r="A71" s="206"/>
      <c r="B71" s="223"/>
      <c r="C71" s="223"/>
      <c r="D71" s="224"/>
      <c r="E71" s="223"/>
      <c r="F71" s="46"/>
      <c r="G71" s="46"/>
      <c r="H71" s="295"/>
      <c r="N71" s="124"/>
      <c r="O71" s="124"/>
      <c r="P71" s="57"/>
      <c r="Q71" s="175"/>
      <c r="R71" s="178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</row>
    <row r="72" spans="1:48" s="11" customFormat="1" ht="14.4" x14ac:dyDescent="0.3">
      <c r="A72" s="206"/>
      <c r="B72" s="223"/>
      <c r="C72" s="223"/>
      <c r="D72" s="224"/>
      <c r="E72" s="223"/>
      <c r="F72" s="46"/>
      <c r="G72" s="46"/>
      <c r="H72" s="295"/>
      <c r="K72" s="14"/>
      <c r="L72" s="14"/>
      <c r="M72" s="14"/>
      <c r="N72" s="124"/>
      <c r="O72" s="124"/>
      <c r="P72" s="57"/>
      <c r="Q72" s="175"/>
      <c r="R72" s="178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</row>
    <row r="73" spans="1:48" s="11" customFormat="1" ht="14.4" x14ac:dyDescent="0.3">
      <c r="A73" s="206"/>
      <c r="B73" s="223"/>
      <c r="C73" s="223"/>
      <c r="D73" s="224"/>
      <c r="E73" s="223"/>
      <c r="F73" s="46"/>
      <c r="G73" s="46"/>
      <c r="H73" s="295"/>
      <c r="K73" s="475"/>
      <c r="L73" s="475"/>
      <c r="M73" s="475"/>
      <c r="Q73" s="175"/>
      <c r="R73" s="178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</row>
    <row r="74" spans="1:48" s="11" customFormat="1" ht="14.4" x14ac:dyDescent="0.3">
      <c r="A74" s="206"/>
      <c r="B74" s="223"/>
      <c r="C74" s="223"/>
      <c r="D74" s="224"/>
      <c r="E74" s="223"/>
      <c r="F74" s="46"/>
      <c r="G74" s="46"/>
      <c r="H74" s="295"/>
      <c r="K74" s="14"/>
      <c r="L74" s="14"/>
      <c r="M74" s="14"/>
      <c r="N74" s="475"/>
      <c r="O74" s="14"/>
      <c r="P74" s="57"/>
      <c r="Q74" s="175"/>
      <c r="R74" s="178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</row>
    <row r="75" spans="1:48" s="11" customFormat="1" ht="14.4" x14ac:dyDescent="0.3">
      <c r="A75" s="206"/>
      <c r="B75" s="223"/>
      <c r="C75" s="223"/>
      <c r="D75" s="224"/>
      <c r="E75" s="223"/>
      <c r="F75" s="46"/>
      <c r="G75" s="46"/>
      <c r="H75" s="295"/>
      <c r="K75" s="14"/>
      <c r="L75" s="14"/>
      <c r="M75" s="14"/>
      <c r="O75" s="475"/>
      <c r="P75" s="57"/>
      <c r="Q75" s="175"/>
      <c r="R75" s="178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</row>
    <row r="76" spans="1:48" s="11" customFormat="1" ht="14.4" x14ac:dyDescent="0.3">
      <c r="A76" s="206"/>
      <c r="B76" s="223"/>
      <c r="C76" s="223"/>
      <c r="D76" s="224"/>
      <c r="E76" s="223"/>
      <c r="F76" s="46"/>
      <c r="G76" s="46"/>
      <c r="H76" s="295"/>
      <c r="K76" s="14"/>
      <c r="L76" s="14"/>
      <c r="M76" s="14"/>
      <c r="P76" s="57"/>
      <c r="Q76" s="175"/>
      <c r="R76" s="178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</row>
    <row r="77" spans="1:48" s="11" customFormat="1" x14ac:dyDescent="0.3">
      <c r="A77" s="206"/>
      <c r="B77" s="223"/>
      <c r="C77" s="223"/>
      <c r="D77" s="224"/>
      <c r="E77" s="223"/>
      <c r="F77" s="46"/>
      <c r="G77" s="46"/>
      <c r="H77" s="295"/>
      <c r="K77" s="14"/>
      <c r="L77" s="14"/>
      <c r="M77" s="14"/>
      <c r="N77" s="14"/>
      <c r="O77" s="14"/>
      <c r="P77" s="57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</row>
    <row r="78" spans="1:48" s="69" customFormat="1" x14ac:dyDescent="0.3">
      <c r="A78" s="206"/>
      <c r="B78" s="223"/>
      <c r="C78" s="223"/>
      <c r="D78" s="224"/>
      <c r="E78" s="223"/>
      <c r="F78" s="46"/>
      <c r="G78" s="46"/>
      <c r="H78" s="295"/>
      <c r="I78" s="11"/>
      <c r="J78" s="11"/>
      <c r="K78" s="14"/>
      <c r="L78" s="14"/>
      <c r="M78" s="14"/>
      <c r="N78" s="14"/>
      <c r="O78" s="475"/>
      <c r="P78" s="57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</row>
    <row r="79" spans="1:48" s="69" customFormat="1" x14ac:dyDescent="0.3">
      <c r="A79" s="206"/>
      <c r="B79" s="223"/>
      <c r="C79" s="223"/>
      <c r="D79" s="224"/>
      <c r="E79" s="223"/>
      <c r="F79" s="46"/>
      <c r="G79" s="46"/>
      <c r="H79" s="295"/>
      <c r="I79" s="11"/>
      <c r="J79" s="11"/>
      <c r="K79" s="14"/>
      <c r="L79" s="14"/>
      <c r="M79" s="14"/>
      <c r="N79" s="14"/>
      <c r="O79" s="11"/>
      <c r="P79" s="57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</row>
    <row r="80" spans="1:48" s="69" customFormat="1" x14ac:dyDescent="0.3">
      <c r="A80" s="206"/>
      <c r="B80" s="223"/>
      <c r="C80" s="223"/>
      <c r="D80" s="224"/>
      <c r="E80" s="223"/>
      <c r="F80" s="46"/>
      <c r="G80" s="46"/>
      <c r="H80" s="295"/>
      <c r="I80" s="11"/>
      <c r="J80" s="11"/>
      <c r="K80" s="14"/>
      <c r="L80" s="14"/>
      <c r="M80" s="14"/>
      <c r="N80" s="14"/>
      <c r="O80" s="11"/>
      <c r="P80" s="57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</row>
    <row r="81" spans="1:48" s="69" customFormat="1" x14ac:dyDescent="0.3">
      <c r="A81" s="206"/>
      <c r="B81" s="223"/>
      <c r="C81" s="223"/>
      <c r="D81" s="224"/>
      <c r="E81" s="223"/>
      <c r="F81" s="46"/>
      <c r="G81" s="46"/>
      <c r="H81" s="295"/>
      <c r="I81" s="11"/>
      <c r="J81" s="11"/>
      <c r="K81" s="14"/>
      <c r="L81" s="14"/>
      <c r="M81" s="14"/>
      <c r="N81" s="11"/>
      <c r="O81" s="11"/>
      <c r="P81" s="57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</row>
    <row r="82" spans="1:48" s="69" customFormat="1" x14ac:dyDescent="0.3">
      <c r="A82" s="206"/>
      <c r="B82" s="223"/>
      <c r="C82" s="223"/>
      <c r="D82" s="224"/>
      <c r="E82" s="223"/>
      <c r="F82" s="46"/>
      <c r="G82" s="46"/>
      <c r="H82" s="295"/>
      <c r="I82" s="11"/>
      <c r="J82" s="11"/>
      <c r="K82" s="14"/>
      <c r="L82" s="14"/>
      <c r="M82" s="14"/>
      <c r="N82" s="11"/>
      <c r="O82" s="14"/>
      <c r="P82" s="57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</row>
    <row r="83" spans="1:48" s="69" customFormat="1" x14ac:dyDescent="0.3">
      <c r="A83" s="206"/>
      <c r="B83" s="223"/>
      <c r="C83" s="223"/>
      <c r="D83" s="224"/>
      <c r="E83" s="223"/>
      <c r="F83" s="46"/>
      <c r="G83" s="46"/>
      <c r="H83" s="295"/>
      <c r="I83" s="11"/>
      <c r="J83" s="11"/>
      <c r="K83" s="14"/>
      <c r="L83" s="14"/>
      <c r="M83" s="14"/>
      <c r="N83" s="11"/>
      <c r="O83" s="14"/>
      <c r="P83" s="57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</row>
    <row r="84" spans="1:48" s="69" customFormat="1" x14ac:dyDescent="0.3">
      <c r="A84" s="206"/>
      <c r="B84" s="223"/>
      <c r="C84" s="223"/>
      <c r="D84" s="224"/>
      <c r="E84" s="223"/>
      <c r="F84" s="46"/>
      <c r="G84" s="46"/>
      <c r="H84" s="295"/>
      <c r="I84" s="11"/>
      <c r="J84" s="11"/>
      <c r="K84" s="14"/>
      <c r="L84" s="14"/>
      <c r="M84" s="14"/>
      <c r="N84" s="11"/>
      <c r="O84" s="14"/>
      <c r="P84" s="57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</row>
    <row r="85" spans="1:48" s="69" customFormat="1" x14ac:dyDescent="0.3">
      <c r="A85" s="206"/>
      <c r="B85" s="223"/>
      <c r="C85" s="223"/>
      <c r="D85" s="224"/>
      <c r="E85" s="223"/>
      <c r="F85" s="46"/>
      <c r="G85" s="46"/>
      <c r="H85" s="295"/>
      <c r="I85" s="11"/>
      <c r="J85" s="11"/>
      <c r="K85" s="14"/>
      <c r="L85" s="14"/>
      <c r="M85" s="14"/>
      <c r="N85" s="11"/>
      <c r="O85" s="14"/>
      <c r="P85" s="57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</row>
    <row r="86" spans="1:48" s="69" customFormat="1" x14ac:dyDescent="0.3">
      <c r="A86" s="206"/>
      <c r="B86" s="223"/>
      <c r="C86" s="223"/>
      <c r="D86" s="224"/>
      <c r="E86" s="223"/>
      <c r="F86" s="46"/>
      <c r="G86" s="46"/>
      <c r="H86" s="295"/>
      <c r="I86" s="11"/>
      <c r="J86" s="11"/>
      <c r="K86" s="14"/>
      <c r="L86" s="14"/>
      <c r="M86" s="14"/>
      <c r="N86" s="11"/>
      <c r="O86" s="11"/>
      <c r="P86" s="57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</row>
    <row r="87" spans="1:48" s="69" customFormat="1" x14ac:dyDescent="0.3">
      <c r="A87" s="206"/>
      <c r="B87" s="223"/>
      <c r="C87" s="223"/>
      <c r="D87" s="224"/>
      <c r="E87" s="223"/>
      <c r="F87" s="46"/>
      <c r="G87" s="46"/>
      <c r="H87" s="296"/>
      <c r="I87" s="11"/>
      <c r="J87" s="11"/>
      <c r="K87" s="14"/>
      <c r="L87" s="14"/>
      <c r="M87" s="14"/>
      <c r="N87" s="11"/>
      <c r="O87" s="11"/>
      <c r="P87" s="57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</row>
    <row r="88" spans="1:48" s="69" customFormat="1" x14ac:dyDescent="0.3">
      <c r="A88" s="206"/>
      <c r="B88" s="223"/>
      <c r="C88" s="223"/>
      <c r="D88" s="224"/>
      <c r="E88" s="223"/>
      <c r="F88" s="46"/>
      <c r="G88" s="46"/>
      <c r="H88" s="296"/>
      <c r="I88" s="11"/>
      <c r="J88" s="11"/>
      <c r="K88" s="14"/>
      <c r="L88" s="14"/>
      <c r="M88" s="14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</row>
    <row r="89" spans="1:48" s="69" customFormat="1" x14ac:dyDescent="0.3">
      <c r="A89" s="206"/>
      <c r="B89" s="223"/>
      <c r="C89" s="223"/>
      <c r="D89" s="224"/>
      <c r="E89" s="223"/>
      <c r="F89" s="46"/>
      <c r="G89" s="46"/>
      <c r="H89" s="296"/>
      <c r="K89" s="142"/>
      <c r="L89" s="142"/>
      <c r="M89" s="142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</row>
    <row r="90" spans="1:48" s="70" customFormat="1" x14ac:dyDescent="0.3">
      <c r="A90" s="206"/>
      <c r="B90" s="223"/>
      <c r="C90" s="223"/>
      <c r="D90" s="224"/>
      <c r="E90" s="223"/>
      <c r="F90" s="46"/>
      <c r="G90" s="46"/>
      <c r="H90" s="296"/>
      <c r="I90" s="63"/>
      <c r="J90" s="63"/>
      <c r="K90" s="69"/>
      <c r="L90" s="69"/>
      <c r="M90" s="69"/>
      <c r="N90" s="69"/>
      <c r="O90" s="69"/>
      <c r="P90" s="69"/>
    </row>
    <row r="91" spans="1:48" s="70" customFormat="1" ht="15" customHeight="1" x14ac:dyDescent="0.3">
      <c r="A91" s="206"/>
      <c r="B91" s="223"/>
      <c r="C91" s="223"/>
      <c r="D91" s="224"/>
      <c r="E91" s="223"/>
      <c r="F91" s="46"/>
      <c r="G91" s="46"/>
      <c r="H91" s="296"/>
      <c r="I91" s="11"/>
      <c r="J91" s="63"/>
      <c r="K91" s="142"/>
      <c r="L91" s="142"/>
      <c r="M91" s="142"/>
      <c r="N91" s="69"/>
      <c r="O91" s="69"/>
      <c r="P91" s="69"/>
      <c r="AV91" s="69"/>
    </row>
    <row r="92" spans="1:48" s="70" customFormat="1" x14ac:dyDescent="0.3">
      <c r="A92" s="206"/>
      <c r="B92" s="223"/>
      <c r="C92" s="223"/>
      <c r="D92" s="224"/>
      <c r="E92" s="223"/>
      <c r="F92" s="46"/>
      <c r="G92" s="46"/>
      <c r="H92" s="296"/>
      <c r="I92" s="142"/>
      <c r="J92" s="142"/>
      <c r="K92" s="142"/>
      <c r="L92" s="142"/>
      <c r="M92" s="142"/>
      <c r="N92" s="69"/>
      <c r="O92" s="69"/>
      <c r="P92" s="69"/>
      <c r="AV92" s="69"/>
    </row>
    <row r="93" spans="1:48" s="70" customFormat="1" x14ac:dyDescent="0.3">
      <c r="A93" s="206"/>
      <c r="B93" s="223"/>
      <c r="C93" s="223"/>
      <c r="D93" s="224"/>
      <c r="E93" s="223"/>
      <c r="F93" s="46"/>
      <c r="G93" s="46"/>
      <c r="H93" s="296"/>
      <c r="I93" s="11"/>
      <c r="J93" s="63"/>
      <c r="K93" s="142"/>
      <c r="L93" s="142"/>
      <c r="M93" s="142"/>
      <c r="N93" s="69"/>
      <c r="O93" s="69"/>
      <c r="P93" s="69"/>
      <c r="AV93" s="69"/>
    </row>
    <row r="94" spans="1:48" s="70" customFormat="1" x14ac:dyDescent="0.3">
      <c r="A94" s="206"/>
      <c r="B94" s="223"/>
      <c r="C94" s="223"/>
      <c r="D94" s="224"/>
      <c r="E94" s="223"/>
      <c r="F94" s="46"/>
      <c r="G94" s="46"/>
      <c r="H94" s="296"/>
      <c r="I94" s="142"/>
      <c r="J94" s="142"/>
      <c r="K94" s="142"/>
      <c r="L94" s="142"/>
      <c r="M94" s="142"/>
      <c r="N94" s="69"/>
      <c r="O94" s="69"/>
      <c r="P94" s="69"/>
      <c r="AV94" s="69"/>
    </row>
    <row r="95" spans="1:48" s="70" customFormat="1" x14ac:dyDescent="0.3">
      <c r="A95" s="206"/>
      <c r="B95" s="223"/>
      <c r="C95" s="223"/>
      <c r="D95" s="224"/>
      <c r="E95" s="223"/>
      <c r="F95" s="46"/>
      <c r="G95" s="46"/>
      <c r="H95" s="296"/>
      <c r="I95" s="11"/>
      <c r="J95" s="63"/>
      <c r="K95" s="142"/>
      <c r="L95" s="142"/>
      <c r="M95" s="142"/>
      <c r="N95" s="144"/>
      <c r="O95" s="69"/>
      <c r="P95" s="69"/>
      <c r="AV95" s="69"/>
    </row>
    <row r="96" spans="1:48" s="70" customFormat="1" x14ac:dyDescent="0.3">
      <c r="A96" s="206"/>
      <c r="B96" s="223"/>
      <c r="C96" s="223"/>
      <c r="D96" s="224"/>
      <c r="E96" s="223"/>
      <c r="F96" s="46"/>
      <c r="G96" s="46"/>
      <c r="H96" s="296"/>
      <c r="I96" s="142"/>
      <c r="J96" s="142"/>
      <c r="K96" s="142"/>
      <c r="L96" s="142"/>
      <c r="M96" s="142"/>
      <c r="N96" s="144"/>
      <c r="O96" s="69"/>
      <c r="P96" s="69"/>
      <c r="AV96" s="69"/>
    </row>
    <row r="97" spans="1:48" s="70" customFormat="1" x14ac:dyDescent="0.3">
      <c r="A97" s="206"/>
      <c r="B97" s="223"/>
      <c r="C97" s="223"/>
      <c r="D97" s="224"/>
      <c r="E97" s="223"/>
      <c r="F97" s="46"/>
      <c r="G97" s="46"/>
      <c r="H97" s="296"/>
      <c r="I97" s="11"/>
      <c r="J97" s="63"/>
      <c r="K97" s="142"/>
      <c r="L97" s="142"/>
      <c r="M97" s="142"/>
      <c r="N97" s="144"/>
      <c r="O97" s="69"/>
      <c r="AV97" s="69"/>
    </row>
    <row r="98" spans="1:48" s="70" customFormat="1" x14ac:dyDescent="0.3">
      <c r="A98" s="206"/>
      <c r="B98" s="223"/>
      <c r="C98" s="223"/>
      <c r="D98" s="224"/>
      <c r="E98" s="223"/>
      <c r="F98" s="46"/>
      <c r="G98" s="46"/>
      <c r="H98" s="296"/>
      <c r="I98" s="142"/>
      <c r="J98" s="142"/>
      <c r="K98" s="142"/>
      <c r="L98" s="142"/>
      <c r="M98" s="142"/>
      <c r="N98" s="144"/>
      <c r="O98" s="69"/>
      <c r="AV98" s="69"/>
    </row>
    <row r="99" spans="1:48" s="70" customFormat="1" x14ac:dyDescent="0.3">
      <c r="A99" s="206"/>
      <c r="B99" s="223"/>
      <c r="C99" s="223"/>
      <c r="D99" s="224"/>
      <c r="E99" s="223"/>
      <c r="F99" s="46"/>
      <c r="G99" s="46"/>
      <c r="H99" s="296"/>
      <c r="I99" s="11"/>
      <c r="J99" s="63"/>
      <c r="K99" s="142"/>
      <c r="L99" s="142"/>
      <c r="M99" s="142"/>
      <c r="N99" s="144"/>
      <c r="O99" s="69"/>
      <c r="AV99" s="69"/>
    </row>
    <row r="100" spans="1:48" s="70" customFormat="1" x14ac:dyDescent="0.3">
      <c r="A100" s="148"/>
      <c r="B100" s="225"/>
      <c r="C100" s="225"/>
      <c r="D100" s="225"/>
      <c r="E100" s="225"/>
      <c r="F100" s="46"/>
      <c r="G100" s="46"/>
      <c r="H100" s="296"/>
      <c r="I100" s="142"/>
      <c r="J100" s="142"/>
      <c r="K100" s="142"/>
      <c r="L100" s="142"/>
      <c r="M100" s="142"/>
      <c r="N100" s="144"/>
      <c r="O100" s="144"/>
      <c r="AV100" s="69"/>
    </row>
    <row r="101" spans="1:48" s="70" customFormat="1" x14ac:dyDescent="0.3">
      <c r="A101" s="69"/>
      <c r="B101" s="69"/>
      <c r="C101" s="69"/>
      <c r="D101" s="69"/>
      <c r="E101" s="69"/>
      <c r="F101" s="69"/>
      <c r="G101" s="69"/>
      <c r="H101" s="297"/>
      <c r="I101" s="142"/>
      <c r="J101" s="142"/>
      <c r="K101" s="142"/>
      <c r="L101" s="142"/>
      <c r="M101" s="142"/>
      <c r="N101" s="144"/>
      <c r="O101" s="144"/>
      <c r="AV101" s="69"/>
    </row>
    <row r="102" spans="1:48" s="70" customFormat="1" x14ac:dyDescent="0.3">
      <c r="A102" s="69"/>
      <c r="B102" s="69"/>
      <c r="C102" s="69"/>
      <c r="D102" s="69"/>
      <c r="E102" s="69"/>
      <c r="F102" s="69"/>
      <c r="G102" s="69"/>
      <c r="H102" s="297"/>
      <c r="I102" s="69"/>
      <c r="J102" s="69"/>
      <c r="K102" s="142"/>
      <c r="L102" s="142"/>
      <c r="M102" s="142"/>
      <c r="N102" s="144"/>
      <c r="O102" s="144"/>
      <c r="AV102" s="69"/>
    </row>
    <row r="103" spans="1:48" s="70" customFormat="1" x14ac:dyDescent="0.3">
      <c r="A103" s="69"/>
      <c r="B103" s="69"/>
      <c r="C103" s="69"/>
      <c r="D103" s="69"/>
      <c r="E103" s="69"/>
      <c r="F103" s="69"/>
      <c r="G103" s="69"/>
      <c r="H103" s="297"/>
      <c r="I103" s="69"/>
      <c r="J103" s="69"/>
      <c r="K103" s="142"/>
      <c r="L103" s="142"/>
      <c r="M103" s="142"/>
      <c r="N103" s="144"/>
      <c r="O103" s="144"/>
      <c r="AV103" s="69"/>
    </row>
    <row r="104" spans="1:48" s="70" customFormat="1" x14ac:dyDescent="0.3">
      <c r="A104" s="69"/>
      <c r="B104" s="69"/>
      <c r="C104" s="69"/>
      <c r="D104" s="69"/>
      <c r="E104" s="69"/>
      <c r="F104" s="69"/>
      <c r="G104" s="69"/>
      <c r="H104" s="297"/>
      <c r="I104" s="69"/>
      <c r="J104" s="69"/>
      <c r="K104" s="142"/>
      <c r="L104" s="142"/>
      <c r="M104" s="142"/>
      <c r="N104" s="144"/>
      <c r="O104" s="144"/>
      <c r="AV104" s="69"/>
    </row>
    <row r="105" spans="1:48" s="70" customFormat="1" x14ac:dyDescent="0.3">
      <c r="A105" s="69"/>
      <c r="B105" s="69"/>
      <c r="C105" s="69"/>
      <c r="D105" s="69"/>
      <c r="E105" s="69"/>
      <c r="F105" s="69"/>
      <c r="G105" s="69"/>
      <c r="H105" s="297"/>
      <c r="I105" s="69"/>
      <c r="J105" s="69"/>
      <c r="K105" s="142"/>
      <c r="L105" s="142"/>
      <c r="M105" s="142"/>
      <c r="N105" s="144"/>
      <c r="O105" s="144"/>
      <c r="AV105" s="69"/>
    </row>
    <row r="106" spans="1:48" s="70" customFormat="1" x14ac:dyDescent="0.3">
      <c r="A106" s="69"/>
      <c r="B106" s="69"/>
      <c r="C106" s="69"/>
      <c r="D106" s="69"/>
      <c r="E106" s="69"/>
      <c r="F106" s="69"/>
      <c r="G106" s="69"/>
      <c r="H106" s="297"/>
      <c r="I106" s="69"/>
      <c r="J106" s="69"/>
      <c r="K106" s="142"/>
      <c r="L106" s="142"/>
      <c r="M106" s="142"/>
      <c r="N106" s="144"/>
      <c r="O106" s="144"/>
      <c r="AV106" s="69"/>
    </row>
    <row r="107" spans="1:48" s="70" customFormat="1" x14ac:dyDescent="0.3">
      <c r="A107" s="69"/>
      <c r="B107" s="69"/>
      <c r="C107" s="69"/>
      <c r="D107" s="69"/>
      <c r="E107" s="69"/>
      <c r="F107" s="69"/>
      <c r="G107" s="69"/>
      <c r="H107" s="297"/>
      <c r="I107" s="69"/>
      <c r="J107" s="69"/>
      <c r="K107" s="142"/>
      <c r="L107" s="142"/>
      <c r="M107" s="142"/>
      <c r="N107" s="144"/>
      <c r="O107" s="144"/>
      <c r="AV107" s="69"/>
    </row>
    <row r="108" spans="1:48" s="70" customFormat="1" x14ac:dyDescent="0.3">
      <c r="F108" s="69"/>
      <c r="G108" s="69"/>
      <c r="H108" s="297"/>
      <c r="I108" s="69"/>
      <c r="J108" s="69"/>
      <c r="K108" s="142"/>
      <c r="L108" s="142"/>
      <c r="M108" s="142"/>
      <c r="N108" s="144"/>
      <c r="O108" s="144"/>
      <c r="AV108" s="69"/>
    </row>
    <row r="109" spans="1:48" s="70" customFormat="1" x14ac:dyDescent="0.3">
      <c r="H109" s="298"/>
      <c r="I109" s="69"/>
      <c r="J109" s="69"/>
      <c r="K109" s="142"/>
      <c r="L109" s="142"/>
      <c r="M109" s="142"/>
      <c r="N109" s="144"/>
      <c r="O109" s="144"/>
      <c r="AV109" s="69"/>
    </row>
    <row r="110" spans="1:48" s="70" customFormat="1" x14ac:dyDescent="0.3">
      <c r="H110" s="298"/>
      <c r="K110" s="142"/>
      <c r="L110" s="142"/>
      <c r="M110" s="142"/>
      <c r="N110" s="144"/>
      <c r="O110" s="144"/>
      <c r="AV110" s="69"/>
    </row>
    <row r="111" spans="1:48" s="70" customFormat="1" x14ac:dyDescent="0.3">
      <c r="H111" s="298"/>
      <c r="K111" s="142"/>
      <c r="L111" s="142"/>
      <c r="M111" s="142"/>
      <c r="N111" s="144"/>
      <c r="O111" s="144"/>
      <c r="AV111" s="69"/>
    </row>
    <row r="112" spans="1:48" s="70" customFormat="1" x14ac:dyDescent="0.3">
      <c r="H112" s="298"/>
      <c r="K112" s="142"/>
      <c r="L112" s="142"/>
      <c r="M112" s="142"/>
      <c r="N112" s="144"/>
      <c r="O112" s="144"/>
      <c r="AV112" s="69"/>
    </row>
    <row r="113" spans="8:48" s="70" customFormat="1" x14ac:dyDescent="0.3">
      <c r="H113" s="298"/>
      <c r="K113" s="142"/>
      <c r="L113" s="142"/>
      <c r="M113" s="142"/>
      <c r="N113" s="144"/>
      <c r="O113" s="144"/>
      <c r="AV113" s="69"/>
    </row>
    <row r="114" spans="8:48" s="70" customFormat="1" x14ac:dyDescent="0.3">
      <c r="H114" s="298"/>
      <c r="K114" s="142"/>
      <c r="L114" s="142"/>
      <c r="M114" s="142"/>
      <c r="N114" s="144"/>
      <c r="O114" s="144"/>
      <c r="AV114" s="69"/>
    </row>
    <row r="115" spans="8:48" s="70" customFormat="1" x14ac:dyDescent="0.3">
      <c r="H115" s="298"/>
      <c r="K115" s="142"/>
      <c r="L115" s="142"/>
      <c r="M115" s="142"/>
      <c r="N115" s="144"/>
      <c r="O115" s="144"/>
      <c r="AV115" s="69"/>
    </row>
    <row r="116" spans="8:48" s="70" customFormat="1" x14ac:dyDescent="0.3">
      <c r="H116" s="298"/>
      <c r="K116" s="142"/>
      <c r="L116" s="142"/>
      <c r="M116" s="142"/>
      <c r="N116" s="144"/>
      <c r="O116" s="144"/>
      <c r="AV116" s="69"/>
    </row>
    <row r="117" spans="8:48" s="70" customFormat="1" x14ac:dyDescent="0.3">
      <c r="H117" s="298"/>
      <c r="K117" s="142"/>
      <c r="L117" s="142"/>
      <c r="M117" s="142"/>
      <c r="N117" s="144"/>
      <c r="O117" s="144"/>
      <c r="AV117" s="69"/>
    </row>
    <row r="118" spans="8:48" s="70" customFormat="1" x14ac:dyDescent="0.3">
      <c r="H118" s="298"/>
      <c r="K118" s="142"/>
      <c r="L118" s="142"/>
      <c r="M118" s="142"/>
      <c r="N118" s="144"/>
      <c r="O118" s="144"/>
      <c r="AV118" s="69"/>
    </row>
    <row r="119" spans="8:48" s="70" customFormat="1" x14ac:dyDescent="0.3">
      <c r="H119" s="298"/>
      <c r="K119" s="142"/>
      <c r="L119" s="142"/>
      <c r="M119" s="142"/>
      <c r="N119" s="144"/>
      <c r="O119" s="144"/>
      <c r="AV119" s="69"/>
    </row>
    <row r="120" spans="8:48" s="70" customFormat="1" x14ac:dyDescent="0.3">
      <c r="H120" s="298"/>
      <c r="K120" s="142"/>
      <c r="L120" s="142"/>
      <c r="M120" s="142"/>
      <c r="N120" s="144"/>
      <c r="O120" s="144"/>
      <c r="AV120" s="69"/>
    </row>
    <row r="121" spans="8:48" s="70" customFormat="1" x14ac:dyDescent="0.3">
      <c r="H121" s="298"/>
      <c r="K121" s="142"/>
      <c r="L121" s="142"/>
      <c r="M121" s="142"/>
      <c r="N121" s="144"/>
      <c r="O121" s="144"/>
      <c r="AV121" s="69"/>
    </row>
    <row r="122" spans="8:48" s="70" customFormat="1" x14ac:dyDescent="0.3">
      <c r="H122" s="298"/>
      <c r="K122" s="142"/>
      <c r="L122" s="142"/>
      <c r="M122" s="142"/>
      <c r="N122" s="144"/>
      <c r="O122" s="144"/>
      <c r="AV122" s="69"/>
    </row>
    <row r="123" spans="8:48" s="70" customFormat="1" x14ac:dyDescent="0.3">
      <c r="H123" s="298"/>
      <c r="K123" s="142"/>
      <c r="L123" s="142"/>
      <c r="M123" s="142"/>
      <c r="N123" s="144"/>
      <c r="O123" s="144"/>
      <c r="AV123" s="69"/>
    </row>
    <row r="124" spans="8:48" s="70" customFormat="1" x14ac:dyDescent="0.3">
      <c r="H124" s="298"/>
      <c r="K124" s="142"/>
      <c r="L124" s="142"/>
      <c r="M124" s="142"/>
      <c r="N124" s="144"/>
      <c r="O124" s="144"/>
      <c r="AV124" s="69"/>
    </row>
    <row r="125" spans="8:48" s="70" customFormat="1" x14ac:dyDescent="0.3">
      <c r="H125" s="298"/>
      <c r="K125" s="142"/>
      <c r="L125" s="142"/>
      <c r="M125" s="142"/>
      <c r="N125" s="144"/>
      <c r="O125" s="144"/>
      <c r="AV125" s="69"/>
    </row>
    <row r="126" spans="8:48" s="70" customFormat="1" x14ac:dyDescent="0.3">
      <c r="H126" s="298"/>
      <c r="K126" s="142"/>
      <c r="L126" s="142"/>
      <c r="M126" s="142"/>
      <c r="N126" s="144"/>
      <c r="O126" s="144"/>
      <c r="AV126" s="69"/>
    </row>
    <row r="127" spans="8:48" s="70" customFormat="1" x14ac:dyDescent="0.3">
      <c r="H127" s="298"/>
      <c r="K127" s="142"/>
      <c r="L127" s="142"/>
      <c r="M127" s="142"/>
      <c r="N127" s="144"/>
      <c r="O127" s="144"/>
      <c r="AV127" s="69"/>
    </row>
    <row r="128" spans="8:48" s="70" customFormat="1" x14ac:dyDescent="0.3">
      <c r="H128" s="298"/>
      <c r="K128" s="142"/>
      <c r="L128" s="142"/>
      <c r="M128" s="142"/>
      <c r="N128" s="144"/>
      <c r="O128" s="144"/>
      <c r="AV128" s="69"/>
    </row>
    <row r="129" spans="8:48" s="70" customFormat="1" x14ac:dyDescent="0.3">
      <c r="H129" s="298"/>
      <c r="K129" s="142"/>
      <c r="L129" s="142"/>
      <c r="M129" s="142"/>
      <c r="N129" s="144"/>
      <c r="O129" s="144"/>
      <c r="AV129" s="69"/>
    </row>
    <row r="130" spans="8:48" s="70" customFormat="1" x14ac:dyDescent="0.3">
      <c r="H130" s="298"/>
      <c r="K130" s="142"/>
      <c r="L130" s="142"/>
      <c r="M130" s="142"/>
      <c r="N130" s="144"/>
      <c r="O130" s="144"/>
      <c r="AV130" s="69"/>
    </row>
    <row r="131" spans="8:48" s="70" customFormat="1" x14ac:dyDescent="0.3">
      <c r="H131" s="298"/>
      <c r="K131" s="142"/>
      <c r="L131" s="142"/>
      <c r="M131" s="142"/>
      <c r="N131" s="144"/>
      <c r="O131" s="144"/>
      <c r="AV131" s="69"/>
    </row>
    <row r="132" spans="8:48" s="70" customFormat="1" x14ac:dyDescent="0.3">
      <c r="H132" s="298"/>
      <c r="K132" s="142"/>
      <c r="L132" s="142"/>
      <c r="M132" s="142"/>
      <c r="N132" s="144"/>
      <c r="O132" s="144"/>
      <c r="AV132" s="69"/>
    </row>
    <row r="133" spans="8:48" s="70" customFormat="1" x14ac:dyDescent="0.3">
      <c r="H133" s="298"/>
      <c r="K133" s="142"/>
      <c r="L133" s="142"/>
      <c r="M133" s="142"/>
      <c r="N133" s="144"/>
      <c r="O133" s="144"/>
      <c r="AV133" s="69"/>
    </row>
    <row r="134" spans="8:48" s="70" customFormat="1" x14ac:dyDescent="0.3">
      <c r="H134" s="298"/>
      <c r="K134" s="142"/>
      <c r="L134" s="142"/>
      <c r="M134" s="142"/>
      <c r="N134" s="144"/>
      <c r="O134" s="144"/>
      <c r="AV134" s="69"/>
    </row>
    <row r="135" spans="8:48" s="70" customFormat="1" x14ac:dyDescent="0.3">
      <c r="H135" s="298"/>
      <c r="K135" s="142"/>
      <c r="L135" s="142"/>
      <c r="M135" s="142"/>
      <c r="N135" s="144"/>
      <c r="O135" s="144"/>
      <c r="AV135" s="69"/>
    </row>
    <row r="136" spans="8:48" s="70" customFormat="1" x14ac:dyDescent="0.3">
      <c r="H136" s="298"/>
      <c r="K136" s="142"/>
      <c r="L136" s="142"/>
      <c r="M136" s="142"/>
      <c r="N136" s="144"/>
      <c r="O136" s="144"/>
      <c r="AV136" s="69"/>
    </row>
    <row r="137" spans="8:48" s="70" customFormat="1" x14ac:dyDescent="0.3">
      <c r="H137" s="298"/>
      <c r="K137" s="142"/>
      <c r="L137" s="142"/>
      <c r="M137" s="142"/>
      <c r="N137" s="144"/>
      <c r="O137" s="144"/>
      <c r="AV137" s="69"/>
    </row>
    <row r="138" spans="8:48" s="70" customFormat="1" x14ac:dyDescent="0.3">
      <c r="H138" s="298"/>
      <c r="K138" s="142"/>
      <c r="L138" s="142"/>
      <c r="M138" s="142"/>
      <c r="N138" s="144"/>
      <c r="O138" s="144"/>
      <c r="AV138" s="69"/>
    </row>
    <row r="139" spans="8:48" s="70" customFormat="1" x14ac:dyDescent="0.3">
      <c r="H139" s="298"/>
      <c r="K139" s="142"/>
      <c r="L139" s="142"/>
      <c r="M139" s="142"/>
      <c r="N139" s="144"/>
      <c r="O139" s="144"/>
      <c r="AV139" s="69"/>
    </row>
    <row r="140" spans="8:48" s="70" customFormat="1" x14ac:dyDescent="0.3">
      <c r="H140" s="298"/>
      <c r="K140" s="142"/>
      <c r="L140" s="142"/>
      <c r="M140" s="142"/>
      <c r="N140" s="144"/>
      <c r="O140" s="144"/>
      <c r="AV140" s="69"/>
    </row>
    <row r="141" spans="8:48" s="70" customFormat="1" x14ac:dyDescent="0.3">
      <c r="H141" s="298"/>
      <c r="K141" s="142"/>
      <c r="L141" s="142"/>
      <c r="M141" s="142"/>
      <c r="N141" s="144"/>
      <c r="O141" s="144"/>
      <c r="AV141" s="69"/>
    </row>
    <row r="142" spans="8:48" s="70" customFormat="1" x14ac:dyDescent="0.3">
      <c r="H142" s="298"/>
      <c r="K142" s="142"/>
      <c r="L142" s="142"/>
      <c r="M142" s="142"/>
      <c r="N142" s="144"/>
      <c r="O142" s="144"/>
      <c r="AV142" s="69"/>
    </row>
    <row r="143" spans="8:48" s="70" customFormat="1" x14ac:dyDescent="0.3">
      <c r="H143" s="298"/>
      <c r="K143" s="142"/>
      <c r="L143" s="142"/>
      <c r="M143" s="142"/>
      <c r="N143" s="144"/>
      <c r="O143" s="144"/>
      <c r="AV143" s="69"/>
    </row>
    <row r="144" spans="8:48" s="70" customFormat="1" x14ac:dyDescent="0.3">
      <c r="H144" s="298"/>
      <c r="K144" s="142"/>
      <c r="L144" s="142"/>
      <c r="M144" s="142"/>
      <c r="N144" s="144"/>
      <c r="O144" s="144"/>
      <c r="AV144" s="69"/>
    </row>
    <row r="145" spans="8:48" s="70" customFormat="1" x14ac:dyDescent="0.3">
      <c r="H145" s="298"/>
      <c r="K145" s="142"/>
      <c r="L145" s="142"/>
      <c r="M145" s="142"/>
      <c r="N145" s="144"/>
      <c r="O145" s="144"/>
      <c r="AV145" s="69"/>
    </row>
    <row r="146" spans="8:48" s="70" customFormat="1" x14ac:dyDescent="0.3">
      <c r="H146" s="298"/>
      <c r="K146" s="142"/>
      <c r="L146" s="142"/>
      <c r="M146" s="142"/>
      <c r="N146" s="144"/>
      <c r="O146" s="144"/>
      <c r="AV146" s="69"/>
    </row>
    <row r="147" spans="8:48" s="70" customFormat="1" x14ac:dyDescent="0.3">
      <c r="H147" s="298"/>
      <c r="K147" s="142"/>
      <c r="L147" s="142"/>
      <c r="M147" s="142"/>
      <c r="N147" s="144"/>
      <c r="O147" s="144"/>
      <c r="AV147" s="69"/>
    </row>
    <row r="148" spans="8:48" s="70" customFormat="1" x14ac:dyDescent="0.3">
      <c r="H148" s="298"/>
      <c r="K148" s="142"/>
      <c r="L148" s="142"/>
      <c r="M148" s="142"/>
      <c r="N148" s="144"/>
      <c r="O148" s="144"/>
      <c r="AV148" s="69"/>
    </row>
    <row r="149" spans="8:48" s="70" customFormat="1" x14ac:dyDescent="0.3">
      <c r="H149" s="298"/>
      <c r="K149" s="142"/>
      <c r="L149" s="142"/>
      <c r="M149" s="142"/>
      <c r="N149" s="144"/>
      <c r="O149" s="144"/>
      <c r="AV149" s="69"/>
    </row>
    <row r="150" spans="8:48" s="70" customFormat="1" x14ac:dyDescent="0.3">
      <c r="H150" s="298"/>
      <c r="K150" s="142"/>
      <c r="L150" s="142"/>
      <c r="M150" s="142"/>
      <c r="N150" s="144"/>
      <c r="O150" s="144"/>
      <c r="AV150" s="69"/>
    </row>
    <row r="151" spans="8:48" s="70" customFormat="1" x14ac:dyDescent="0.3">
      <c r="H151" s="298"/>
      <c r="K151" s="142"/>
      <c r="L151" s="142"/>
      <c r="M151" s="142"/>
      <c r="N151" s="144"/>
      <c r="O151" s="144"/>
      <c r="AV151" s="69"/>
    </row>
    <row r="152" spans="8:48" s="70" customFormat="1" x14ac:dyDescent="0.3">
      <c r="H152" s="298"/>
      <c r="K152" s="142"/>
      <c r="L152" s="142"/>
      <c r="M152" s="142"/>
      <c r="N152" s="144"/>
      <c r="O152" s="144"/>
      <c r="AV152" s="69"/>
    </row>
    <row r="153" spans="8:48" s="70" customFormat="1" x14ac:dyDescent="0.3">
      <c r="H153" s="298"/>
      <c r="K153" s="142"/>
      <c r="L153" s="142"/>
      <c r="M153" s="142"/>
      <c r="N153" s="144"/>
      <c r="O153" s="144"/>
      <c r="AV153" s="69"/>
    </row>
    <row r="154" spans="8:48" s="70" customFormat="1" x14ac:dyDescent="0.3">
      <c r="H154" s="298"/>
      <c r="K154" s="142"/>
      <c r="L154" s="142"/>
      <c r="M154" s="142"/>
      <c r="N154" s="144"/>
      <c r="O154" s="144"/>
      <c r="AV154" s="69"/>
    </row>
    <row r="155" spans="8:48" s="70" customFormat="1" x14ac:dyDescent="0.3">
      <c r="H155" s="298"/>
      <c r="K155" s="142"/>
      <c r="L155" s="142"/>
      <c r="M155" s="142"/>
      <c r="N155" s="144"/>
      <c r="O155" s="144"/>
      <c r="AV155" s="69"/>
    </row>
    <row r="156" spans="8:48" s="70" customFormat="1" x14ac:dyDescent="0.3">
      <c r="H156" s="298"/>
      <c r="K156" s="142"/>
      <c r="L156" s="142"/>
      <c r="M156" s="142"/>
      <c r="N156" s="144"/>
      <c r="O156" s="144"/>
      <c r="AV156" s="69"/>
    </row>
    <row r="157" spans="8:48" s="70" customFormat="1" x14ac:dyDescent="0.3">
      <c r="H157" s="298"/>
      <c r="K157" s="142"/>
      <c r="L157" s="142"/>
      <c r="M157" s="142"/>
      <c r="N157" s="144"/>
      <c r="O157" s="144"/>
      <c r="AV157" s="69"/>
    </row>
    <row r="158" spans="8:48" s="70" customFormat="1" x14ac:dyDescent="0.3">
      <c r="H158" s="298"/>
      <c r="K158" s="142"/>
      <c r="L158" s="142"/>
      <c r="M158" s="142"/>
      <c r="N158" s="144"/>
      <c r="O158" s="144"/>
      <c r="AV158" s="69"/>
    </row>
    <row r="159" spans="8:48" s="70" customFormat="1" x14ac:dyDescent="0.3">
      <c r="H159" s="298"/>
      <c r="K159" s="142"/>
      <c r="L159" s="142"/>
      <c r="M159" s="142"/>
      <c r="N159" s="144"/>
      <c r="O159" s="144"/>
      <c r="AV159" s="69"/>
    </row>
    <row r="160" spans="8:48" s="70" customFormat="1" x14ac:dyDescent="0.3">
      <c r="H160" s="298"/>
      <c r="K160" s="142"/>
      <c r="L160" s="142"/>
      <c r="M160" s="142"/>
      <c r="N160" s="144"/>
      <c r="O160" s="144"/>
      <c r="AV160" s="69"/>
    </row>
    <row r="161" spans="1:49" s="70" customFormat="1" x14ac:dyDescent="0.3">
      <c r="H161" s="298"/>
      <c r="K161" s="142"/>
      <c r="L161" s="142"/>
      <c r="M161" s="142"/>
      <c r="N161" s="144"/>
      <c r="O161" s="144"/>
      <c r="AV161" s="69"/>
    </row>
    <row r="162" spans="1:49" s="70" customFormat="1" x14ac:dyDescent="0.3">
      <c r="H162" s="298"/>
      <c r="K162" s="142"/>
      <c r="L162" s="142"/>
      <c r="M162" s="142"/>
      <c r="N162" s="144"/>
      <c r="O162" s="144"/>
      <c r="AV162" s="69"/>
    </row>
    <row r="163" spans="1:49" s="70" customFormat="1" x14ac:dyDescent="0.3">
      <c r="H163" s="298"/>
      <c r="K163" s="142"/>
      <c r="L163" s="142"/>
      <c r="M163" s="142"/>
      <c r="N163" s="144"/>
      <c r="O163" s="144"/>
      <c r="AV163" s="69"/>
    </row>
    <row r="164" spans="1:49" s="70" customFormat="1" x14ac:dyDescent="0.3">
      <c r="H164" s="298"/>
      <c r="K164" s="142"/>
      <c r="L164" s="142"/>
      <c r="M164" s="142"/>
      <c r="N164" s="144"/>
      <c r="O164" s="144"/>
      <c r="AV164" s="69"/>
    </row>
    <row r="165" spans="1:49" s="145" customFormat="1" x14ac:dyDescent="0.3">
      <c r="A165" s="70"/>
      <c r="B165" s="70"/>
      <c r="C165" s="70"/>
      <c r="D165" s="70"/>
      <c r="E165" s="70"/>
      <c r="F165" s="70"/>
      <c r="G165" s="70"/>
      <c r="H165" s="298"/>
      <c r="I165" s="70"/>
      <c r="J165" s="70"/>
      <c r="K165" s="142"/>
      <c r="L165" s="142"/>
      <c r="M165" s="142"/>
      <c r="N165" s="144"/>
      <c r="O165" s="144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69"/>
      <c r="AW165" s="70"/>
    </row>
    <row r="166" spans="1:49" s="145" customFormat="1" x14ac:dyDescent="0.3">
      <c r="A166" s="70"/>
      <c r="B166" s="70"/>
      <c r="C166" s="70"/>
      <c r="D166" s="70"/>
      <c r="E166" s="70"/>
      <c r="F166" s="70"/>
      <c r="G166" s="70"/>
      <c r="H166" s="298"/>
      <c r="I166" s="70"/>
      <c r="J166" s="70"/>
      <c r="K166" s="142"/>
      <c r="L166" s="142"/>
      <c r="M166" s="142"/>
      <c r="N166" s="144"/>
      <c r="O166" s="144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69"/>
      <c r="AW166" s="70"/>
    </row>
    <row r="167" spans="1:49" s="145" customFormat="1" x14ac:dyDescent="0.3">
      <c r="A167" s="70"/>
      <c r="B167" s="70"/>
      <c r="C167" s="70"/>
      <c r="D167" s="70"/>
      <c r="E167" s="70"/>
      <c r="F167" s="70"/>
      <c r="G167" s="70"/>
      <c r="H167" s="298"/>
      <c r="I167" s="70"/>
      <c r="J167" s="70"/>
      <c r="K167" s="142"/>
      <c r="L167" s="142"/>
      <c r="M167" s="142"/>
      <c r="N167" s="144"/>
      <c r="O167" s="144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69"/>
      <c r="AW167" s="70"/>
    </row>
    <row r="168" spans="1:49" s="145" customFormat="1" x14ac:dyDescent="0.3">
      <c r="A168" s="70"/>
      <c r="B168" s="70"/>
      <c r="C168" s="70"/>
      <c r="D168" s="70"/>
      <c r="E168" s="70"/>
      <c r="F168" s="70"/>
      <c r="G168" s="70"/>
      <c r="H168" s="298"/>
      <c r="I168" s="70"/>
      <c r="J168" s="70"/>
      <c r="K168" s="142"/>
      <c r="L168" s="142"/>
      <c r="M168" s="142"/>
      <c r="N168" s="144"/>
      <c r="O168" s="144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69"/>
      <c r="AW168" s="70"/>
    </row>
    <row r="169" spans="1:49" s="145" customFormat="1" x14ac:dyDescent="0.3">
      <c r="A169" s="70"/>
      <c r="B169" s="70"/>
      <c r="C169" s="70"/>
      <c r="D169" s="70"/>
      <c r="E169" s="70"/>
      <c r="F169" s="70"/>
      <c r="G169" s="70"/>
      <c r="H169" s="298"/>
      <c r="I169" s="70"/>
      <c r="J169" s="70"/>
      <c r="K169" s="142"/>
      <c r="L169" s="142"/>
      <c r="M169" s="142"/>
      <c r="N169" s="144"/>
      <c r="O169" s="144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69"/>
      <c r="AW169" s="70"/>
    </row>
    <row r="170" spans="1:49" s="145" customFormat="1" x14ac:dyDescent="0.3">
      <c r="A170" s="70"/>
      <c r="B170" s="70"/>
      <c r="C170" s="70"/>
      <c r="D170" s="70"/>
      <c r="E170" s="70"/>
      <c r="F170" s="70"/>
      <c r="G170" s="70"/>
      <c r="H170" s="298"/>
      <c r="I170" s="70"/>
      <c r="J170" s="70"/>
      <c r="K170" s="142"/>
      <c r="L170" s="142"/>
      <c r="M170" s="142"/>
      <c r="N170" s="144"/>
      <c r="O170" s="144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69"/>
      <c r="AW170" s="70"/>
    </row>
    <row r="171" spans="1:49" s="145" customFormat="1" x14ac:dyDescent="0.3">
      <c r="A171" s="70"/>
      <c r="B171" s="70"/>
      <c r="C171" s="70"/>
      <c r="D171" s="70"/>
      <c r="E171" s="70"/>
      <c r="F171" s="70"/>
      <c r="G171" s="70"/>
      <c r="H171" s="298"/>
      <c r="I171" s="70"/>
      <c r="J171" s="70"/>
      <c r="K171" s="142"/>
      <c r="L171" s="142"/>
      <c r="M171" s="142"/>
      <c r="N171" s="144"/>
      <c r="O171" s="144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69"/>
      <c r="AW171" s="70"/>
    </row>
    <row r="172" spans="1:49" s="145" customFormat="1" x14ac:dyDescent="0.3">
      <c r="A172" s="70"/>
      <c r="B172" s="70"/>
      <c r="C172" s="70"/>
      <c r="D172" s="70"/>
      <c r="E172" s="70"/>
      <c r="F172" s="70"/>
      <c r="G172" s="70"/>
      <c r="H172" s="298"/>
      <c r="I172" s="70"/>
      <c r="J172" s="70"/>
      <c r="K172" s="142"/>
      <c r="L172" s="142"/>
      <c r="M172" s="142"/>
      <c r="N172" s="147"/>
      <c r="O172" s="144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69"/>
      <c r="AW172" s="70"/>
    </row>
    <row r="173" spans="1:49" s="145" customFormat="1" x14ac:dyDescent="0.3">
      <c r="A173" s="70"/>
      <c r="B173" s="70"/>
      <c r="C173" s="70"/>
      <c r="D173" s="70"/>
      <c r="E173" s="70"/>
      <c r="F173" s="70"/>
      <c r="G173" s="70"/>
      <c r="H173" s="298"/>
      <c r="I173" s="70"/>
      <c r="J173" s="70"/>
      <c r="K173" s="142"/>
      <c r="L173" s="142"/>
      <c r="M173" s="142"/>
      <c r="N173" s="147"/>
      <c r="O173" s="144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69"/>
      <c r="AW173" s="70"/>
    </row>
    <row r="174" spans="1:49" s="145" customFormat="1" x14ac:dyDescent="0.3">
      <c r="A174" s="70"/>
      <c r="B174" s="70"/>
      <c r="C174" s="70"/>
      <c r="D174" s="70"/>
      <c r="E174" s="70"/>
      <c r="F174" s="70"/>
      <c r="G174" s="70"/>
      <c r="H174" s="298"/>
      <c r="I174" s="70"/>
      <c r="J174" s="70"/>
      <c r="K174" s="142"/>
      <c r="L174" s="142"/>
      <c r="M174" s="142"/>
      <c r="N174" s="147"/>
      <c r="O174" s="144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69"/>
      <c r="AW174" s="70"/>
    </row>
    <row r="175" spans="1:49" s="145" customFormat="1" x14ac:dyDescent="0.3">
      <c r="A175" s="70"/>
      <c r="B175" s="70"/>
      <c r="C175" s="70"/>
      <c r="D175" s="70"/>
      <c r="E175" s="70"/>
      <c r="F175" s="70"/>
      <c r="G175" s="70"/>
      <c r="H175" s="298"/>
      <c r="I175" s="70"/>
      <c r="J175" s="70"/>
      <c r="K175" s="142"/>
      <c r="L175" s="142"/>
      <c r="M175" s="142"/>
      <c r="N175" s="147"/>
      <c r="O175" s="144"/>
      <c r="P175" s="149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69"/>
      <c r="AW175" s="70"/>
    </row>
    <row r="176" spans="1:49" s="145" customFormat="1" x14ac:dyDescent="0.3">
      <c r="A176" s="70"/>
      <c r="B176" s="70"/>
      <c r="C176" s="70"/>
      <c r="D176" s="70"/>
      <c r="E176" s="70"/>
      <c r="F176" s="70"/>
      <c r="G176" s="70"/>
      <c r="H176" s="298"/>
      <c r="I176" s="70"/>
      <c r="J176" s="70"/>
      <c r="K176" s="142"/>
      <c r="L176" s="142"/>
      <c r="M176" s="142"/>
      <c r="N176" s="147"/>
      <c r="O176" s="144"/>
      <c r="P176" s="149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69"/>
      <c r="AW176" s="70"/>
    </row>
    <row r="177" spans="1:49" s="145" customFormat="1" x14ac:dyDescent="0.3">
      <c r="A177" s="70"/>
      <c r="B177" s="70"/>
      <c r="C177" s="70"/>
      <c r="D177" s="70"/>
      <c r="E177" s="70"/>
      <c r="F177" s="70"/>
      <c r="G177" s="70"/>
      <c r="H177" s="298"/>
      <c r="I177" s="70"/>
      <c r="J177" s="70"/>
      <c r="K177" s="146"/>
      <c r="L177" s="146"/>
      <c r="M177" s="146"/>
      <c r="N177" s="147"/>
      <c r="O177" s="147"/>
      <c r="P177" s="149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69"/>
      <c r="AW177" s="70"/>
    </row>
    <row r="178" spans="1:49" s="145" customFormat="1" x14ac:dyDescent="0.3">
      <c r="A178" s="70"/>
      <c r="B178" s="70"/>
      <c r="C178" s="70"/>
      <c r="D178" s="70"/>
      <c r="E178" s="70"/>
      <c r="F178" s="70"/>
      <c r="G178" s="70"/>
      <c r="H178" s="298"/>
      <c r="I178" s="70"/>
      <c r="J178" s="70"/>
      <c r="K178" s="146"/>
      <c r="L178" s="146"/>
      <c r="M178" s="146"/>
      <c r="N178" s="147"/>
      <c r="O178" s="147"/>
      <c r="P178" s="149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69"/>
      <c r="AW178" s="70"/>
    </row>
    <row r="179" spans="1:49" s="145" customFormat="1" x14ac:dyDescent="0.3">
      <c r="A179" s="70"/>
      <c r="B179" s="70"/>
      <c r="C179" s="70"/>
      <c r="D179" s="70"/>
      <c r="E179" s="70"/>
      <c r="F179" s="70"/>
      <c r="G179" s="70"/>
      <c r="H179" s="298"/>
      <c r="I179" s="70"/>
      <c r="J179" s="70"/>
      <c r="K179" s="146"/>
      <c r="L179" s="146"/>
      <c r="M179" s="146"/>
      <c r="N179" s="147"/>
      <c r="O179" s="147"/>
      <c r="P179" s="149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69"/>
      <c r="AW179" s="70"/>
    </row>
    <row r="180" spans="1:49" s="145" customFormat="1" x14ac:dyDescent="0.3">
      <c r="A180" s="70"/>
      <c r="B180" s="70"/>
      <c r="C180" s="70"/>
      <c r="D180" s="70"/>
      <c r="E180" s="70"/>
      <c r="F180" s="70"/>
      <c r="G180" s="70"/>
      <c r="H180" s="298"/>
      <c r="I180" s="70"/>
      <c r="J180" s="70"/>
      <c r="K180" s="146"/>
      <c r="L180" s="146"/>
      <c r="M180" s="146"/>
      <c r="N180" s="147"/>
      <c r="O180" s="147"/>
      <c r="P180" s="149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69"/>
      <c r="AW180" s="70"/>
    </row>
    <row r="181" spans="1:49" s="145" customFormat="1" x14ac:dyDescent="0.3">
      <c r="A181" s="70"/>
      <c r="B181" s="70"/>
      <c r="C181" s="70"/>
      <c r="D181" s="70"/>
      <c r="E181" s="70"/>
      <c r="F181" s="70"/>
      <c r="G181" s="70"/>
      <c r="H181" s="298"/>
      <c r="I181" s="70"/>
      <c r="J181" s="70"/>
      <c r="K181" s="146"/>
      <c r="L181" s="146"/>
      <c r="M181" s="146"/>
      <c r="N181" s="147"/>
      <c r="O181" s="147"/>
      <c r="P181" s="149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69"/>
      <c r="AW181" s="70"/>
    </row>
    <row r="182" spans="1:49" x14ac:dyDescent="0.3">
      <c r="A182" s="70"/>
      <c r="B182" s="70"/>
      <c r="C182" s="70"/>
      <c r="D182" s="70"/>
      <c r="E182" s="70"/>
      <c r="F182" s="70"/>
      <c r="G182" s="70"/>
      <c r="H182" s="298"/>
      <c r="I182" s="70"/>
      <c r="J182" s="70"/>
      <c r="K182" s="146"/>
      <c r="L182" s="146"/>
      <c r="M182" s="146"/>
      <c r="N182" s="147"/>
      <c r="O182" s="147"/>
      <c r="P182" s="149"/>
      <c r="AV182" s="148"/>
      <c r="AW182" s="148"/>
    </row>
    <row r="183" spans="1:49" x14ac:dyDescent="0.3">
      <c r="A183" s="70"/>
      <c r="B183" s="70"/>
      <c r="C183" s="70"/>
      <c r="D183" s="70"/>
      <c r="E183" s="70"/>
      <c r="F183" s="70"/>
      <c r="G183" s="70"/>
      <c r="H183" s="298"/>
      <c r="I183" s="70"/>
      <c r="J183" s="70"/>
      <c r="K183" s="146"/>
      <c r="L183" s="146"/>
      <c r="M183" s="146"/>
      <c r="N183" s="147"/>
      <c r="O183" s="147"/>
      <c r="P183" s="149"/>
      <c r="AV183" s="148"/>
      <c r="AW183" s="148"/>
    </row>
    <row r="184" spans="1:49" x14ac:dyDescent="0.3">
      <c r="A184" s="70"/>
      <c r="B184" s="70"/>
      <c r="C184" s="70"/>
      <c r="D184" s="70"/>
      <c r="E184" s="70"/>
      <c r="F184" s="70"/>
      <c r="G184" s="70"/>
      <c r="H184" s="298"/>
      <c r="I184" s="70"/>
      <c r="J184" s="70"/>
      <c r="K184" s="146"/>
      <c r="L184" s="146"/>
      <c r="M184" s="146"/>
      <c r="N184" s="147"/>
      <c r="O184" s="147"/>
      <c r="P184" s="149"/>
      <c r="AV184" s="148"/>
      <c r="AW184" s="148"/>
    </row>
    <row r="185" spans="1:49" x14ac:dyDescent="0.3">
      <c r="A185" s="149"/>
      <c r="B185" s="149"/>
      <c r="C185" s="149"/>
      <c r="D185" s="149"/>
      <c r="E185" s="149"/>
      <c r="F185" s="70"/>
      <c r="G185" s="70"/>
      <c r="H185" s="298"/>
      <c r="I185" s="70"/>
      <c r="J185" s="70"/>
      <c r="K185" s="146"/>
      <c r="L185" s="146"/>
      <c r="M185" s="146"/>
      <c r="N185" s="147"/>
      <c r="O185" s="147"/>
      <c r="P185" s="149"/>
      <c r="AV185" s="148"/>
      <c r="AW185" s="148"/>
    </row>
    <row r="186" spans="1:49" x14ac:dyDescent="0.3">
      <c r="A186" s="149"/>
      <c r="B186" s="149"/>
      <c r="C186" s="149"/>
      <c r="D186" s="149"/>
      <c r="E186" s="149"/>
      <c r="F186" s="149"/>
      <c r="G186" s="149"/>
      <c r="H186" s="299"/>
      <c r="I186" s="70"/>
      <c r="J186" s="70"/>
      <c r="K186" s="146"/>
      <c r="L186" s="146"/>
      <c r="M186" s="146"/>
      <c r="N186" s="147"/>
      <c r="O186" s="147"/>
      <c r="P186" s="149"/>
      <c r="AV186" s="148"/>
      <c r="AW186" s="148"/>
    </row>
    <row r="187" spans="1:49" x14ac:dyDescent="0.3">
      <c r="A187" s="149"/>
      <c r="B187" s="149"/>
      <c r="C187" s="149"/>
      <c r="D187" s="149"/>
      <c r="E187" s="149"/>
      <c r="F187" s="149"/>
      <c r="G187" s="149"/>
      <c r="H187" s="299"/>
      <c r="I187" s="149"/>
      <c r="J187" s="149"/>
      <c r="K187" s="146"/>
      <c r="L187" s="146"/>
      <c r="M187" s="146"/>
      <c r="N187" s="147"/>
      <c r="O187" s="147"/>
      <c r="AV187" s="148"/>
      <c r="AW187" s="148"/>
    </row>
    <row r="188" spans="1:49" x14ac:dyDescent="0.3">
      <c r="A188" s="149"/>
      <c r="B188" s="149"/>
      <c r="C188" s="149"/>
      <c r="D188" s="149"/>
      <c r="E188" s="149"/>
      <c r="F188" s="149"/>
      <c r="G188" s="149"/>
      <c r="H188" s="299"/>
      <c r="I188" s="149"/>
      <c r="J188" s="149"/>
      <c r="K188" s="146"/>
      <c r="L188" s="146"/>
      <c r="M188" s="146"/>
      <c r="N188" s="147"/>
      <c r="O188" s="147"/>
      <c r="AV188" s="148"/>
      <c r="AW188" s="148"/>
    </row>
    <row r="189" spans="1:49" x14ac:dyDescent="0.3">
      <c r="A189" s="149"/>
      <c r="B189" s="149"/>
      <c r="C189" s="149"/>
      <c r="D189" s="149"/>
      <c r="E189" s="149"/>
      <c r="F189" s="149"/>
      <c r="G189" s="149"/>
      <c r="H189" s="299"/>
      <c r="I189" s="149"/>
      <c r="J189" s="149"/>
      <c r="K189" s="146"/>
      <c r="L189" s="146"/>
      <c r="M189" s="146"/>
      <c r="O189" s="147"/>
      <c r="AV189" s="148"/>
      <c r="AW189" s="148"/>
    </row>
    <row r="190" spans="1:49" x14ac:dyDescent="0.3">
      <c r="A190" s="149"/>
      <c r="B190" s="149"/>
      <c r="C190" s="149"/>
      <c r="D190" s="149"/>
      <c r="E190" s="149"/>
      <c r="F190" s="149"/>
      <c r="G190" s="149"/>
      <c r="H190" s="299"/>
      <c r="I190" s="149"/>
      <c r="J190" s="149"/>
      <c r="K190" s="146"/>
      <c r="L190" s="146"/>
      <c r="M190" s="146"/>
      <c r="O190" s="147"/>
      <c r="AV190" s="148"/>
      <c r="AW190" s="148"/>
    </row>
    <row r="191" spans="1:49" x14ac:dyDescent="0.3">
      <c r="A191" s="149"/>
      <c r="B191" s="149"/>
      <c r="C191" s="149"/>
      <c r="D191" s="149"/>
      <c r="E191" s="149"/>
      <c r="F191" s="149"/>
      <c r="G191" s="149"/>
      <c r="H191" s="299"/>
      <c r="I191" s="149"/>
      <c r="J191" s="149"/>
      <c r="K191" s="146"/>
      <c r="L191" s="146"/>
      <c r="M191" s="146"/>
      <c r="O191" s="147"/>
      <c r="AV191" s="148"/>
      <c r="AW191" s="148"/>
    </row>
    <row r="192" spans="1:49" x14ac:dyDescent="0.3">
      <c r="A192" s="149"/>
      <c r="B192" s="149"/>
      <c r="C192" s="149"/>
      <c r="D192" s="149"/>
      <c r="E192" s="149"/>
      <c r="F192" s="149"/>
      <c r="G192" s="149"/>
      <c r="H192" s="299"/>
      <c r="I192" s="149"/>
      <c r="J192" s="149"/>
      <c r="K192" s="146"/>
      <c r="L192" s="146"/>
      <c r="M192" s="146"/>
      <c r="O192" s="147"/>
      <c r="AV192" s="148"/>
      <c r="AW192" s="148"/>
    </row>
    <row r="193" spans="1:49" x14ac:dyDescent="0.3">
      <c r="A193" s="149"/>
      <c r="B193" s="149"/>
      <c r="C193" s="149"/>
      <c r="D193" s="149"/>
      <c r="E193" s="149"/>
      <c r="F193" s="149"/>
      <c r="G193" s="149"/>
      <c r="H193" s="299"/>
      <c r="I193" s="149"/>
      <c r="J193" s="149"/>
      <c r="K193" s="146"/>
      <c r="L193" s="146"/>
      <c r="M193" s="146"/>
      <c r="N193" s="148"/>
      <c r="O193" s="147"/>
      <c r="AV193" s="148"/>
      <c r="AW193" s="148"/>
    </row>
    <row r="194" spans="1:49" x14ac:dyDescent="0.3">
      <c r="A194" s="149"/>
      <c r="B194" s="149"/>
      <c r="C194" s="149"/>
      <c r="D194" s="149"/>
      <c r="E194" s="149"/>
      <c r="F194" s="149"/>
      <c r="G194" s="149"/>
      <c r="H194" s="299"/>
      <c r="I194" s="149"/>
      <c r="J194" s="149"/>
    </row>
    <row r="195" spans="1:49" x14ac:dyDescent="0.3">
      <c r="A195" s="149"/>
      <c r="B195" s="149"/>
      <c r="C195" s="149"/>
      <c r="D195" s="149"/>
      <c r="E195" s="149"/>
      <c r="F195" s="149"/>
      <c r="G195" s="149"/>
      <c r="H195" s="299"/>
      <c r="I195" s="149"/>
      <c r="J195" s="14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/>
      <c r="AO195" s="69"/>
      <c r="AP195" s="69"/>
      <c r="AQ195" s="69"/>
      <c r="AR195" s="69"/>
      <c r="AS195" s="69"/>
      <c r="AT195" s="69"/>
      <c r="AU195" s="69"/>
      <c r="AV195" s="148"/>
      <c r="AW195" s="148"/>
    </row>
    <row r="196" spans="1:49" x14ac:dyDescent="0.3">
      <c r="A196" s="149"/>
      <c r="B196" s="149"/>
      <c r="C196" s="149"/>
      <c r="D196" s="149"/>
      <c r="E196" s="149"/>
      <c r="F196" s="149"/>
      <c r="G196" s="149"/>
      <c r="H196" s="299"/>
      <c r="I196" s="149"/>
      <c r="J196" s="149"/>
    </row>
    <row r="197" spans="1:49" x14ac:dyDescent="0.3">
      <c r="A197" s="149"/>
      <c r="B197" s="149"/>
      <c r="C197" s="149"/>
      <c r="D197" s="149"/>
      <c r="E197" s="149"/>
      <c r="F197" s="149"/>
      <c r="G197" s="149"/>
      <c r="H197" s="299"/>
      <c r="I197" s="149"/>
      <c r="J197" s="149"/>
    </row>
    <row r="198" spans="1:49" x14ac:dyDescent="0.3">
      <c r="A198" s="149"/>
      <c r="B198" s="149"/>
      <c r="C198" s="149"/>
      <c r="D198" s="149"/>
      <c r="E198" s="149"/>
      <c r="F198" s="149"/>
      <c r="G198" s="149"/>
      <c r="H198" s="299"/>
      <c r="I198" s="149"/>
      <c r="J198" s="149"/>
    </row>
    <row r="199" spans="1:49" x14ac:dyDescent="0.3">
      <c r="A199" s="149"/>
      <c r="B199" s="149"/>
      <c r="C199" s="149"/>
      <c r="D199" s="149"/>
      <c r="E199" s="149"/>
      <c r="F199" s="149"/>
      <c r="G199" s="149"/>
      <c r="H199" s="299"/>
      <c r="I199" s="149"/>
      <c r="J199" s="149"/>
    </row>
    <row r="200" spans="1:49" x14ac:dyDescent="0.3">
      <c r="A200" s="149"/>
      <c r="B200" s="149"/>
      <c r="C200" s="149"/>
      <c r="D200" s="149"/>
      <c r="E200" s="149"/>
      <c r="F200" s="149"/>
      <c r="G200" s="149"/>
      <c r="H200" s="299"/>
      <c r="I200" s="149"/>
      <c r="J200" s="149"/>
    </row>
    <row r="201" spans="1:49" x14ac:dyDescent="0.3">
      <c r="A201" s="149"/>
      <c r="B201" s="149"/>
      <c r="C201" s="149"/>
      <c r="D201" s="149"/>
      <c r="E201" s="149"/>
      <c r="F201" s="149"/>
      <c r="G201" s="149"/>
      <c r="H201" s="299"/>
      <c r="I201" s="149"/>
      <c r="J201" s="149"/>
    </row>
    <row r="202" spans="1:49" x14ac:dyDescent="0.3">
      <c r="F202" s="149"/>
      <c r="G202" s="149"/>
      <c r="H202" s="299"/>
      <c r="I202" s="149"/>
      <c r="J202" s="149"/>
    </row>
    <row r="203" spans="1:49" x14ac:dyDescent="0.3">
      <c r="I203" s="149"/>
      <c r="J203" s="149"/>
    </row>
    <row r="207" spans="1:49" x14ac:dyDescent="0.3">
      <c r="K207" s="148"/>
      <c r="L207" s="148"/>
      <c r="M207" s="148"/>
    </row>
    <row r="1048531" spans="1:60" x14ac:dyDescent="0.3">
      <c r="P1048531" s="57"/>
    </row>
    <row r="1048539" spans="1:60" s="70" customFormat="1" x14ac:dyDescent="0.3">
      <c r="A1048539" s="148"/>
      <c r="B1048539" s="148"/>
      <c r="C1048539" s="148"/>
      <c r="D1048539" s="148"/>
      <c r="E1048539" s="148"/>
      <c r="F1048539" s="148"/>
      <c r="G1048539" s="148"/>
      <c r="H1048539" s="297"/>
      <c r="I1048539" s="148"/>
      <c r="J1048539" s="148"/>
      <c r="K1048539" s="150"/>
      <c r="L1048539" s="150"/>
      <c r="M1048539" s="150"/>
      <c r="N1048539" s="150"/>
      <c r="O1048539" s="150"/>
      <c r="P1048539" s="148"/>
      <c r="AV1048539" s="69"/>
      <c r="AW1048539" s="69"/>
      <c r="AX1048539" s="148"/>
      <c r="AY1048539" s="148"/>
      <c r="AZ1048539" s="148"/>
      <c r="BA1048539" s="148"/>
      <c r="BB1048539" s="148"/>
      <c r="BC1048539" s="148"/>
      <c r="BD1048539" s="148"/>
      <c r="BE1048539" s="148"/>
      <c r="BF1048539" s="148"/>
      <c r="BG1048539" s="148"/>
      <c r="BH1048539" s="148"/>
    </row>
  </sheetData>
  <mergeCells count="35">
    <mergeCell ref="A37:P37"/>
    <mergeCell ref="A1:P1"/>
    <mergeCell ref="A2:P2"/>
    <mergeCell ref="A6:B6"/>
    <mergeCell ref="A7:P7"/>
    <mergeCell ref="A36:B36"/>
    <mergeCell ref="E51:J51"/>
    <mergeCell ref="B40:J40"/>
    <mergeCell ref="A41:N41"/>
    <mergeCell ref="A42:P42"/>
    <mergeCell ref="E43:J43"/>
    <mergeCell ref="E44:J44"/>
    <mergeCell ref="E45:J45"/>
    <mergeCell ref="E46:J46"/>
    <mergeCell ref="E47:J47"/>
    <mergeCell ref="E48:J48"/>
    <mergeCell ref="E49:J49"/>
    <mergeCell ref="E50:J50"/>
    <mergeCell ref="N64:O64"/>
    <mergeCell ref="A52:J52"/>
    <mergeCell ref="A54:E54"/>
    <mergeCell ref="N54:P54"/>
    <mergeCell ref="N55:O55"/>
    <mergeCell ref="N56:O56"/>
    <mergeCell ref="N57:P58"/>
    <mergeCell ref="N59:P59"/>
    <mergeCell ref="N60:O60"/>
    <mergeCell ref="N61:O61"/>
    <mergeCell ref="N62:O62"/>
    <mergeCell ref="N63:O63"/>
    <mergeCell ref="N65:O65"/>
    <mergeCell ref="N66:O66"/>
    <mergeCell ref="N67:O67"/>
    <mergeCell ref="N68:P68"/>
    <mergeCell ref="N69:O69"/>
  </mergeCells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487A3-78F5-4BBF-98E9-97F21AB46699}">
  <dimension ref="A1:BH1048540"/>
  <sheetViews>
    <sheetView tabSelected="1" zoomScale="80" zoomScaleNormal="80" workbookViewId="0">
      <selection sqref="A1:XFD1048576"/>
    </sheetView>
  </sheetViews>
  <sheetFormatPr defaultColWidth="9.109375" defaultRowHeight="13.8" x14ac:dyDescent="0.3"/>
  <cols>
    <col min="1" max="1" width="57.88671875" style="148" customWidth="1"/>
    <col min="2" max="2" width="8.33203125" style="148" bestFit="1" customWidth="1"/>
    <col min="3" max="3" width="17.33203125" style="148" customWidth="1"/>
    <col min="4" max="4" width="17.109375" style="148" bestFit="1" customWidth="1"/>
    <col min="5" max="5" width="18.33203125" style="148" customWidth="1"/>
    <col min="6" max="6" width="17.109375" style="148" bestFit="1" customWidth="1"/>
    <col min="7" max="7" width="16" style="148" bestFit="1" customWidth="1"/>
    <col min="8" max="8" width="15.88671875" style="297" bestFit="1" customWidth="1"/>
    <col min="9" max="9" width="12.6640625" style="148" customWidth="1"/>
    <col min="10" max="10" width="13.6640625" style="148" bestFit="1" customWidth="1"/>
    <col min="11" max="11" width="16.77734375" style="150" bestFit="1" customWidth="1"/>
    <col min="12" max="12" width="15.88671875" style="150" bestFit="1" customWidth="1"/>
    <col min="13" max="13" width="17.109375" style="150" bestFit="1" customWidth="1"/>
    <col min="14" max="14" width="130.5546875" style="150" customWidth="1"/>
    <col min="15" max="15" width="8.6640625" style="150" customWidth="1"/>
    <col min="16" max="16" width="16.77734375" style="148" bestFit="1" customWidth="1"/>
    <col min="17" max="18" width="13.109375" style="70" bestFit="1" customWidth="1"/>
    <col min="19" max="47" width="9.109375" style="70"/>
    <col min="48" max="49" width="9.109375" style="69"/>
    <col min="50" max="16384" width="9.109375" style="148"/>
  </cols>
  <sheetData>
    <row r="1" spans="1:42" s="10" customFormat="1" ht="21" customHeight="1" x14ac:dyDescent="0.3">
      <c r="A1" s="521" t="s">
        <v>129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</row>
    <row r="2" spans="1:42" s="10" customFormat="1" ht="28.5" customHeight="1" x14ac:dyDescent="0.3">
      <c r="A2" s="571" t="s">
        <v>1340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3"/>
    </row>
    <row r="3" spans="1:42" s="10" customFormat="1" ht="33.6" customHeight="1" x14ac:dyDescent="0.3">
      <c r="A3" s="83" t="s">
        <v>3</v>
      </c>
      <c r="B3" s="83" t="s">
        <v>0</v>
      </c>
      <c r="C3" s="83" t="s">
        <v>821</v>
      </c>
      <c r="D3" s="84" t="s">
        <v>1</v>
      </c>
      <c r="E3" s="84" t="s">
        <v>68</v>
      </c>
      <c r="F3" s="84" t="s">
        <v>69</v>
      </c>
      <c r="G3" s="85" t="s">
        <v>2</v>
      </c>
      <c r="H3" s="85" t="s">
        <v>592</v>
      </c>
      <c r="I3" s="84" t="s">
        <v>6</v>
      </c>
      <c r="J3" s="84" t="s">
        <v>7</v>
      </c>
      <c r="K3" s="84" t="s">
        <v>4</v>
      </c>
      <c r="L3" s="84" t="s">
        <v>5</v>
      </c>
      <c r="M3" s="84" t="s">
        <v>70</v>
      </c>
      <c r="N3" s="83" t="s">
        <v>59</v>
      </c>
      <c r="O3" s="86" t="s">
        <v>8</v>
      </c>
      <c r="P3" s="86" t="s">
        <v>10</v>
      </c>
    </row>
    <row r="4" spans="1:42" s="502" customFormat="1" ht="24.6" customHeight="1" x14ac:dyDescent="0.3">
      <c r="A4" s="197"/>
      <c r="C4" s="497"/>
      <c r="D4" s="196">
        <v>0</v>
      </c>
      <c r="E4" s="503">
        <v>0</v>
      </c>
      <c r="F4" s="196">
        <f t="shared" ref="F4" si="0">D4-E4</f>
        <v>0</v>
      </c>
      <c r="G4" s="503">
        <v>0</v>
      </c>
      <c r="H4" s="503">
        <v>0</v>
      </c>
      <c r="I4" s="503">
        <v>0</v>
      </c>
      <c r="J4" s="503">
        <v>0</v>
      </c>
      <c r="K4" s="499">
        <f>SUM(F4:J4)</f>
        <v>0</v>
      </c>
      <c r="L4" s="503">
        <f>60%*(D4+G4)</f>
        <v>0</v>
      </c>
      <c r="M4" s="503">
        <f>K4-L4</f>
        <v>0</v>
      </c>
      <c r="N4" s="196"/>
      <c r="O4" s="197"/>
      <c r="P4" s="197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208"/>
      <c r="AC4" s="208"/>
      <c r="AD4" s="208"/>
      <c r="AE4" s="208"/>
      <c r="AF4" s="208"/>
      <c r="AG4" s="208"/>
      <c r="AH4" s="208"/>
      <c r="AI4" s="208"/>
      <c r="AJ4" s="208"/>
      <c r="AK4" s="208"/>
      <c r="AL4" s="509"/>
      <c r="AM4" s="403"/>
      <c r="AN4" s="403"/>
      <c r="AO4" s="403"/>
      <c r="AP4" s="403"/>
    </row>
    <row r="5" spans="1:42" s="206" customFormat="1" ht="24.6" customHeight="1" x14ac:dyDescent="0.3">
      <c r="A5" s="195"/>
      <c r="B5" s="497"/>
      <c r="C5" s="497"/>
      <c r="D5" s="196">
        <v>0</v>
      </c>
      <c r="E5" s="503">
        <v>0</v>
      </c>
      <c r="F5" s="196">
        <f>D5-E5</f>
        <v>0</v>
      </c>
      <c r="G5" s="503">
        <v>0</v>
      </c>
      <c r="H5" s="503">
        <v>0</v>
      </c>
      <c r="I5" s="503">
        <v>0</v>
      </c>
      <c r="J5" s="503">
        <v>0</v>
      </c>
      <c r="K5" s="499">
        <f>SUM(F5:J5)</f>
        <v>0</v>
      </c>
      <c r="L5" s="503">
        <f>60%*(D5+G5)</f>
        <v>0</v>
      </c>
      <c r="M5" s="503">
        <f>K5-L5</f>
        <v>0</v>
      </c>
      <c r="N5" s="497"/>
      <c r="O5" s="197"/>
      <c r="P5" s="197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</row>
    <row r="6" spans="1:42" s="10" customFormat="1" ht="25.05" customHeight="1" x14ac:dyDescent="0.3">
      <c r="A6" s="518" t="s">
        <v>4</v>
      </c>
      <c r="B6" s="518"/>
      <c r="C6" s="492"/>
      <c r="D6" s="494">
        <f>SUM(D4:D5)</f>
        <v>0</v>
      </c>
      <c r="E6" s="494">
        <f t="shared" ref="E6:J6" si="1">SUM(E4:E5)</f>
        <v>0</v>
      </c>
      <c r="F6" s="494">
        <f t="shared" si="1"/>
        <v>0</v>
      </c>
      <c r="G6" s="494">
        <f t="shared" si="1"/>
        <v>0</v>
      </c>
      <c r="H6" s="494">
        <f t="shared" si="1"/>
        <v>0</v>
      </c>
      <c r="I6" s="494">
        <f t="shared" si="1"/>
        <v>0</v>
      </c>
      <c r="J6" s="494">
        <f t="shared" si="1"/>
        <v>0</v>
      </c>
      <c r="K6" s="494">
        <f>SUM(K4:K5)</f>
        <v>0</v>
      </c>
      <c r="L6" s="494">
        <f>SUM(L4:L5)</f>
        <v>0</v>
      </c>
      <c r="M6" s="494">
        <f>SUM(M4:M5)</f>
        <v>0</v>
      </c>
      <c r="N6" s="495"/>
      <c r="O6" s="3"/>
      <c r="P6" s="3"/>
    </row>
    <row r="7" spans="1:42" s="10" customFormat="1" ht="25.05" customHeight="1" x14ac:dyDescent="0.3">
      <c r="A7" s="571" t="s">
        <v>1341</v>
      </c>
      <c r="B7" s="572"/>
      <c r="C7" s="572"/>
      <c r="D7" s="572"/>
      <c r="E7" s="572"/>
      <c r="F7" s="572"/>
      <c r="G7" s="572"/>
      <c r="H7" s="572"/>
      <c r="I7" s="572"/>
      <c r="J7" s="572"/>
      <c r="K7" s="572"/>
      <c r="L7" s="572"/>
      <c r="M7" s="572"/>
      <c r="N7" s="572"/>
      <c r="O7" s="572"/>
      <c r="P7" s="573"/>
    </row>
    <row r="8" spans="1:42" s="11" customFormat="1" ht="34.799999999999997" customHeight="1" x14ac:dyDescent="0.3">
      <c r="A8" s="83" t="s">
        <v>3</v>
      </c>
      <c r="B8" s="83" t="s">
        <v>0</v>
      </c>
      <c r="C8" s="83" t="s">
        <v>821</v>
      </c>
      <c r="D8" s="84" t="s">
        <v>1</v>
      </c>
      <c r="E8" s="84" t="s">
        <v>68</v>
      </c>
      <c r="F8" s="84" t="s">
        <v>69</v>
      </c>
      <c r="G8" s="85" t="s">
        <v>2</v>
      </c>
      <c r="H8" s="85" t="s">
        <v>592</v>
      </c>
      <c r="I8" s="84" t="s">
        <v>6</v>
      </c>
      <c r="J8" s="84" t="s">
        <v>7</v>
      </c>
      <c r="K8" s="84" t="s">
        <v>4</v>
      </c>
      <c r="L8" s="84" t="s">
        <v>5</v>
      </c>
      <c r="M8" s="84" t="s">
        <v>70</v>
      </c>
      <c r="N8" s="83" t="s">
        <v>59</v>
      </c>
      <c r="O8" s="86" t="s">
        <v>8</v>
      </c>
      <c r="P8" s="86" t="s">
        <v>10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</row>
    <row r="9" spans="1:42" s="506" customFormat="1" ht="24.6" customHeight="1" x14ac:dyDescent="0.3">
      <c r="A9" s="195" t="s">
        <v>1079</v>
      </c>
      <c r="B9" s="497">
        <v>1</v>
      </c>
      <c r="C9" s="497" t="s">
        <v>830</v>
      </c>
      <c r="D9" s="196">
        <v>637.22</v>
      </c>
      <c r="E9" s="503">
        <v>0</v>
      </c>
      <c r="F9" s="503">
        <f t="shared" ref="F9:F25" si="2">D9-E9</f>
        <v>637.22</v>
      </c>
      <c r="G9" s="196">
        <v>52.23</v>
      </c>
      <c r="H9" s="503">
        <f>(1827.9/27)</f>
        <v>67.7</v>
      </c>
      <c r="I9" s="503">
        <f>'[2]GERAL 2026'!I3</f>
        <v>1.4318262411347515</v>
      </c>
      <c r="J9" s="503">
        <v>0</v>
      </c>
      <c r="K9" s="499">
        <f t="shared" ref="K9:K35" si="3">SUM(F9:J9)</f>
        <v>758.58182624113488</v>
      </c>
      <c r="L9" s="503">
        <f>7%*K9</f>
        <v>53.100727836879443</v>
      </c>
      <c r="M9" s="503">
        <f>(K9-L9)</f>
        <v>705.48109840425548</v>
      </c>
      <c r="N9" s="196" t="s">
        <v>1342</v>
      </c>
      <c r="O9" s="197">
        <v>10</v>
      </c>
      <c r="P9" s="197">
        <v>11</v>
      </c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</row>
    <row r="10" spans="1:42" s="203" customFormat="1" ht="26.4" customHeight="1" x14ac:dyDescent="0.3">
      <c r="A10" s="497" t="s">
        <v>1210</v>
      </c>
      <c r="B10" s="502">
        <v>2</v>
      </c>
      <c r="C10" s="497" t="s">
        <v>822</v>
      </c>
      <c r="D10" s="196">
        <f>660</f>
        <v>660</v>
      </c>
      <c r="E10" s="196">
        <v>0</v>
      </c>
      <c r="F10" s="196">
        <f t="shared" si="2"/>
        <v>660</v>
      </c>
      <c r="G10" s="196">
        <f>50</f>
        <v>50</v>
      </c>
      <c r="H10" s="503">
        <f t="shared" ref="H10:H35" si="4">(1827.9/27)</f>
        <v>67.7</v>
      </c>
      <c r="I10" s="503">
        <f>'[2]GERAL 2026'!I4</f>
        <v>1.4318262411347515</v>
      </c>
      <c r="J10" s="196">
        <v>0</v>
      </c>
      <c r="K10" s="499">
        <f t="shared" si="3"/>
        <v>779.13182624113483</v>
      </c>
      <c r="L10" s="503">
        <f>7%*K10</f>
        <v>54.539227836879441</v>
      </c>
      <c r="M10" s="503">
        <f t="shared" ref="M10:M35" si="5">(K10-L10)</f>
        <v>724.59259840425534</v>
      </c>
      <c r="N10" s="497" t="s">
        <v>1135</v>
      </c>
      <c r="O10" s="197">
        <v>10</v>
      </c>
      <c r="P10" s="197">
        <v>11</v>
      </c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1"/>
      <c r="AM10" s="202"/>
      <c r="AN10" s="202"/>
      <c r="AO10" s="202"/>
      <c r="AP10" s="202"/>
    </row>
    <row r="11" spans="1:42" s="204" customFormat="1" ht="24.6" customHeight="1" x14ac:dyDescent="0.3">
      <c r="A11" s="497" t="s">
        <v>1005</v>
      </c>
      <c r="B11" s="502">
        <v>3</v>
      </c>
      <c r="C11" s="497" t="s">
        <v>822</v>
      </c>
      <c r="D11" s="196">
        <v>0</v>
      </c>
      <c r="E11" s="196">
        <v>0</v>
      </c>
      <c r="F11" s="196">
        <f t="shared" si="2"/>
        <v>0</v>
      </c>
      <c r="G11" s="196">
        <v>0</v>
      </c>
      <c r="H11" s="503">
        <v>0</v>
      </c>
      <c r="I11" s="503">
        <v>0</v>
      </c>
      <c r="J11" s="196">
        <v>0</v>
      </c>
      <c r="K11" s="499">
        <f t="shared" si="3"/>
        <v>0</v>
      </c>
      <c r="L11" s="503">
        <f>7%*K11</f>
        <v>0</v>
      </c>
      <c r="M11" s="503">
        <f t="shared" si="5"/>
        <v>0</v>
      </c>
      <c r="N11" s="497" t="s">
        <v>179</v>
      </c>
      <c r="O11" s="197">
        <v>10</v>
      </c>
      <c r="P11" s="197">
        <v>11</v>
      </c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</row>
    <row r="12" spans="1:42" s="506" customFormat="1" ht="24.6" customHeight="1" x14ac:dyDescent="0.3">
      <c r="A12" s="497" t="s">
        <v>1133</v>
      </c>
      <c r="B12" s="497">
        <v>4</v>
      </c>
      <c r="C12" s="507" t="s">
        <v>829</v>
      </c>
      <c r="D12" s="196">
        <v>685.16</v>
      </c>
      <c r="E12" s="196">
        <v>0</v>
      </c>
      <c r="F12" s="196">
        <f t="shared" si="2"/>
        <v>685.16</v>
      </c>
      <c r="G12" s="503">
        <v>51.91</v>
      </c>
      <c r="H12" s="503">
        <f t="shared" si="4"/>
        <v>67.7</v>
      </c>
      <c r="I12" s="503">
        <f>'[2]GERAL 2026'!I6</f>
        <v>1.4318262411347515</v>
      </c>
      <c r="J12" s="503">
        <v>140.52000000000001</v>
      </c>
      <c r="K12" s="499">
        <f t="shared" si="3"/>
        <v>946.72182624113475</v>
      </c>
      <c r="L12" s="503">
        <f>7%*K12</f>
        <v>66.270527836879438</v>
      </c>
      <c r="M12" s="503">
        <f t="shared" si="5"/>
        <v>880.45129840425534</v>
      </c>
      <c r="N12" s="497" t="s">
        <v>1343</v>
      </c>
      <c r="O12" s="197">
        <v>10</v>
      </c>
      <c r="P12" s="502">
        <v>11</v>
      </c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</row>
    <row r="13" spans="1:42" s="506" customFormat="1" ht="24.6" customHeight="1" x14ac:dyDescent="0.3">
      <c r="A13" s="497" t="s">
        <v>744</v>
      </c>
      <c r="B13" s="497">
        <v>5</v>
      </c>
      <c r="C13" s="497" t="s">
        <v>823</v>
      </c>
      <c r="D13" s="196">
        <f>'[2]GERAL 2023'!G7+(6.53784 %*580)</f>
        <v>617.91947200000004</v>
      </c>
      <c r="E13" s="503">
        <v>0</v>
      </c>
      <c r="F13" s="503">
        <f t="shared" si="2"/>
        <v>617.91947200000004</v>
      </c>
      <c r="G13" s="503">
        <f>50</f>
        <v>50</v>
      </c>
      <c r="H13" s="503">
        <f t="shared" si="4"/>
        <v>67.7</v>
      </c>
      <c r="I13" s="503">
        <f>'[2]GERAL 2026'!I7</f>
        <v>1.4318262411347515</v>
      </c>
      <c r="J13" s="503">
        <v>0</v>
      </c>
      <c r="K13" s="499">
        <f t="shared" si="3"/>
        <v>737.05129824113487</v>
      </c>
      <c r="L13" s="503">
        <f>7%*K13</f>
        <v>51.593590876879446</v>
      </c>
      <c r="M13" s="503">
        <f t="shared" si="5"/>
        <v>685.45770736425538</v>
      </c>
      <c r="N13" s="497" t="s">
        <v>1135</v>
      </c>
      <c r="O13" s="197">
        <v>10</v>
      </c>
      <c r="P13" s="197">
        <v>11</v>
      </c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</row>
    <row r="14" spans="1:42" s="206" customFormat="1" ht="26.4" customHeight="1" x14ac:dyDescent="0.3">
      <c r="A14" s="497" t="s">
        <v>745</v>
      </c>
      <c r="B14" s="497">
        <v>6</v>
      </c>
      <c r="C14" s="497" t="s">
        <v>823</v>
      </c>
      <c r="D14" s="196">
        <f>'[2]GERAL 2023'!G8+(6.53784%*680)</f>
        <v>724.457312</v>
      </c>
      <c r="E14" s="196">
        <v>0</v>
      </c>
      <c r="F14" s="503">
        <f t="shared" si="2"/>
        <v>724.457312</v>
      </c>
      <c r="G14" s="503">
        <v>50</v>
      </c>
      <c r="H14" s="503">
        <f t="shared" si="4"/>
        <v>67.7</v>
      </c>
      <c r="I14" s="503">
        <f>'[2]GERAL 2026'!I8</f>
        <v>2.0045567375886524</v>
      </c>
      <c r="J14" s="503">
        <v>0</v>
      </c>
      <c r="K14" s="499">
        <f t="shared" si="3"/>
        <v>844.16186873758875</v>
      </c>
      <c r="L14" s="503">
        <f t="shared" ref="L14:L35" si="6">7%*K14</f>
        <v>59.091330811631217</v>
      </c>
      <c r="M14" s="503">
        <f t="shared" si="5"/>
        <v>785.07053792595752</v>
      </c>
      <c r="N14" s="497" t="s">
        <v>1135</v>
      </c>
      <c r="O14" s="197">
        <v>10</v>
      </c>
      <c r="P14" s="197">
        <v>11</v>
      </c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</row>
    <row r="15" spans="1:42" s="506" customFormat="1" ht="24.6" customHeight="1" x14ac:dyDescent="0.3">
      <c r="A15" s="497" t="s">
        <v>1136</v>
      </c>
      <c r="B15" s="497">
        <v>7</v>
      </c>
      <c r="C15" s="507" t="s">
        <v>829</v>
      </c>
      <c r="D15" s="196">
        <f>716.31</f>
        <v>716.31</v>
      </c>
      <c r="E15" s="196">
        <v>0</v>
      </c>
      <c r="F15" s="196">
        <f t="shared" si="2"/>
        <v>716.31</v>
      </c>
      <c r="G15" s="196">
        <v>0</v>
      </c>
      <c r="H15" s="503">
        <f t="shared" si="4"/>
        <v>67.7</v>
      </c>
      <c r="I15" s="503">
        <f>'[2]GERAL 2026'!I9</f>
        <v>1.4318262411347515</v>
      </c>
      <c r="J15" s="196">
        <v>140.93</v>
      </c>
      <c r="K15" s="499">
        <f t="shared" si="3"/>
        <v>926.37182624113484</v>
      </c>
      <c r="L15" s="503">
        <f>7%*K15</f>
        <v>64.846027836879443</v>
      </c>
      <c r="M15" s="503">
        <f t="shared" si="5"/>
        <v>861.5257984042554</v>
      </c>
      <c r="N15" s="196" t="s">
        <v>1344</v>
      </c>
      <c r="O15" s="197">
        <v>10</v>
      </c>
      <c r="P15" s="197">
        <v>11</v>
      </c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</row>
    <row r="16" spans="1:42" s="506" customFormat="1" ht="24.6" customHeight="1" x14ac:dyDescent="0.3">
      <c r="A16" s="497" t="s">
        <v>1085</v>
      </c>
      <c r="B16" s="497">
        <v>8</v>
      </c>
      <c r="C16" s="497" t="s">
        <v>830</v>
      </c>
      <c r="D16" s="196">
        <f>668.56</f>
        <v>668.56</v>
      </c>
      <c r="E16" s="503">
        <v>0</v>
      </c>
      <c r="F16" s="196">
        <f t="shared" si="2"/>
        <v>668.56</v>
      </c>
      <c r="G16" s="503">
        <v>0</v>
      </c>
      <c r="H16" s="503">
        <f>(1827.9/27)</f>
        <v>67.7</v>
      </c>
      <c r="I16" s="503">
        <f>'[2]GERAL 2026'!I10</f>
        <v>1.4318262411347515</v>
      </c>
      <c r="J16" s="503">
        <v>0</v>
      </c>
      <c r="K16" s="499">
        <f t="shared" si="3"/>
        <v>737.69182624113478</v>
      </c>
      <c r="L16" s="503">
        <f>7%*K16</f>
        <v>51.638427836879437</v>
      </c>
      <c r="M16" s="503">
        <f t="shared" si="5"/>
        <v>686.05339840425529</v>
      </c>
      <c r="N16" s="196" t="s">
        <v>658</v>
      </c>
      <c r="O16" s="197">
        <v>10</v>
      </c>
      <c r="P16" s="197">
        <v>11</v>
      </c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</row>
    <row r="17" spans="1:47" s="506" customFormat="1" ht="24.6" customHeight="1" x14ac:dyDescent="0.3">
      <c r="A17" s="497" t="s">
        <v>852</v>
      </c>
      <c r="B17" s="497">
        <v>9</v>
      </c>
      <c r="C17" s="497" t="s">
        <v>828</v>
      </c>
      <c r="D17" s="196">
        <f>681.98</f>
        <v>681.98</v>
      </c>
      <c r="E17" s="503">
        <v>0</v>
      </c>
      <c r="F17" s="196">
        <f t="shared" si="2"/>
        <v>681.98</v>
      </c>
      <c r="G17" s="503">
        <v>0</v>
      </c>
      <c r="H17" s="503">
        <f t="shared" si="4"/>
        <v>67.7</v>
      </c>
      <c r="I17" s="503">
        <f>'[2]GERAL 2026'!I11</f>
        <v>1.4318262411347515</v>
      </c>
      <c r="J17" s="503">
        <v>0</v>
      </c>
      <c r="K17" s="499">
        <f t="shared" si="3"/>
        <v>751.11182624113485</v>
      </c>
      <c r="L17" s="503">
        <f>7%*K17</f>
        <v>52.577827836879443</v>
      </c>
      <c r="M17" s="503">
        <f t="shared" si="5"/>
        <v>698.53399840425539</v>
      </c>
      <c r="N17" s="497" t="s">
        <v>658</v>
      </c>
      <c r="O17" s="207">
        <v>10</v>
      </c>
      <c r="P17" s="197">
        <v>11</v>
      </c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</row>
    <row r="18" spans="1:47" s="148" customFormat="1" ht="24.6" customHeight="1" x14ac:dyDescent="0.3">
      <c r="A18" s="502" t="s">
        <v>739</v>
      </c>
      <c r="B18" s="502">
        <v>10</v>
      </c>
      <c r="C18" s="502" t="s">
        <v>825</v>
      </c>
      <c r="D18" s="196">
        <f>588.62</f>
        <v>588.62</v>
      </c>
      <c r="E18" s="503">
        <v>0</v>
      </c>
      <c r="F18" s="196">
        <f t="shared" si="2"/>
        <v>588.62</v>
      </c>
      <c r="G18" s="503">
        <v>26.76</v>
      </c>
      <c r="H18" s="503">
        <f t="shared" si="4"/>
        <v>67.7</v>
      </c>
      <c r="I18" s="503">
        <f>'[2]GERAL 2026'!I12</f>
        <v>1.4318262411347515</v>
      </c>
      <c r="J18" s="503">
        <v>0</v>
      </c>
      <c r="K18" s="499">
        <f t="shared" si="3"/>
        <v>684.51182624113483</v>
      </c>
      <c r="L18" s="503">
        <f t="shared" si="6"/>
        <v>47.915827836879444</v>
      </c>
      <c r="M18" s="503">
        <f t="shared" si="5"/>
        <v>636.5959984042554</v>
      </c>
      <c r="N18" s="196" t="s">
        <v>1138</v>
      </c>
      <c r="O18" s="197">
        <v>10</v>
      </c>
      <c r="P18" s="502">
        <v>11</v>
      </c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  <c r="AI18" s="208"/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  <c r="AT18" s="208"/>
      <c r="AU18" s="208"/>
    </row>
    <row r="19" spans="1:47" s="148" customFormat="1" ht="24.6" customHeight="1" x14ac:dyDescent="0.3">
      <c r="A19" s="502" t="s">
        <v>1192</v>
      </c>
      <c r="B19" s="502">
        <v>11</v>
      </c>
      <c r="C19" s="502" t="s">
        <v>825</v>
      </c>
      <c r="D19" s="503">
        <f>660</f>
        <v>660</v>
      </c>
      <c r="E19" s="503">
        <v>0</v>
      </c>
      <c r="F19" s="196">
        <f t="shared" si="2"/>
        <v>660</v>
      </c>
      <c r="G19" s="503">
        <f>25</f>
        <v>25</v>
      </c>
      <c r="H19" s="503">
        <f t="shared" si="4"/>
        <v>67.7</v>
      </c>
      <c r="I19" s="503">
        <f>'[2]GERAL 2026'!I13</f>
        <v>1.4318262411347515</v>
      </c>
      <c r="J19" s="503">
        <v>0</v>
      </c>
      <c r="K19" s="499">
        <f t="shared" si="3"/>
        <v>754.13182624113483</v>
      </c>
      <c r="L19" s="503">
        <f>7%*K19</f>
        <v>52.789227836879441</v>
      </c>
      <c r="M19" s="503">
        <f t="shared" si="5"/>
        <v>701.34259840425534</v>
      </c>
      <c r="N19" s="196" t="s">
        <v>1138</v>
      </c>
      <c r="O19" s="197">
        <v>10</v>
      </c>
      <c r="P19" s="502">
        <v>11</v>
      </c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8"/>
      <c r="AR19" s="208"/>
      <c r="AS19" s="208"/>
      <c r="AT19" s="208"/>
      <c r="AU19" s="208"/>
    </row>
    <row r="20" spans="1:47" s="506" customFormat="1" ht="24" customHeight="1" x14ac:dyDescent="0.3">
      <c r="A20" s="497" t="s">
        <v>1087</v>
      </c>
      <c r="B20" s="497">
        <v>12</v>
      </c>
      <c r="C20" s="497" t="s">
        <v>830</v>
      </c>
      <c r="D20" s="196">
        <v>637.22</v>
      </c>
      <c r="E20" s="503">
        <v>0</v>
      </c>
      <c r="F20" s="503">
        <f t="shared" si="2"/>
        <v>637.22</v>
      </c>
      <c r="G20" s="196">
        <v>52.23</v>
      </c>
      <c r="H20" s="503">
        <f t="shared" si="4"/>
        <v>67.7</v>
      </c>
      <c r="I20" s="503">
        <f>'[2]GERAL 2026'!I14</f>
        <v>1.4318262411347515</v>
      </c>
      <c r="J20" s="196">
        <v>0</v>
      </c>
      <c r="K20" s="499">
        <f t="shared" si="3"/>
        <v>758.58182624113488</v>
      </c>
      <c r="L20" s="503">
        <f t="shared" si="6"/>
        <v>53.100727836879443</v>
      </c>
      <c r="M20" s="503">
        <f t="shared" si="5"/>
        <v>705.48109840425548</v>
      </c>
      <c r="N20" s="196" t="s">
        <v>1135</v>
      </c>
      <c r="O20" s="197">
        <v>10</v>
      </c>
      <c r="P20" s="197">
        <v>11</v>
      </c>
      <c r="Q20" s="198"/>
      <c r="R20" s="198"/>
      <c r="S20" s="198"/>
      <c r="T20" s="198"/>
      <c r="U20" s="198"/>
      <c r="V20" s="198"/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</row>
    <row r="21" spans="1:47" s="206" customFormat="1" ht="24.6" customHeight="1" x14ac:dyDescent="0.3">
      <c r="A21" s="497" t="s">
        <v>756</v>
      </c>
      <c r="B21" s="497">
        <v>13</v>
      </c>
      <c r="C21" s="497" t="s">
        <v>827</v>
      </c>
      <c r="D21" s="196">
        <v>596.77</v>
      </c>
      <c r="E21" s="196">
        <v>0</v>
      </c>
      <c r="F21" s="196">
        <f t="shared" si="2"/>
        <v>596.77</v>
      </c>
      <c r="G21" s="503">
        <v>0</v>
      </c>
      <c r="H21" s="503">
        <f t="shared" si="4"/>
        <v>67.7</v>
      </c>
      <c r="I21" s="503">
        <f>'[2]GERAL 2026'!I15</f>
        <v>1.4318262411347515</v>
      </c>
      <c r="J21" s="503">
        <v>0</v>
      </c>
      <c r="K21" s="499">
        <f t="shared" si="3"/>
        <v>665.90182624113481</v>
      </c>
      <c r="L21" s="503">
        <f t="shared" si="6"/>
        <v>46.613127836879443</v>
      </c>
      <c r="M21" s="503">
        <f t="shared" si="5"/>
        <v>619.28869840425534</v>
      </c>
      <c r="N21" s="497" t="s">
        <v>658</v>
      </c>
      <c r="O21" s="197">
        <v>10</v>
      </c>
      <c r="P21" s="197">
        <v>11</v>
      </c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</row>
    <row r="22" spans="1:47" s="148" customFormat="1" ht="25.8" customHeight="1" x14ac:dyDescent="0.3">
      <c r="A22" s="197" t="s">
        <v>1318</v>
      </c>
      <c r="B22" s="502">
        <v>14</v>
      </c>
      <c r="C22" s="497" t="s">
        <v>823</v>
      </c>
      <c r="D22" s="196">
        <f>680</f>
        <v>680</v>
      </c>
      <c r="E22" s="503">
        <v>0</v>
      </c>
      <c r="F22" s="196">
        <f t="shared" si="2"/>
        <v>680</v>
      </c>
      <c r="G22" s="503">
        <f>25</f>
        <v>25</v>
      </c>
      <c r="H22" s="503">
        <f>(1827.9/27)</f>
        <v>67.7</v>
      </c>
      <c r="I22" s="503">
        <f>'[2]GERAL 2026'!I34</f>
        <v>1.4318262411347515</v>
      </c>
      <c r="J22" s="503">
        <v>0</v>
      </c>
      <c r="K22" s="499">
        <f t="shared" si="3"/>
        <v>774.13182624113483</v>
      </c>
      <c r="L22" s="503">
        <f t="shared" si="6"/>
        <v>54.189227836879446</v>
      </c>
      <c r="M22" s="503">
        <f t="shared" si="5"/>
        <v>719.94259840425536</v>
      </c>
      <c r="N22" s="196" t="s">
        <v>1138</v>
      </c>
      <c r="O22" s="197">
        <v>10</v>
      </c>
      <c r="P22" s="502">
        <v>11</v>
      </c>
      <c r="Q22" s="208"/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  <c r="AD22" s="208"/>
      <c r="AE22" s="208"/>
      <c r="AF22" s="208"/>
      <c r="AG22" s="208"/>
      <c r="AH22" s="208"/>
      <c r="AI22" s="208"/>
      <c r="AJ22" s="208"/>
      <c r="AK22" s="208"/>
      <c r="AL22" s="208"/>
      <c r="AM22" s="208"/>
      <c r="AN22" s="208"/>
      <c r="AO22" s="208"/>
      <c r="AP22" s="208"/>
      <c r="AQ22" s="208"/>
      <c r="AR22" s="208"/>
      <c r="AS22" s="208"/>
      <c r="AT22" s="208"/>
      <c r="AU22" s="208"/>
    </row>
    <row r="23" spans="1:47" s="204" customFormat="1" ht="24.6" customHeight="1" x14ac:dyDescent="0.3">
      <c r="A23" s="497" t="s">
        <v>748</v>
      </c>
      <c r="B23" s="497">
        <v>15</v>
      </c>
      <c r="C23" s="497" t="s">
        <v>827</v>
      </c>
      <c r="D23" s="196">
        <v>737.83</v>
      </c>
      <c r="E23" s="503">
        <v>0</v>
      </c>
      <c r="F23" s="196">
        <f t="shared" si="2"/>
        <v>737.83</v>
      </c>
      <c r="G23" s="503">
        <v>27.13</v>
      </c>
      <c r="H23" s="503">
        <f t="shared" si="4"/>
        <v>67.7</v>
      </c>
      <c r="I23" s="503">
        <f>'[2]GERAL 2026'!I17</f>
        <v>2.0045567375886524</v>
      </c>
      <c r="J23" s="503">
        <v>0</v>
      </c>
      <c r="K23" s="499">
        <f t="shared" si="3"/>
        <v>834.66455673758878</v>
      </c>
      <c r="L23" s="503">
        <f t="shared" si="6"/>
        <v>58.426518971631218</v>
      </c>
      <c r="M23" s="503">
        <f t="shared" si="5"/>
        <v>776.23803776595753</v>
      </c>
      <c r="N23" s="497" t="s">
        <v>1138</v>
      </c>
      <c r="O23" s="197">
        <v>10</v>
      </c>
      <c r="P23" s="502">
        <v>11</v>
      </c>
      <c r="Q23" s="200"/>
      <c r="R23" s="200"/>
      <c r="S23" s="200"/>
      <c r="T23" s="200"/>
      <c r="U23" s="200"/>
      <c r="V23" s="200"/>
      <c r="W23" s="200"/>
      <c r="X23" s="200"/>
      <c r="Y23" s="200"/>
    </row>
    <row r="24" spans="1:47" s="206" customFormat="1" ht="24.6" customHeight="1" x14ac:dyDescent="0.3">
      <c r="A24" s="197" t="s">
        <v>1195</v>
      </c>
      <c r="B24" s="197">
        <v>16</v>
      </c>
      <c r="C24" s="502" t="s">
        <v>825</v>
      </c>
      <c r="D24" s="196">
        <f>690</f>
        <v>690</v>
      </c>
      <c r="E24" s="503">
        <v>0</v>
      </c>
      <c r="F24" s="196">
        <f>D24-E24</f>
        <v>690</v>
      </c>
      <c r="G24" s="503">
        <f>50</f>
        <v>50</v>
      </c>
      <c r="H24" s="503">
        <f t="shared" si="4"/>
        <v>67.7</v>
      </c>
      <c r="I24" s="503">
        <f>'[2]GERAL 2026'!I18</f>
        <v>1.4318262411347515</v>
      </c>
      <c r="J24" s="503">
        <v>0</v>
      </c>
      <c r="K24" s="499">
        <f t="shared" si="3"/>
        <v>809.13182624113483</v>
      </c>
      <c r="L24" s="503">
        <f t="shared" si="6"/>
        <v>56.639227836879442</v>
      </c>
      <c r="M24" s="503">
        <f t="shared" si="5"/>
        <v>752.49259840425543</v>
      </c>
      <c r="N24" s="196" t="s">
        <v>1135</v>
      </c>
      <c r="O24" s="197">
        <v>10</v>
      </c>
      <c r="P24" s="197">
        <v>11</v>
      </c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  <c r="AP24" s="205"/>
    </row>
    <row r="25" spans="1:47" s="206" customFormat="1" ht="24.6" customHeight="1" x14ac:dyDescent="0.3">
      <c r="A25" s="195" t="s">
        <v>1029</v>
      </c>
      <c r="B25" s="195">
        <v>17</v>
      </c>
      <c r="C25" s="195" t="s">
        <v>824</v>
      </c>
      <c r="D25" s="196">
        <f>628.06</f>
        <v>628.05999999999995</v>
      </c>
      <c r="E25" s="503">
        <v>0</v>
      </c>
      <c r="F25" s="196">
        <f t="shared" si="2"/>
        <v>628.05999999999995</v>
      </c>
      <c r="G25" s="503">
        <v>51.48</v>
      </c>
      <c r="H25" s="503">
        <f t="shared" si="4"/>
        <v>67.7</v>
      </c>
      <c r="I25" s="503">
        <f>'[2]GERAL 2026'!I19</f>
        <v>1.4318262411347515</v>
      </c>
      <c r="J25" s="503">
        <v>0</v>
      </c>
      <c r="K25" s="499">
        <f t="shared" si="3"/>
        <v>748.6718262411348</v>
      </c>
      <c r="L25" s="503">
        <f>7%*K25</f>
        <v>52.407027836879443</v>
      </c>
      <c r="M25" s="503">
        <f t="shared" si="5"/>
        <v>696.26479840425532</v>
      </c>
      <c r="N25" s="497" t="s">
        <v>1135</v>
      </c>
      <c r="O25" s="197">
        <v>10</v>
      </c>
      <c r="P25" s="197">
        <v>11</v>
      </c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</row>
    <row r="26" spans="1:47" s="206" customFormat="1" ht="24.6" customHeight="1" x14ac:dyDescent="0.3">
      <c r="A26" s="195" t="s">
        <v>1030</v>
      </c>
      <c r="B26" s="497">
        <v>18</v>
      </c>
      <c r="C26" s="195" t="s">
        <v>824</v>
      </c>
      <c r="D26" s="196">
        <v>658.95</v>
      </c>
      <c r="E26" s="503">
        <v>0</v>
      </c>
      <c r="F26" s="196">
        <f>D26-E26</f>
        <v>658.95</v>
      </c>
      <c r="G26" s="503">
        <v>0</v>
      </c>
      <c r="H26" s="503">
        <f t="shared" si="4"/>
        <v>67.7</v>
      </c>
      <c r="I26" s="503">
        <f>'[2]GERAL 2026'!I20</f>
        <v>1.4318262411347515</v>
      </c>
      <c r="J26" s="503">
        <v>0</v>
      </c>
      <c r="K26" s="499">
        <f t="shared" si="3"/>
        <v>728.08182624113488</v>
      </c>
      <c r="L26" s="503">
        <f t="shared" si="6"/>
        <v>50.965727836879445</v>
      </c>
      <c r="M26" s="503">
        <f t="shared" si="5"/>
        <v>677.11609840425547</v>
      </c>
      <c r="N26" s="497" t="s">
        <v>658</v>
      </c>
      <c r="O26" s="197">
        <v>10</v>
      </c>
      <c r="P26" s="197">
        <v>11</v>
      </c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</row>
    <row r="27" spans="1:47" s="206" customFormat="1" ht="24.6" customHeight="1" x14ac:dyDescent="0.3">
      <c r="A27" s="497" t="s">
        <v>1012</v>
      </c>
      <c r="B27" s="497">
        <v>19</v>
      </c>
      <c r="C27" s="497" t="s">
        <v>822</v>
      </c>
      <c r="D27" s="196">
        <f>605.44</f>
        <v>605.44000000000005</v>
      </c>
      <c r="E27" s="503">
        <v>0</v>
      </c>
      <c r="F27" s="196">
        <f>(D27-E27)</f>
        <v>605.44000000000005</v>
      </c>
      <c r="G27" s="503">
        <v>52.19</v>
      </c>
      <c r="H27" s="503">
        <f t="shared" si="4"/>
        <v>67.7</v>
      </c>
      <c r="I27" s="503">
        <f>'[2]GERAL 2026'!I21</f>
        <v>1.4318262411347515</v>
      </c>
      <c r="J27" s="503">
        <v>0</v>
      </c>
      <c r="K27" s="499">
        <f t="shared" si="3"/>
        <v>726.76182624113494</v>
      </c>
      <c r="L27" s="503">
        <f t="shared" si="6"/>
        <v>50.873327836879447</v>
      </c>
      <c r="M27" s="503">
        <f t="shared" si="5"/>
        <v>675.88849840425553</v>
      </c>
      <c r="N27" s="497" t="s">
        <v>1135</v>
      </c>
      <c r="O27" s="207">
        <v>10</v>
      </c>
      <c r="P27" s="197">
        <v>11</v>
      </c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</row>
    <row r="28" spans="1:47" s="206" customFormat="1" ht="24" customHeight="1" x14ac:dyDescent="0.3">
      <c r="A28" s="195" t="s">
        <v>1214</v>
      </c>
      <c r="B28" s="497">
        <v>20</v>
      </c>
      <c r="C28" s="497" t="s">
        <v>822</v>
      </c>
      <c r="D28" s="196">
        <f>660</f>
        <v>660</v>
      </c>
      <c r="E28" s="503">
        <v>0</v>
      </c>
      <c r="F28" s="196">
        <f t="shared" ref="F28:F35" si="7">D28-E28</f>
        <v>660</v>
      </c>
      <c r="G28" s="503">
        <f>50</f>
        <v>50</v>
      </c>
      <c r="H28" s="503">
        <f t="shared" si="4"/>
        <v>67.7</v>
      </c>
      <c r="I28" s="503">
        <f>'[2]GERAL 2026'!I22</f>
        <v>1.4318262411347515</v>
      </c>
      <c r="J28" s="503">
        <v>0</v>
      </c>
      <c r="K28" s="499">
        <f t="shared" si="3"/>
        <v>779.13182624113483</v>
      </c>
      <c r="L28" s="503">
        <f t="shared" si="6"/>
        <v>54.539227836879441</v>
      </c>
      <c r="M28" s="503">
        <f t="shared" si="5"/>
        <v>724.59259840425534</v>
      </c>
      <c r="N28" s="497" t="s">
        <v>1135</v>
      </c>
      <c r="O28" s="207">
        <v>10</v>
      </c>
      <c r="P28" s="197">
        <v>11</v>
      </c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</row>
    <row r="29" spans="1:47" s="206" customFormat="1" ht="25.2" customHeight="1" x14ac:dyDescent="0.3">
      <c r="A29" s="195" t="s">
        <v>788</v>
      </c>
      <c r="B29" s="497">
        <v>21</v>
      </c>
      <c r="C29" s="497" t="s">
        <v>822</v>
      </c>
      <c r="D29" s="196">
        <f>620.28</f>
        <v>620.28</v>
      </c>
      <c r="E29" s="503">
        <v>0</v>
      </c>
      <c r="F29" s="196">
        <f t="shared" si="7"/>
        <v>620.28</v>
      </c>
      <c r="G29" s="503">
        <v>26.1</v>
      </c>
      <c r="H29" s="503">
        <f t="shared" si="4"/>
        <v>67.7</v>
      </c>
      <c r="I29" s="503">
        <f>'[2]GERAL 2026'!I23</f>
        <v>1.4318262411347515</v>
      </c>
      <c r="J29" s="503">
        <v>0</v>
      </c>
      <c r="K29" s="499">
        <f t="shared" si="3"/>
        <v>715.51182624113483</v>
      </c>
      <c r="L29" s="503">
        <f t="shared" si="6"/>
        <v>50.085827836879446</v>
      </c>
      <c r="M29" s="503">
        <f t="shared" si="5"/>
        <v>665.42599840425532</v>
      </c>
      <c r="N29" s="497" t="s">
        <v>1138</v>
      </c>
      <c r="O29" s="207">
        <v>10</v>
      </c>
      <c r="P29" s="197">
        <v>11</v>
      </c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</row>
    <row r="30" spans="1:47" s="206" customFormat="1" ht="24.6" customHeight="1" x14ac:dyDescent="0.3">
      <c r="A30" s="338" t="s">
        <v>950</v>
      </c>
      <c r="B30" s="216">
        <v>22</v>
      </c>
      <c r="C30" s="216" t="s">
        <v>951</v>
      </c>
      <c r="D30" s="217">
        <v>662.35</v>
      </c>
      <c r="E30" s="210">
        <v>0</v>
      </c>
      <c r="F30" s="217">
        <f t="shared" si="7"/>
        <v>662.35</v>
      </c>
      <c r="G30" s="210">
        <v>0</v>
      </c>
      <c r="H30" s="503">
        <f t="shared" si="4"/>
        <v>67.7</v>
      </c>
      <c r="I30" s="210">
        <f>'[2]GERAL 2026'!I24</f>
        <v>1.4318262411347515</v>
      </c>
      <c r="J30" s="210">
        <v>0</v>
      </c>
      <c r="K30" s="339">
        <f t="shared" si="3"/>
        <v>731.48182624113485</v>
      </c>
      <c r="L30" s="210">
        <f>7%*K30</f>
        <v>51.203727836879445</v>
      </c>
      <c r="M30" s="503">
        <f t="shared" si="5"/>
        <v>680.27809840425539</v>
      </c>
      <c r="N30" s="216" t="s">
        <v>658</v>
      </c>
      <c r="O30" s="340">
        <v>10</v>
      </c>
      <c r="P30" s="235">
        <v>11</v>
      </c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</row>
    <row r="31" spans="1:47" s="497" customFormat="1" ht="24.6" customHeight="1" x14ac:dyDescent="0.3">
      <c r="A31" s="195" t="s">
        <v>1169</v>
      </c>
      <c r="B31" s="497">
        <v>23</v>
      </c>
      <c r="C31" s="497" t="s">
        <v>827</v>
      </c>
      <c r="D31" s="196">
        <f>660</f>
        <v>660</v>
      </c>
      <c r="E31" s="503">
        <v>0</v>
      </c>
      <c r="F31" s="196">
        <f t="shared" si="7"/>
        <v>660</v>
      </c>
      <c r="G31" s="503">
        <f>(50+25)</f>
        <v>75</v>
      </c>
      <c r="H31" s="503">
        <f t="shared" si="4"/>
        <v>67.7</v>
      </c>
      <c r="I31" s="503">
        <f>'[2]GERAL 2026'!I25</f>
        <v>1.4318262411347515</v>
      </c>
      <c r="J31" s="503">
        <v>0</v>
      </c>
      <c r="K31" s="499">
        <f t="shared" si="3"/>
        <v>804.13182624113483</v>
      </c>
      <c r="L31" s="503">
        <f>7%*K31</f>
        <v>56.289227836879441</v>
      </c>
      <c r="M31" s="503">
        <f t="shared" si="5"/>
        <v>747.84259840425534</v>
      </c>
      <c r="N31" s="497" t="s">
        <v>1345</v>
      </c>
      <c r="O31" s="197">
        <v>10</v>
      </c>
      <c r="P31" s="197">
        <v>11</v>
      </c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</row>
    <row r="32" spans="1:47" s="203" customFormat="1" ht="25.2" customHeight="1" x14ac:dyDescent="0.3">
      <c r="A32" s="497" t="s">
        <v>1171</v>
      </c>
      <c r="B32" s="497">
        <v>24</v>
      </c>
      <c r="C32" s="497" t="s">
        <v>827</v>
      </c>
      <c r="D32" s="196">
        <f>740</f>
        <v>740</v>
      </c>
      <c r="E32" s="503">
        <v>0</v>
      </c>
      <c r="F32" s="196">
        <f>D32-E32</f>
        <v>740</v>
      </c>
      <c r="G32" s="503">
        <f>50</f>
        <v>50</v>
      </c>
      <c r="H32" s="503">
        <f t="shared" si="4"/>
        <v>67.7</v>
      </c>
      <c r="I32" s="503">
        <f>'[2]GERAL 2026'!I26</f>
        <v>2.0045567375886524</v>
      </c>
      <c r="J32" s="503">
        <v>0</v>
      </c>
      <c r="K32" s="499">
        <f t="shared" si="3"/>
        <v>859.70455673758875</v>
      </c>
      <c r="L32" s="503">
        <f>7%*K32</f>
        <v>60.179318971631218</v>
      </c>
      <c r="M32" s="503">
        <f t="shared" si="5"/>
        <v>799.52523776595751</v>
      </c>
      <c r="N32" s="497" t="s">
        <v>1135</v>
      </c>
      <c r="O32" s="197">
        <v>10</v>
      </c>
      <c r="P32" s="197">
        <v>11</v>
      </c>
      <c r="Q32" s="202"/>
      <c r="R32" s="202"/>
      <c r="S32" s="202"/>
      <c r="T32" s="202"/>
      <c r="U32" s="202"/>
      <c r="V32" s="202"/>
      <c r="W32" s="202"/>
      <c r="X32" s="202"/>
      <c r="Y32" s="202"/>
    </row>
    <row r="33" spans="1:47" s="204" customFormat="1" ht="24.6" customHeight="1" x14ac:dyDescent="0.3">
      <c r="A33" s="206" t="s">
        <v>1007</v>
      </c>
      <c r="B33" s="341">
        <v>25</v>
      </c>
      <c r="C33" s="341" t="s">
        <v>822</v>
      </c>
      <c r="D33" s="342">
        <v>668.07</v>
      </c>
      <c r="E33" s="343">
        <v>0</v>
      </c>
      <c r="F33" s="342">
        <f t="shared" si="7"/>
        <v>668.07</v>
      </c>
      <c r="G33" s="343">
        <v>26.1</v>
      </c>
      <c r="H33" s="503">
        <f t="shared" si="4"/>
        <v>67.7</v>
      </c>
      <c r="I33" s="343">
        <f>'[2]GERAL 2026'!I27</f>
        <v>1.4318262411347515</v>
      </c>
      <c r="J33" s="343">
        <v>0</v>
      </c>
      <c r="K33" s="344">
        <f t="shared" si="3"/>
        <v>763.3018262411349</v>
      </c>
      <c r="L33" s="343">
        <f t="shared" si="6"/>
        <v>53.431127836879448</v>
      </c>
      <c r="M33" s="503">
        <f t="shared" si="5"/>
        <v>709.87069840425545</v>
      </c>
      <c r="N33" s="341" t="s">
        <v>1138</v>
      </c>
      <c r="O33" s="345">
        <v>10</v>
      </c>
      <c r="P33" s="346">
        <v>11</v>
      </c>
      <c r="Q33" s="200"/>
      <c r="R33" s="200"/>
      <c r="S33" s="200"/>
      <c r="T33" s="200"/>
      <c r="U33" s="200"/>
      <c r="V33" s="200"/>
      <c r="W33" s="200"/>
      <c r="X33" s="200"/>
      <c r="Y33" s="200"/>
    </row>
    <row r="34" spans="1:47" s="206" customFormat="1" ht="26.4" customHeight="1" x14ac:dyDescent="0.3">
      <c r="A34" s="195" t="s">
        <v>1252</v>
      </c>
      <c r="B34" s="497">
        <v>26</v>
      </c>
      <c r="C34" s="497" t="s">
        <v>1253</v>
      </c>
      <c r="D34" s="196">
        <f>660</f>
        <v>660</v>
      </c>
      <c r="E34" s="503">
        <v>0</v>
      </c>
      <c r="F34" s="196">
        <f t="shared" si="7"/>
        <v>660</v>
      </c>
      <c r="G34" s="503">
        <v>0</v>
      </c>
      <c r="H34" s="503">
        <f t="shared" si="4"/>
        <v>67.7</v>
      </c>
      <c r="I34" s="503">
        <f>'[2]GERAL 2026'!I28</f>
        <v>1.4318262411347515</v>
      </c>
      <c r="J34" s="503">
        <v>0</v>
      </c>
      <c r="K34" s="499">
        <f t="shared" si="3"/>
        <v>729.13182624113483</v>
      </c>
      <c r="L34" s="503">
        <f>7%*K34</f>
        <v>51.039227836879441</v>
      </c>
      <c r="M34" s="503">
        <f t="shared" si="5"/>
        <v>678.09259840425534</v>
      </c>
      <c r="N34" s="497" t="s">
        <v>658</v>
      </c>
      <c r="O34" s="197">
        <v>10</v>
      </c>
      <c r="P34" s="197">
        <v>11</v>
      </c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</row>
    <row r="35" spans="1:47" s="206" customFormat="1" ht="24.6" customHeight="1" x14ac:dyDescent="0.3">
      <c r="A35" s="195" t="s">
        <v>752</v>
      </c>
      <c r="B35" s="497">
        <v>27</v>
      </c>
      <c r="C35" s="216" t="s">
        <v>827</v>
      </c>
      <c r="D35" s="217">
        <v>629.32000000000005</v>
      </c>
      <c r="E35" s="210">
        <v>0</v>
      </c>
      <c r="F35" s="196">
        <f t="shared" si="7"/>
        <v>629.32000000000005</v>
      </c>
      <c r="G35" s="210">
        <v>0</v>
      </c>
      <c r="H35" s="503">
        <f t="shared" si="4"/>
        <v>67.7</v>
      </c>
      <c r="I35" s="210">
        <f>'[2]GERAL 2026'!I29</f>
        <v>1.4318262411347515</v>
      </c>
      <c r="J35" s="210">
        <v>0</v>
      </c>
      <c r="K35" s="499">
        <f t="shared" si="3"/>
        <v>698.45182624113488</v>
      </c>
      <c r="L35" s="503">
        <f t="shared" si="6"/>
        <v>48.891627836879444</v>
      </c>
      <c r="M35" s="503">
        <f t="shared" si="5"/>
        <v>649.5601984042554</v>
      </c>
      <c r="N35" s="497" t="s">
        <v>658</v>
      </c>
      <c r="O35" s="197">
        <v>10</v>
      </c>
      <c r="P35" s="197">
        <v>11</v>
      </c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</row>
    <row r="36" spans="1:47" s="206" customFormat="1" ht="25.05" customHeight="1" x14ac:dyDescent="0.3">
      <c r="A36" s="584" t="s">
        <v>4</v>
      </c>
      <c r="B36" s="584"/>
      <c r="C36" s="507"/>
      <c r="D36" s="499">
        <f>SUM(D9:D35)</f>
        <v>17174.516783999999</v>
      </c>
      <c r="E36" s="499">
        <f t="shared" ref="E36:M36" si="8">SUM(E9:E35)</f>
        <v>0</v>
      </c>
      <c r="F36" s="499">
        <f t="shared" si="8"/>
        <v>17174.516783999999</v>
      </c>
      <c r="G36" s="499">
        <f t="shared" si="8"/>
        <v>791.13000000000011</v>
      </c>
      <c r="H36" s="499">
        <f>SUM(H9:H35)</f>
        <v>1760.2000000000007</v>
      </c>
      <c r="I36" s="499">
        <f t="shared" si="8"/>
        <v>38.945673758865226</v>
      </c>
      <c r="J36" s="499">
        <f t="shared" si="8"/>
        <v>281.45000000000005</v>
      </c>
      <c r="K36" s="499">
        <f t="shared" si="8"/>
        <v>20046.242457758868</v>
      </c>
      <c r="L36" s="499">
        <f t="shared" si="8"/>
        <v>1403.2369720431207</v>
      </c>
      <c r="M36" s="499">
        <f t="shared" si="8"/>
        <v>18643.005485715745</v>
      </c>
      <c r="N36" s="497"/>
      <c r="O36" s="197"/>
      <c r="P36" s="197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</row>
    <row r="37" spans="1:47" s="11" customFormat="1" ht="28.5" customHeight="1" x14ac:dyDescent="0.3">
      <c r="A37" s="521" t="s">
        <v>1346</v>
      </c>
      <c r="B37" s="521"/>
      <c r="C37" s="521"/>
      <c r="D37" s="521"/>
      <c r="E37" s="521"/>
      <c r="F37" s="521"/>
      <c r="G37" s="521"/>
      <c r="H37" s="521"/>
      <c r="I37" s="521"/>
      <c r="J37" s="521"/>
      <c r="K37" s="521"/>
      <c r="L37" s="521"/>
      <c r="M37" s="521"/>
      <c r="N37" s="521"/>
      <c r="O37" s="521"/>
      <c r="P37" s="521"/>
      <c r="Q37" s="10"/>
      <c r="R37" s="10"/>
      <c r="S37" s="10"/>
      <c r="T37" s="10"/>
      <c r="U37" s="10"/>
      <c r="V37" s="10"/>
      <c r="W37" s="10"/>
      <c r="X37" s="10"/>
      <c r="Y37" s="10"/>
    </row>
    <row r="38" spans="1:47" s="11" customFormat="1" ht="27.6" customHeight="1" x14ac:dyDescent="0.3">
      <c r="A38" s="493" t="s">
        <v>3</v>
      </c>
      <c r="B38" s="493" t="s">
        <v>0</v>
      </c>
      <c r="C38" s="493" t="s">
        <v>821</v>
      </c>
      <c r="D38" s="496" t="s">
        <v>1</v>
      </c>
      <c r="E38" s="496" t="s">
        <v>68</v>
      </c>
      <c r="F38" s="496" t="s">
        <v>69</v>
      </c>
      <c r="G38" s="510" t="s">
        <v>2</v>
      </c>
      <c r="H38" s="510" t="s">
        <v>592</v>
      </c>
      <c r="I38" s="496" t="s">
        <v>6</v>
      </c>
      <c r="J38" s="496" t="s">
        <v>7</v>
      </c>
      <c r="K38" s="496" t="s">
        <v>4</v>
      </c>
      <c r="L38" s="496" t="s">
        <v>5</v>
      </c>
      <c r="M38" s="496" t="s">
        <v>70</v>
      </c>
      <c r="N38" s="493" t="s">
        <v>59</v>
      </c>
      <c r="O38" s="130" t="s">
        <v>8</v>
      </c>
      <c r="P38" s="130" t="s">
        <v>10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47" s="204" customFormat="1" ht="24.6" customHeight="1" x14ac:dyDescent="0.3">
      <c r="A39" s="341" t="s">
        <v>1005</v>
      </c>
      <c r="B39" s="511">
        <v>3</v>
      </c>
      <c r="C39" s="341" t="s">
        <v>822</v>
      </c>
      <c r="D39" s="196">
        <v>707.37</v>
      </c>
      <c r="E39" s="512">
        <v>0</v>
      </c>
      <c r="F39" s="196">
        <f>D39-E39</f>
        <v>707.37</v>
      </c>
      <c r="G39" s="512">
        <v>0</v>
      </c>
      <c r="H39" s="512">
        <v>75.209999999999994</v>
      </c>
      <c r="I39" s="512">
        <v>1.59</v>
      </c>
      <c r="J39" s="512">
        <v>0</v>
      </c>
      <c r="K39" s="499">
        <f>SUM(F39:J39)</f>
        <v>784.17000000000007</v>
      </c>
      <c r="L39" s="503">
        <f>7%*K39</f>
        <v>54.891900000000007</v>
      </c>
      <c r="M39" s="503">
        <f>K39-L39</f>
        <v>729.27810000000011</v>
      </c>
      <c r="N39" s="497" t="s">
        <v>1347</v>
      </c>
      <c r="O39" s="197">
        <v>10</v>
      </c>
      <c r="P39" s="403">
        <v>11</v>
      </c>
      <c r="Q39" s="200"/>
      <c r="R39" s="200"/>
      <c r="S39" s="200"/>
      <c r="T39" s="200"/>
      <c r="U39" s="200"/>
      <c r="V39" s="200"/>
      <c r="W39" s="200"/>
    </row>
    <row r="40" spans="1:47" s="11" customFormat="1" ht="25.05" customHeight="1" x14ac:dyDescent="0.3">
      <c r="A40" s="492" t="s">
        <v>4</v>
      </c>
      <c r="B40" s="518"/>
      <c r="C40" s="518"/>
      <c r="D40" s="518"/>
      <c r="E40" s="518"/>
      <c r="F40" s="518"/>
      <c r="G40" s="518"/>
      <c r="H40" s="518"/>
      <c r="I40" s="518"/>
      <c r="J40" s="518"/>
      <c r="K40" s="494">
        <f>SUM(K39)</f>
        <v>784.17000000000007</v>
      </c>
      <c r="L40" s="494">
        <f t="shared" ref="L40:M40" si="9">SUM(L39)</f>
        <v>54.891900000000007</v>
      </c>
      <c r="M40" s="494">
        <f t="shared" si="9"/>
        <v>729.27810000000011</v>
      </c>
      <c r="N40" s="494"/>
      <c r="O40" s="494"/>
      <c r="P40" s="494"/>
      <c r="Q40" s="10"/>
      <c r="R40" s="10"/>
      <c r="S40" s="10"/>
      <c r="T40" s="10"/>
      <c r="U40" s="10"/>
      <c r="V40" s="10"/>
      <c r="W40" s="10"/>
      <c r="X40" s="10"/>
      <c r="Y40" s="10"/>
    </row>
    <row r="41" spans="1:47" s="11" customFormat="1" x14ac:dyDescent="0.3">
      <c r="A41" s="518"/>
      <c r="B41" s="518"/>
      <c r="C41" s="518"/>
      <c r="D41" s="518"/>
      <c r="E41" s="518"/>
      <c r="F41" s="518"/>
      <c r="G41" s="518"/>
      <c r="H41" s="518"/>
      <c r="I41" s="518"/>
      <c r="J41" s="518"/>
      <c r="K41" s="518"/>
      <c r="L41" s="518"/>
      <c r="M41" s="518"/>
      <c r="N41" s="518"/>
      <c r="O41" s="494"/>
      <c r="P41" s="494"/>
      <c r="Q41" s="10"/>
      <c r="R41" s="10"/>
      <c r="S41" s="10"/>
      <c r="T41" s="10"/>
      <c r="U41" s="10"/>
      <c r="V41" s="10"/>
      <c r="W41" s="10"/>
      <c r="X41" s="10"/>
      <c r="Y41" s="10"/>
    </row>
    <row r="42" spans="1:47" s="11" customFormat="1" ht="28.5" customHeight="1" x14ac:dyDescent="0.3">
      <c r="A42" s="521" t="s">
        <v>177</v>
      </c>
      <c r="B42" s="521"/>
      <c r="C42" s="521"/>
      <c r="D42" s="521"/>
      <c r="E42" s="521"/>
      <c r="F42" s="521"/>
      <c r="G42" s="521"/>
      <c r="H42" s="521"/>
      <c r="I42" s="521"/>
      <c r="J42" s="521"/>
      <c r="K42" s="521"/>
      <c r="L42" s="521"/>
      <c r="M42" s="521"/>
      <c r="N42" s="521"/>
      <c r="O42" s="521"/>
      <c r="P42" s="521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47" s="11" customFormat="1" ht="25.5" customHeight="1" x14ac:dyDescent="0.3">
      <c r="A43" s="491" t="s">
        <v>173</v>
      </c>
      <c r="B43" s="491" t="s">
        <v>0</v>
      </c>
      <c r="C43" s="493" t="s">
        <v>821</v>
      </c>
      <c r="D43" s="491" t="s">
        <v>174</v>
      </c>
      <c r="E43" s="521" t="s">
        <v>175</v>
      </c>
      <c r="F43" s="521"/>
      <c r="G43" s="521"/>
      <c r="H43" s="521"/>
      <c r="I43" s="521"/>
      <c r="J43" s="521"/>
      <c r="K43" s="505" t="s">
        <v>4</v>
      </c>
      <c r="L43" s="496"/>
      <c r="M43" s="496"/>
      <c r="N43" s="493" t="s">
        <v>59</v>
      </c>
      <c r="O43" s="130" t="s">
        <v>8</v>
      </c>
      <c r="P43" s="130" t="s">
        <v>10</v>
      </c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47" s="69" customFormat="1" ht="25.05" customHeight="1" x14ac:dyDescent="0.3">
      <c r="A44" s="495" t="s">
        <v>1005</v>
      </c>
      <c r="B44" s="504">
        <v>3</v>
      </c>
      <c r="C44" s="495" t="s">
        <v>822</v>
      </c>
      <c r="D44" s="5">
        <f>636.76+67.7+1.43</f>
        <v>705.89</v>
      </c>
      <c r="E44" s="595" t="s">
        <v>1348</v>
      </c>
      <c r="F44" s="595"/>
      <c r="G44" s="595"/>
      <c r="H44" s="595"/>
      <c r="I44" s="595"/>
      <c r="J44" s="595"/>
      <c r="K44" s="5">
        <f>636.76+67.7+1.43</f>
        <v>705.89</v>
      </c>
      <c r="L44" s="5"/>
      <c r="M44" s="5"/>
      <c r="N44" s="5" t="s">
        <v>1349</v>
      </c>
      <c r="O44" s="140">
        <v>10</v>
      </c>
      <c r="P44" s="504">
        <v>11</v>
      </c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</row>
    <row r="45" spans="1:47" s="11" customFormat="1" ht="25.05" customHeight="1" x14ac:dyDescent="0.3">
      <c r="A45" s="3" t="s">
        <v>1282</v>
      </c>
      <c r="B45" s="504">
        <v>14</v>
      </c>
      <c r="C45" s="495" t="s">
        <v>828</v>
      </c>
      <c r="D45" s="508">
        <f>1972-453.77</f>
        <v>1518.23</v>
      </c>
      <c r="E45" s="546" t="s">
        <v>715</v>
      </c>
      <c r="F45" s="547"/>
      <c r="G45" s="547"/>
      <c r="H45" s="547"/>
      <c r="I45" s="547"/>
      <c r="J45" s="548"/>
      <c r="K45" s="508">
        <f>1972-453.77</f>
        <v>1518.23</v>
      </c>
      <c r="L45" s="5"/>
      <c r="M45" s="5"/>
      <c r="N45" s="495" t="s">
        <v>1324</v>
      </c>
      <c r="O45" s="140">
        <v>10</v>
      </c>
      <c r="P45" s="504">
        <v>11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47" s="11" customFormat="1" ht="25.05" customHeight="1" x14ac:dyDescent="0.3">
      <c r="A46" s="497" t="s">
        <v>965</v>
      </c>
      <c r="B46" s="502">
        <v>11</v>
      </c>
      <c r="C46" s="497" t="s">
        <v>827</v>
      </c>
      <c r="D46" s="503">
        <f>1191.38-297.85-200</f>
        <v>693.53000000000009</v>
      </c>
      <c r="E46" s="551" t="s">
        <v>715</v>
      </c>
      <c r="F46" s="580"/>
      <c r="G46" s="580"/>
      <c r="H46" s="580"/>
      <c r="I46" s="580"/>
      <c r="J46" s="552"/>
      <c r="K46" s="503">
        <f>1191.38-297.85-200</f>
        <v>693.53000000000009</v>
      </c>
      <c r="L46" s="274"/>
      <c r="M46" s="274"/>
      <c r="N46" s="497" t="s">
        <v>1294</v>
      </c>
      <c r="O46" s="140">
        <v>10</v>
      </c>
      <c r="P46" s="504">
        <v>11</v>
      </c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47" s="69" customFormat="1" ht="25.05" customHeight="1" x14ac:dyDescent="0.3">
      <c r="A47" s="504" t="s">
        <v>132</v>
      </c>
      <c r="B47" s="504">
        <v>1</v>
      </c>
      <c r="C47" s="504"/>
      <c r="D47" s="5">
        <f>4977.59-1520</f>
        <v>3457.59</v>
      </c>
      <c r="E47" s="595" t="s">
        <v>284</v>
      </c>
      <c r="F47" s="595"/>
      <c r="G47" s="595"/>
      <c r="H47" s="595"/>
      <c r="I47" s="595"/>
      <c r="J47" s="595"/>
      <c r="K47" s="5">
        <f>4977.59-1520</f>
        <v>3457.59</v>
      </c>
      <c r="L47" s="5"/>
      <c r="M47" s="5"/>
      <c r="N47" s="5" t="s">
        <v>510</v>
      </c>
      <c r="O47" s="140">
        <v>10</v>
      </c>
      <c r="P47" s="504">
        <v>11</v>
      </c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</row>
    <row r="48" spans="1:47" s="11" customFormat="1" ht="29.4" customHeight="1" x14ac:dyDescent="0.3">
      <c r="A48" s="495" t="s">
        <v>87</v>
      </c>
      <c r="B48" s="495">
        <v>25</v>
      </c>
      <c r="C48" s="495"/>
      <c r="D48" s="5">
        <v>3013.33</v>
      </c>
      <c r="E48" s="595" t="s">
        <v>1296</v>
      </c>
      <c r="F48" s="595"/>
      <c r="G48" s="595"/>
      <c r="H48" s="595"/>
      <c r="I48" s="595"/>
      <c r="J48" s="595"/>
      <c r="K48" s="275">
        <v>3040.58</v>
      </c>
      <c r="L48" s="508"/>
      <c r="M48" s="508"/>
      <c r="N48" s="5" t="s">
        <v>545</v>
      </c>
      <c r="O48" s="98">
        <v>10</v>
      </c>
      <c r="P48" s="3">
        <v>11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</row>
    <row r="49" spans="1:60" s="11" customFormat="1" ht="25.05" customHeight="1" x14ac:dyDescent="0.3">
      <c r="A49" s="3" t="s">
        <v>894</v>
      </c>
      <c r="B49" s="495">
        <v>16</v>
      </c>
      <c r="C49" s="495" t="s">
        <v>823</v>
      </c>
      <c r="D49" s="5">
        <f>144.52+11.29+12.89+0.3+0.18+1664</f>
        <v>1833.18</v>
      </c>
      <c r="E49" s="595" t="s">
        <v>1297</v>
      </c>
      <c r="F49" s="595"/>
      <c r="G49" s="595"/>
      <c r="H49" s="595"/>
      <c r="I49" s="595"/>
      <c r="J49" s="595"/>
      <c r="K49" s="275">
        <f>144.52+11.29+12.89+0.3+0.18+1664</f>
        <v>1833.18</v>
      </c>
      <c r="L49" s="508"/>
      <c r="M49" s="508"/>
      <c r="N49" s="500" t="s">
        <v>969</v>
      </c>
      <c r="O49" s="98">
        <v>10</v>
      </c>
      <c r="P49" s="3">
        <v>11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  <row r="50" spans="1:60" s="206" customFormat="1" ht="25.05" customHeight="1" x14ac:dyDescent="0.3">
      <c r="A50" s="237" t="s">
        <v>902</v>
      </c>
      <c r="B50" s="195">
        <v>17</v>
      </c>
      <c r="C50" s="195" t="s">
        <v>823</v>
      </c>
      <c r="D50" s="196">
        <v>2080.41</v>
      </c>
      <c r="E50" s="551" t="s">
        <v>1011</v>
      </c>
      <c r="F50" s="580"/>
      <c r="G50" s="580"/>
      <c r="H50" s="580"/>
      <c r="I50" s="580"/>
      <c r="J50" s="552"/>
      <c r="K50" s="196">
        <v>300</v>
      </c>
      <c r="L50" s="503"/>
      <c r="M50" s="503"/>
      <c r="N50" s="497" t="s">
        <v>1039</v>
      </c>
      <c r="O50" s="235">
        <v>10</v>
      </c>
      <c r="P50" s="197">
        <v>11</v>
      </c>
      <c r="Q50" s="205"/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</row>
    <row r="51" spans="1:60" s="206" customFormat="1" ht="25.05" customHeight="1" x14ac:dyDescent="0.3">
      <c r="A51" s="237" t="s">
        <v>902</v>
      </c>
      <c r="B51" s="195">
        <v>17</v>
      </c>
      <c r="C51" s="195" t="s">
        <v>823</v>
      </c>
      <c r="D51" s="196">
        <v>2080.41</v>
      </c>
      <c r="E51" s="551" t="s">
        <v>1011</v>
      </c>
      <c r="F51" s="580"/>
      <c r="G51" s="580"/>
      <c r="H51" s="580"/>
      <c r="I51" s="580"/>
      <c r="J51" s="552"/>
      <c r="K51" s="196">
        <v>300</v>
      </c>
      <c r="L51" s="503"/>
      <c r="M51" s="503"/>
      <c r="N51" s="497" t="s">
        <v>1049</v>
      </c>
      <c r="O51" s="235">
        <v>10</v>
      </c>
      <c r="P51" s="197">
        <v>11</v>
      </c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  <c r="AC51" s="205"/>
      <c r="AD51" s="205"/>
      <c r="AE51" s="205"/>
      <c r="AF51" s="205"/>
      <c r="AG51" s="205"/>
      <c r="AH51" s="205"/>
      <c r="AI51" s="205"/>
      <c r="AJ51" s="205"/>
      <c r="AK51" s="205"/>
      <c r="AL51" s="205"/>
      <c r="AM51" s="205"/>
      <c r="AN51" s="205"/>
      <c r="AO51" s="205"/>
      <c r="AP51" s="205"/>
    </row>
    <row r="52" spans="1:60" s="40" customFormat="1" ht="22.8" customHeight="1" thickBot="1" x14ac:dyDescent="0.35">
      <c r="A52" s="534" t="s">
        <v>4</v>
      </c>
      <c r="B52" s="549"/>
      <c r="C52" s="549"/>
      <c r="D52" s="549"/>
      <c r="E52" s="549"/>
      <c r="F52" s="549"/>
      <c r="G52" s="549"/>
      <c r="H52" s="549"/>
      <c r="I52" s="549"/>
      <c r="J52" s="535"/>
      <c r="K52" s="498">
        <f>SUM(K44:K51)</f>
        <v>11849</v>
      </c>
      <c r="L52" s="495"/>
      <c r="M52" s="495"/>
      <c r="N52" s="495"/>
      <c r="O52" s="495"/>
      <c r="P52" s="495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1"/>
      <c r="AU52" s="11"/>
      <c r="AV52" s="11"/>
      <c r="AW52" s="11"/>
    </row>
    <row r="53" spans="1:60" s="19" customFormat="1" ht="18" customHeight="1" x14ac:dyDescent="0.3">
      <c r="A53" s="179"/>
      <c r="B53" s="180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1"/>
      <c r="P53" s="182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</row>
    <row r="54" spans="1:60" s="40" customFormat="1" x14ac:dyDescent="0.3">
      <c r="A54" s="585"/>
      <c r="B54" s="585"/>
      <c r="C54" s="585"/>
      <c r="D54" s="585"/>
      <c r="E54" s="585"/>
      <c r="F54" s="46"/>
      <c r="G54" s="46"/>
      <c r="H54" s="295"/>
      <c r="I54" s="46"/>
      <c r="J54" s="46"/>
      <c r="K54" s="46"/>
      <c r="L54" s="46"/>
      <c r="M54" s="46"/>
      <c r="N54" s="544" t="s">
        <v>315</v>
      </c>
      <c r="O54" s="544"/>
      <c r="P54" s="545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1"/>
      <c r="AU54" s="11"/>
      <c r="AV54" s="11"/>
      <c r="AW54" s="11"/>
    </row>
    <row r="55" spans="1:60" s="40" customFormat="1" x14ac:dyDescent="0.3">
      <c r="A55" s="206"/>
      <c r="B55" s="223"/>
      <c r="C55" s="223"/>
      <c r="D55" s="224"/>
      <c r="E55" s="223"/>
      <c r="F55" s="46"/>
      <c r="G55" s="46"/>
      <c r="H55" s="295"/>
      <c r="I55" s="11"/>
      <c r="J55" s="11"/>
      <c r="K55" s="87"/>
      <c r="L55" s="87"/>
      <c r="M55" s="87"/>
      <c r="N55" s="527" t="s">
        <v>94</v>
      </c>
      <c r="O55" s="527"/>
      <c r="P55" s="498">
        <f>L36+L40</f>
        <v>1458.1288720431207</v>
      </c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1"/>
      <c r="AU55" s="11"/>
      <c r="AV55" s="11"/>
      <c r="AW55" s="11"/>
    </row>
    <row r="56" spans="1:60" s="40" customFormat="1" x14ac:dyDescent="0.3">
      <c r="A56" s="206"/>
      <c r="B56" s="223"/>
      <c r="C56" s="223"/>
      <c r="D56" s="224"/>
      <c r="E56" s="223"/>
      <c r="F56" s="46"/>
      <c r="G56" s="46"/>
      <c r="H56" s="295"/>
      <c r="I56" s="11"/>
      <c r="J56" s="11"/>
      <c r="K56" s="14"/>
      <c r="L56" s="14"/>
      <c r="M56" s="14"/>
      <c r="N56" s="518" t="s">
        <v>260</v>
      </c>
      <c r="O56" s="518"/>
      <c r="P56" s="498">
        <f>L6</f>
        <v>0</v>
      </c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1"/>
      <c r="AU56" s="11"/>
      <c r="AV56" s="11"/>
      <c r="AW56" s="11"/>
    </row>
    <row r="57" spans="1:60" s="40" customFormat="1" x14ac:dyDescent="0.3">
      <c r="A57" s="206"/>
      <c r="B57" s="223"/>
      <c r="C57" s="223"/>
      <c r="D57" s="224"/>
      <c r="E57" s="223"/>
      <c r="F57" s="46"/>
      <c r="G57" s="46"/>
      <c r="H57" s="295"/>
      <c r="I57" s="11"/>
      <c r="J57" s="11"/>
      <c r="K57" s="14"/>
      <c r="L57" s="14"/>
      <c r="M57" s="14"/>
      <c r="N57" s="520"/>
      <c r="O57" s="520"/>
      <c r="P57" s="52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1"/>
      <c r="AU57" s="11"/>
      <c r="AV57" s="11"/>
      <c r="AW57" s="11"/>
    </row>
    <row r="58" spans="1:60" s="40" customFormat="1" x14ac:dyDescent="0.3">
      <c r="A58" s="206"/>
      <c r="B58" s="223"/>
      <c r="C58" s="223"/>
      <c r="D58" s="224"/>
      <c r="E58" s="223"/>
      <c r="F58" s="46"/>
      <c r="G58" s="46"/>
      <c r="H58" s="295"/>
      <c r="I58" s="11"/>
      <c r="J58" s="11"/>
      <c r="K58" s="62"/>
      <c r="L58" s="62"/>
      <c r="M58" s="62"/>
      <c r="N58" s="520"/>
      <c r="O58" s="520"/>
      <c r="P58" s="52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1"/>
      <c r="AU58" s="11"/>
      <c r="AV58" s="11"/>
      <c r="AW58" s="11"/>
    </row>
    <row r="59" spans="1:60" s="40" customFormat="1" ht="14.4" x14ac:dyDescent="0.3">
      <c r="A59" s="206"/>
      <c r="B59" s="223"/>
      <c r="C59" s="223"/>
      <c r="D59" s="224"/>
      <c r="E59" s="223"/>
      <c r="F59" s="46"/>
      <c r="G59" s="46"/>
      <c r="H59" s="295"/>
      <c r="I59" s="11"/>
      <c r="J59" s="11"/>
      <c r="K59" s="14"/>
      <c r="L59" s="14"/>
      <c r="M59" s="14"/>
      <c r="N59" s="529" t="s">
        <v>12</v>
      </c>
      <c r="O59" s="529"/>
      <c r="P59" s="529"/>
      <c r="Q59" s="175"/>
      <c r="R59" s="178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1"/>
      <c r="AU59" s="11"/>
      <c r="AV59" s="11"/>
      <c r="AW59" s="11"/>
    </row>
    <row r="60" spans="1:60" s="11" customFormat="1" ht="15.6" x14ac:dyDescent="0.3">
      <c r="A60" s="206"/>
      <c r="B60" s="223"/>
      <c r="C60" s="223"/>
      <c r="D60" s="224"/>
      <c r="E60" s="223"/>
      <c r="F60" s="46"/>
      <c r="G60" s="46"/>
      <c r="H60" s="295"/>
      <c r="K60" s="14"/>
      <c r="L60" s="14"/>
      <c r="M60" s="14"/>
      <c r="N60" s="593" t="s">
        <v>127</v>
      </c>
      <c r="O60" s="593"/>
      <c r="P60" s="240">
        <v>1827.9</v>
      </c>
      <c r="Q60" s="175"/>
      <c r="R60" s="178"/>
    </row>
    <row r="61" spans="1:60" s="11" customFormat="1" ht="15.6" x14ac:dyDescent="0.3">
      <c r="A61" s="206"/>
      <c r="B61" s="223"/>
      <c r="C61" s="223"/>
      <c r="D61" s="224"/>
      <c r="E61" s="223"/>
      <c r="F61" s="46"/>
      <c r="G61" s="46"/>
      <c r="H61" s="295"/>
      <c r="K61" s="14"/>
      <c r="L61" s="14"/>
      <c r="M61" s="14"/>
      <c r="N61" s="606" t="s">
        <v>126</v>
      </c>
      <c r="O61" s="607"/>
      <c r="P61" s="240">
        <v>107.17</v>
      </c>
      <c r="Q61" s="175"/>
      <c r="R61" s="178"/>
    </row>
    <row r="62" spans="1:60" s="11" customFormat="1" ht="15" customHeight="1" x14ac:dyDescent="0.3">
      <c r="A62" s="206"/>
      <c r="B62" s="223"/>
      <c r="C62" s="223"/>
      <c r="D62" s="224"/>
      <c r="E62" s="223"/>
      <c r="F62" s="46"/>
      <c r="G62" s="46"/>
      <c r="H62" s="295"/>
      <c r="K62" s="63"/>
      <c r="L62" s="63"/>
      <c r="M62" s="63"/>
      <c r="N62" s="594" t="s">
        <v>1350</v>
      </c>
      <c r="O62" s="594"/>
      <c r="P62" s="490">
        <v>96.9</v>
      </c>
      <c r="Q62" s="190"/>
      <c r="R62" s="178"/>
    </row>
    <row r="63" spans="1:60" s="11" customFormat="1" ht="15.6" x14ac:dyDescent="0.3">
      <c r="A63" s="206"/>
      <c r="B63" s="223"/>
      <c r="C63" s="223"/>
      <c r="D63" s="224"/>
      <c r="E63" s="223"/>
      <c r="F63" s="46"/>
      <c r="G63" s="46"/>
      <c r="H63" s="295"/>
      <c r="K63" s="14"/>
      <c r="L63" s="14"/>
      <c r="M63" s="14"/>
      <c r="N63" s="594" t="s">
        <v>1351</v>
      </c>
      <c r="O63" s="594"/>
      <c r="P63" s="34">
        <v>140.52000000000001</v>
      </c>
      <c r="Q63" s="222"/>
      <c r="R63" s="178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</row>
    <row r="64" spans="1:60" s="11" customFormat="1" ht="15.6" x14ac:dyDescent="0.3">
      <c r="A64" s="206"/>
      <c r="B64" s="223"/>
      <c r="C64" s="223"/>
      <c r="D64" s="224"/>
      <c r="E64" s="223"/>
      <c r="F64" s="46"/>
      <c r="G64" s="46"/>
      <c r="H64" s="295"/>
      <c r="K64" s="63"/>
      <c r="L64" s="63"/>
      <c r="M64" s="63"/>
      <c r="N64" s="594" t="s">
        <v>1352</v>
      </c>
      <c r="O64" s="594"/>
      <c r="P64" s="34">
        <v>140.93</v>
      </c>
      <c r="Q64" s="175"/>
      <c r="R64" s="178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</row>
    <row r="65" spans="1:48" s="11" customFormat="1" ht="15.6" x14ac:dyDescent="0.3">
      <c r="A65" s="206"/>
      <c r="B65" s="223"/>
      <c r="C65" s="223"/>
      <c r="D65" s="224"/>
      <c r="E65" s="223"/>
      <c r="F65" s="46"/>
      <c r="G65" s="46"/>
      <c r="H65" s="295"/>
      <c r="K65" s="63"/>
      <c r="L65" s="63"/>
      <c r="M65" s="63"/>
      <c r="N65" s="588"/>
      <c r="O65" s="589"/>
      <c r="P65" s="495"/>
      <c r="Q65" s="175"/>
      <c r="R65" s="178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</row>
    <row r="66" spans="1:48" s="11" customFormat="1" ht="18.600000000000001" customHeight="1" x14ac:dyDescent="0.3">
      <c r="A66" s="206"/>
      <c r="B66" s="223"/>
      <c r="C66" s="223"/>
      <c r="D66" s="224"/>
      <c r="E66" s="223"/>
      <c r="F66" s="46"/>
      <c r="G66" s="46"/>
      <c r="H66" s="295"/>
      <c r="K66" s="63"/>
      <c r="L66" s="63"/>
      <c r="M66" s="63"/>
      <c r="N66" s="586" t="s">
        <v>26</v>
      </c>
      <c r="O66" s="586"/>
      <c r="P66" s="494">
        <f>SUM(P55:P64)</f>
        <v>3771.5488720431208</v>
      </c>
      <c r="Q66" s="175"/>
      <c r="R66" s="178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</row>
    <row r="67" spans="1:48" s="11" customFormat="1" ht="15.6" x14ac:dyDescent="0.3">
      <c r="A67" s="206"/>
      <c r="B67" s="223"/>
      <c r="C67" s="223"/>
      <c r="D67" s="224"/>
      <c r="E67" s="223"/>
      <c r="F67" s="46"/>
      <c r="G67" s="46"/>
      <c r="H67" s="295"/>
      <c r="N67" s="587"/>
      <c r="O67" s="587"/>
      <c r="P67" s="242"/>
      <c r="Q67" s="175"/>
      <c r="R67" s="178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</row>
    <row r="68" spans="1:48" s="11" customFormat="1" ht="14.4" x14ac:dyDescent="0.3">
      <c r="A68" s="206"/>
      <c r="B68" s="223"/>
      <c r="C68" s="223"/>
      <c r="D68" s="224"/>
      <c r="E68" s="223"/>
      <c r="F68" s="46"/>
      <c r="G68" s="46"/>
      <c r="H68" s="295"/>
      <c r="K68" s="63"/>
      <c r="L68" s="63"/>
      <c r="M68" s="63"/>
      <c r="N68" s="564" t="s">
        <v>11</v>
      </c>
      <c r="O68" s="565"/>
      <c r="P68" s="153">
        <f>K6+K36+K40</f>
        <v>20830.412457758866</v>
      </c>
      <c r="Q68" s="175"/>
      <c r="R68" s="178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</row>
    <row r="69" spans="1:48" s="11" customFormat="1" ht="14.4" x14ac:dyDescent="0.3">
      <c r="A69" s="206"/>
      <c r="B69" s="223"/>
      <c r="C69" s="223"/>
      <c r="D69" s="224"/>
      <c r="E69" s="223"/>
      <c r="F69" s="46"/>
      <c r="G69" s="46"/>
      <c r="H69" s="295"/>
      <c r="K69" s="14"/>
      <c r="L69" s="14"/>
      <c r="M69" s="14"/>
      <c r="N69" s="518"/>
      <c r="O69" s="518"/>
      <c r="P69" s="519"/>
      <c r="Q69" s="175"/>
      <c r="R69" s="185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</row>
    <row r="70" spans="1:48" s="11" customFormat="1" ht="14.4" x14ac:dyDescent="0.3">
      <c r="A70" s="206"/>
      <c r="B70" s="223"/>
      <c r="C70" s="223"/>
      <c r="D70" s="224"/>
      <c r="E70" s="223"/>
      <c r="F70" s="46"/>
      <c r="G70" s="46"/>
      <c r="H70" s="295"/>
      <c r="N70" s="513" t="s">
        <v>13</v>
      </c>
      <c r="O70" s="513"/>
      <c r="P70" s="151">
        <f>P68-P66</f>
        <v>17058.863585715746</v>
      </c>
      <c r="Q70" s="175"/>
      <c r="R70" s="176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</row>
    <row r="71" spans="1:48" s="11" customFormat="1" ht="14.4" x14ac:dyDescent="0.3">
      <c r="A71" s="206"/>
      <c r="B71" s="223"/>
      <c r="C71" s="223"/>
      <c r="D71" s="224"/>
      <c r="E71" s="223"/>
      <c r="F71" s="46"/>
      <c r="G71" s="46"/>
      <c r="H71" s="295"/>
      <c r="N71" s="124"/>
      <c r="O71" s="124"/>
      <c r="P71" s="57"/>
      <c r="Q71" s="175"/>
      <c r="R71" s="176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</row>
    <row r="72" spans="1:48" s="11" customFormat="1" ht="14.4" x14ac:dyDescent="0.3">
      <c r="A72" s="206"/>
      <c r="B72" s="223"/>
      <c r="C72" s="223"/>
      <c r="D72" s="224"/>
      <c r="E72" s="223"/>
      <c r="F72" s="46"/>
      <c r="G72" s="46"/>
      <c r="H72" s="295"/>
      <c r="N72" s="124"/>
      <c r="O72" s="124"/>
      <c r="P72" s="57"/>
      <c r="Q72" s="175"/>
      <c r="R72" s="178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</row>
    <row r="73" spans="1:48" s="11" customFormat="1" ht="14.4" x14ac:dyDescent="0.3">
      <c r="A73" s="206"/>
      <c r="B73" s="223"/>
      <c r="C73" s="223"/>
      <c r="D73" s="224"/>
      <c r="E73" s="223"/>
      <c r="F73" s="46"/>
      <c r="G73" s="46"/>
      <c r="H73" s="295"/>
      <c r="K73" s="14"/>
      <c r="L73" s="14"/>
      <c r="M73" s="14"/>
      <c r="N73" s="124"/>
      <c r="O73" s="124"/>
      <c r="P73" s="57"/>
      <c r="Q73" s="175"/>
      <c r="R73" s="178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</row>
    <row r="74" spans="1:48" s="11" customFormat="1" ht="14.4" x14ac:dyDescent="0.3">
      <c r="A74" s="206"/>
      <c r="B74" s="223"/>
      <c r="C74" s="223"/>
      <c r="D74" s="224"/>
      <c r="E74" s="223"/>
      <c r="F74" s="46"/>
      <c r="G74" s="46"/>
      <c r="H74" s="295"/>
      <c r="K74" s="501"/>
      <c r="L74" s="501"/>
      <c r="M74" s="501"/>
      <c r="Q74" s="175"/>
      <c r="R74" s="178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</row>
    <row r="75" spans="1:48" s="11" customFormat="1" ht="14.4" x14ac:dyDescent="0.3">
      <c r="A75" s="206"/>
      <c r="B75" s="223"/>
      <c r="C75" s="223"/>
      <c r="D75" s="224"/>
      <c r="E75" s="223"/>
      <c r="F75" s="46"/>
      <c r="G75" s="46"/>
      <c r="H75" s="295"/>
      <c r="K75" s="14"/>
      <c r="L75" s="14"/>
      <c r="M75" s="14"/>
      <c r="N75" s="501"/>
      <c r="O75" s="14"/>
      <c r="P75" s="57"/>
      <c r="Q75" s="175"/>
      <c r="R75" s="178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</row>
    <row r="76" spans="1:48" s="11" customFormat="1" ht="14.4" x14ac:dyDescent="0.3">
      <c r="A76" s="206"/>
      <c r="B76" s="223"/>
      <c r="C76" s="223"/>
      <c r="D76" s="224"/>
      <c r="E76" s="223"/>
      <c r="F76" s="46"/>
      <c r="G76" s="46"/>
      <c r="H76" s="295"/>
      <c r="K76" s="14"/>
      <c r="L76" s="14"/>
      <c r="M76" s="14"/>
      <c r="O76" s="501"/>
      <c r="P76" s="57"/>
      <c r="Q76" s="175"/>
      <c r="R76" s="178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</row>
    <row r="77" spans="1:48" s="11" customFormat="1" ht="14.4" x14ac:dyDescent="0.3">
      <c r="A77" s="206"/>
      <c r="B77" s="223"/>
      <c r="C77" s="223"/>
      <c r="D77" s="224"/>
      <c r="E77" s="223"/>
      <c r="F77" s="46"/>
      <c r="G77" s="46"/>
      <c r="H77" s="295"/>
      <c r="K77" s="14"/>
      <c r="L77" s="14"/>
      <c r="M77" s="14"/>
      <c r="P77" s="57"/>
      <c r="Q77" s="175"/>
      <c r="R77" s="178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</row>
    <row r="78" spans="1:48" s="11" customFormat="1" x14ac:dyDescent="0.3">
      <c r="A78" s="206"/>
      <c r="B78" s="223"/>
      <c r="C78" s="223"/>
      <c r="D78" s="224"/>
      <c r="E78" s="223"/>
      <c r="F78" s="46"/>
      <c r="G78" s="46"/>
      <c r="H78" s="295"/>
      <c r="K78" s="14"/>
      <c r="L78" s="14"/>
      <c r="M78" s="14"/>
      <c r="N78" s="14"/>
      <c r="O78" s="14"/>
      <c r="P78" s="57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</row>
    <row r="79" spans="1:48" s="69" customFormat="1" x14ac:dyDescent="0.3">
      <c r="A79" s="206"/>
      <c r="B79" s="223"/>
      <c r="C79" s="223"/>
      <c r="D79" s="224"/>
      <c r="E79" s="223"/>
      <c r="F79" s="46"/>
      <c r="G79" s="46"/>
      <c r="H79" s="295"/>
      <c r="I79" s="11"/>
      <c r="J79" s="11"/>
      <c r="K79" s="14"/>
      <c r="L79" s="14"/>
      <c r="M79" s="14"/>
      <c r="N79" s="14"/>
      <c r="O79" s="501"/>
      <c r="P79" s="57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</row>
    <row r="80" spans="1:48" s="69" customFormat="1" x14ac:dyDescent="0.3">
      <c r="A80" s="206"/>
      <c r="B80" s="223"/>
      <c r="C80" s="223"/>
      <c r="D80" s="224"/>
      <c r="E80" s="223"/>
      <c r="F80" s="46"/>
      <c r="G80" s="46"/>
      <c r="H80" s="295"/>
      <c r="I80" s="11"/>
      <c r="J80" s="11"/>
      <c r="K80" s="14"/>
      <c r="L80" s="14"/>
      <c r="M80" s="14"/>
      <c r="N80" s="14"/>
      <c r="O80" s="11"/>
      <c r="P80" s="57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</row>
    <row r="81" spans="1:48" s="69" customFormat="1" x14ac:dyDescent="0.3">
      <c r="A81" s="206"/>
      <c r="B81" s="223"/>
      <c r="C81" s="223"/>
      <c r="D81" s="224"/>
      <c r="E81" s="223"/>
      <c r="F81" s="46"/>
      <c r="G81" s="46"/>
      <c r="H81" s="295"/>
      <c r="I81" s="11"/>
      <c r="J81" s="11"/>
      <c r="K81" s="14"/>
      <c r="L81" s="14"/>
      <c r="M81" s="14"/>
      <c r="N81" s="14"/>
      <c r="O81" s="11"/>
      <c r="P81" s="57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</row>
    <row r="82" spans="1:48" s="69" customFormat="1" x14ac:dyDescent="0.3">
      <c r="A82" s="206"/>
      <c r="B82" s="223"/>
      <c r="C82" s="223"/>
      <c r="D82" s="224"/>
      <c r="E82" s="223"/>
      <c r="F82" s="46"/>
      <c r="G82" s="46"/>
      <c r="H82" s="295"/>
      <c r="I82" s="11"/>
      <c r="J82" s="11"/>
      <c r="K82" s="14"/>
      <c r="L82" s="14"/>
      <c r="M82" s="14"/>
      <c r="N82" s="11"/>
      <c r="O82" s="11"/>
      <c r="P82" s="57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</row>
    <row r="83" spans="1:48" s="69" customFormat="1" x14ac:dyDescent="0.3">
      <c r="A83" s="206"/>
      <c r="B83" s="223"/>
      <c r="C83" s="223"/>
      <c r="D83" s="224"/>
      <c r="E83" s="223"/>
      <c r="F83" s="46"/>
      <c r="G83" s="46"/>
      <c r="H83" s="295"/>
      <c r="I83" s="11"/>
      <c r="J83" s="11"/>
      <c r="K83" s="14"/>
      <c r="L83" s="14"/>
      <c r="M83" s="14"/>
      <c r="N83" s="11"/>
      <c r="O83" s="14"/>
      <c r="P83" s="57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</row>
    <row r="84" spans="1:48" s="69" customFormat="1" x14ac:dyDescent="0.3">
      <c r="A84" s="206"/>
      <c r="B84" s="223"/>
      <c r="C84" s="223"/>
      <c r="D84" s="224"/>
      <c r="E84" s="223"/>
      <c r="F84" s="46"/>
      <c r="G84" s="46"/>
      <c r="H84" s="295"/>
      <c r="I84" s="11"/>
      <c r="J84" s="11"/>
      <c r="K84" s="14"/>
      <c r="L84" s="14"/>
      <c r="M84" s="14"/>
      <c r="N84" s="11"/>
      <c r="O84" s="14"/>
      <c r="P84" s="57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</row>
    <row r="85" spans="1:48" s="69" customFormat="1" x14ac:dyDescent="0.3">
      <c r="A85" s="206"/>
      <c r="B85" s="223"/>
      <c r="C85" s="223"/>
      <c r="D85" s="224"/>
      <c r="E85" s="223"/>
      <c r="F85" s="46"/>
      <c r="G85" s="46"/>
      <c r="H85" s="295"/>
      <c r="I85" s="11"/>
      <c r="J85" s="11"/>
      <c r="K85" s="14"/>
      <c r="L85" s="14"/>
      <c r="M85" s="14"/>
      <c r="N85" s="11"/>
      <c r="O85" s="14"/>
      <c r="P85" s="57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</row>
    <row r="86" spans="1:48" s="69" customFormat="1" x14ac:dyDescent="0.3">
      <c r="A86" s="206"/>
      <c r="B86" s="223"/>
      <c r="C86" s="223"/>
      <c r="D86" s="224"/>
      <c r="E86" s="223"/>
      <c r="F86" s="46"/>
      <c r="G86" s="46"/>
      <c r="H86" s="295"/>
      <c r="I86" s="11"/>
      <c r="J86" s="11"/>
      <c r="K86" s="14"/>
      <c r="L86" s="14"/>
      <c r="M86" s="14"/>
      <c r="N86" s="11"/>
      <c r="O86" s="14"/>
      <c r="P86" s="57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</row>
    <row r="87" spans="1:48" s="69" customFormat="1" x14ac:dyDescent="0.3">
      <c r="A87" s="206"/>
      <c r="B87" s="223"/>
      <c r="C87" s="223"/>
      <c r="D87" s="224"/>
      <c r="E87" s="223"/>
      <c r="F87" s="46"/>
      <c r="G87" s="46"/>
      <c r="H87" s="295"/>
      <c r="I87" s="11"/>
      <c r="J87" s="11"/>
      <c r="K87" s="14"/>
      <c r="L87" s="14"/>
      <c r="M87" s="14"/>
      <c r="N87" s="11"/>
      <c r="O87" s="11"/>
      <c r="P87" s="57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</row>
    <row r="88" spans="1:48" s="69" customFormat="1" x14ac:dyDescent="0.3">
      <c r="A88" s="206"/>
      <c r="B88" s="223"/>
      <c r="C88" s="223"/>
      <c r="D88" s="224"/>
      <c r="E88" s="223"/>
      <c r="F88" s="46"/>
      <c r="G88" s="46"/>
      <c r="H88" s="296"/>
      <c r="I88" s="11"/>
      <c r="J88" s="11"/>
      <c r="K88" s="14"/>
      <c r="L88" s="14"/>
      <c r="M88" s="14"/>
      <c r="N88" s="11"/>
      <c r="O88" s="11"/>
      <c r="P88" s="57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</row>
    <row r="89" spans="1:48" s="69" customFormat="1" x14ac:dyDescent="0.3">
      <c r="A89" s="206"/>
      <c r="B89" s="223"/>
      <c r="C89" s="223"/>
      <c r="D89" s="224"/>
      <c r="E89" s="223"/>
      <c r="F89" s="46"/>
      <c r="G89" s="46"/>
      <c r="H89" s="296"/>
      <c r="I89" s="11"/>
      <c r="J89" s="11"/>
      <c r="K89" s="14"/>
      <c r="L89" s="14"/>
      <c r="M89" s="14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</row>
    <row r="90" spans="1:48" s="69" customFormat="1" x14ac:dyDescent="0.3">
      <c r="A90" s="206"/>
      <c r="B90" s="223"/>
      <c r="C90" s="223"/>
      <c r="D90" s="224"/>
      <c r="E90" s="223"/>
      <c r="F90" s="46"/>
      <c r="G90" s="46"/>
      <c r="H90" s="296"/>
      <c r="K90" s="142"/>
      <c r="L90" s="142"/>
      <c r="M90" s="142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</row>
    <row r="91" spans="1:48" s="70" customFormat="1" x14ac:dyDescent="0.3">
      <c r="A91" s="206"/>
      <c r="B91" s="223"/>
      <c r="C91" s="223"/>
      <c r="D91" s="224"/>
      <c r="E91" s="223"/>
      <c r="F91" s="46"/>
      <c r="G91" s="46"/>
      <c r="H91" s="296"/>
      <c r="I91" s="63"/>
      <c r="J91" s="63"/>
      <c r="K91" s="69"/>
      <c r="L91" s="69"/>
      <c r="M91" s="69"/>
      <c r="N91" s="69"/>
      <c r="O91" s="69"/>
      <c r="P91" s="69"/>
    </row>
    <row r="92" spans="1:48" s="70" customFormat="1" ht="15" customHeight="1" x14ac:dyDescent="0.3">
      <c r="A92" s="206"/>
      <c r="B92" s="223"/>
      <c r="C92" s="223"/>
      <c r="D92" s="224"/>
      <c r="E92" s="223"/>
      <c r="F92" s="46"/>
      <c r="G92" s="46"/>
      <c r="H92" s="296"/>
      <c r="I92" s="11"/>
      <c r="J92" s="63"/>
      <c r="K92" s="142"/>
      <c r="L92" s="142"/>
      <c r="M92" s="142"/>
      <c r="N92" s="69"/>
      <c r="O92" s="69"/>
      <c r="P92" s="69"/>
      <c r="AV92" s="69"/>
    </row>
    <row r="93" spans="1:48" s="70" customFormat="1" x14ac:dyDescent="0.3">
      <c r="A93" s="206"/>
      <c r="B93" s="223"/>
      <c r="C93" s="223"/>
      <c r="D93" s="224"/>
      <c r="E93" s="223"/>
      <c r="F93" s="46"/>
      <c r="G93" s="46"/>
      <c r="H93" s="296"/>
      <c r="I93" s="142"/>
      <c r="J93" s="142"/>
      <c r="K93" s="142"/>
      <c r="L93" s="142"/>
      <c r="M93" s="142"/>
      <c r="N93" s="69"/>
      <c r="O93" s="69"/>
      <c r="P93" s="69"/>
      <c r="AV93" s="69"/>
    </row>
    <row r="94" spans="1:48" s="70" customFormat="1" x14ac:dyDescent="0.3">
      <c r="A94" s="206"/>
      <c r="B94" s="223"/>
      <c r="C94" s="223"/>
      <c r="D94" s="224"/>
      <c r="E94" s="223"/>
      <c r="F94" s="46"/>
      <c r="G94" s="46"/>
      <c r="H94" s="296"/>
      <c r="I94" s="11"/>
      <c r="J94" s="63"/>
      <c r="K94" s="142"/>
      <c r="L94" s="142"/>
      <c r="M94" s="142"/>
      <c r="N94" s="69"/>
      <c r="O94" s="69"/>
      <c r="P94" s="69"/>
      <c r="AV94" s="69"/>
    </row>
    <row r="95" spans="1:48" s="70" customFormat="1" x14ac:dyDescent="0.3">
      <c r="A95" s="206"/>
      <c r="B95" s="223"/>
      <c r="C95" s="223"/>
      <c r="D95" s="224"/>
      <c r="E95" s="223"/>
      <c r="F95" s="46"/>
      <c r="G95" s="46"/>
      <c r="H95" s="296"/>
      <c r="I95" s="142"/>
      <c r="J95" s="142"/>
      <c r="K95" s="142"/>
      <c r="L95" s="142"/>
      <c r="M95" s="142"/>
      <c r="N95" s="69"/>
      <c r="O95" s="69"/>
      <c r="P95" s="69"/>
      <c r="AV95" s="69"/>
    </row>
    <row r="96" spans="1:48" s="70" customFormat="1" x14ac:dyDescent="0.3">
      <c r="A96" s="206"/>
      <c r="B96" s="223"/>
      <c r="C96" s="223"/>
      <c r="D96" s="224"/>
      <c r="E96" s="223"/>
      <c r="F96" s="46"/>
      <c r="G96" s="46"/>
      <c r="H96" s="296"/>
      <c r="I96" s="11"/>
      <c r="J96" s="63"/>
      <c r="K96" s="142"/>
      <c r="L96" s="142"/>
      <c r="M96" s="142"/>
      <c r="N96" s="144"/>
      <c r="O96" s="69"/>
      <c r="P96" s="69"/>
      <c r="AV96" s="69"/>
    </row>
    <row r="97" spans="1:48" s="70" customFormat="1" x14ac:dyDescent="0.3">
      <c r="A97" s="206"/>
      <c r="B97" s="223"/>
      <c r="C97" s="223"/>
      <c r="D97" s="224"/>
      <c r="E97" s="223"/>
      <c r="F97" s="46"/>
      <c r="G97" s="46"/>
      <c r="H97" s="296"/>
      <c r="I97" s="142"/>
      <c r="J97" s="142"/>
      <c r="K97" s="142"/>
      <c r="L97" s="142"/>
      <c r="M97" s="142"/>
      <c r="N97" s="144"/>
      <c r="O97" s="69"/>
      <c r="P97" s="69"/>
      <c r="AV97" s="69"/>
    </row>
    <row r="98" spans="1:48" s="70" customFormat="1" x14ac:dyDescent="0.3">
      <c r="A98" s="206"/>
      <c r="B98" s="223"/>
      <c r="C98" s="223"/>
      <c r="D98" s="224"/>
      <c r="E98" s="223"/>
      <c r="F98" s="46"/>
      <c r="G98" s="46"/>
      <c r="H98" s="296"/>
      <c r="I98" s="11"/>
      <c r="J98" s="63"/>
      <c r="K98" s="142"/>
      <c r="L98" s="142"/>
      <c r="M98" s="142"/>
      <c r="N98" s="144"/>
      <c r="O98" s="69"/>
      <c r="AV98" s="69"/>
    </row>
    <row r="99" spans="1:48" s="70" customFormat="1" x14ac:dyDescent="0.3">
      <c r="A99" s="206"/>
      <c r="B99" s="223"/>
      <c r="C99" s="223"/>
      <c r="D99" s="224"/>
      <c r="E99" s="223"/>
      <c r="F99" s="46"/>
      <c r="G99" s="46"/>
      <c r="H99" s="296"/>
      <c r="I99" s="142"/>
      <c r="J99" s="142"/>
      <c r="K99" s="142"/>
      <c r="L99" s="142"/>
      <c r="M99" s="142"/>
      <c r="N99" s="144"/>
      <c r="O99" s="69"/>
      <c r="AV99" s="69"/>
    </row>
    <row r="100" spans="1:48" s="70" customFormat="1" x14ac:dyDescent="0.3">
      <c r="A100" s="206"/>
      <c r="B100" s="223"/>
      <c r="C100" s="223"/>
      <c r="D100" s="224"/>
      <c r="E100" s="223"/>
      <c r="F100" s="46"/>
      <c r="G100" s="46"/>
      <c r="H100" s="296"/>
      <c r="I100" s="11"/>
      <c r="J100" s="63"/>
      <c r="K100" s="142"/>
      <c r="L100" s="142"/>
      <c r="M100" s="142"/>
      <c r="N100" s="144"/>
      <c r="O100" s="69"/>
      <c r="AV100" s="69"/>
    </row>
    <row r="101" spans="1:48" s="70" customFormat="1" x14ac:dyDescent="0.3">
      <c r="A101" s="148"/>
      <c r="B101" s="225"/>
      <c r="C101" s="225"/>
      <c r="D101" s="225"/>
      <c r="E101" s="225"/>
      <c r="F101" s="46"/>
      <c r="G101" s="46"/>
      <c r="H101" s="296"/>
      <c r="I101" s="142"/>
      <c r="J101" s="142"/>
      <c r="K101" s="142"/>
      <c r="L101" s="142"/>
      <c r="M101" s="142"/>
      <c r="N101" s="144"/>
      <c r="O101" s="144"/>
      <c r="AV101" s="69"/>
    </row>
    <row r="102" spans="1:48" s="70" customFormat="1" x14ac:dyDescent="0.3">
      <c r="A102" s="69"/>
      <c r="B102" s="69"/>
      <c r="C102" s="69"/>
      <c r="D102" s="69"/>
      <c r="E102" s="69"/>
      <c r="F102" s="69"/>
      <c r="G102" s="69"/>
      <c r="H102" s="297"/>
      <c r="I102" s="142"/>
      <c r="J102" s="142"/>
      <c r="K102" s="142"/>
      <c r="L102" s="142"/>
      <c r="M102" s="142"/>
      <c r="N102" s="144"/>
      <c r="O102" s="144"/>
      <c r="AV102" s="69"/>
    </row>
    <row r="103" spans="1:48" s="70" customFormat="1" x14ac:dyDescent="0.3">
      <c r="A103" s="69"/>
      <c r="B103" s="69"/>
      <c r="C103" s="69"/>
      <c r="D103" s="69"/>
      <c r="E103" s="69"/>
      <c r="F103" s="69"/>
      <c r="G103" s="69"/>
      <c r="H103" s="297"/>
      <c r="I103" s="69"/>
      <c r="J103" s="69"/>
      <c r="K103" s="142"/>
      <c r="L103" s="142"/>
      <c r="M103" s="142"/>
      <c r="N103" s="144"/>
      <c r="O103" s="144"/>
      <c r="AV103" s="69"/>
    </row>
    <row r="104" spans="1:48" s="70" customFormat="1" x14ac:dyDescent="0.3">
      <c r="A104" s="69"/>
      <c r="B104" s="69"/>
      <c r="C104" s="69"/>
      <c r="D104" s="69"/>
      <c r="E104" s="69"/>
      <c r="F104" s="69"/>
      <c r="G104" s="69"/>
      <c r="H104" s="297"/>
      <c r="I104" s="69"/>
      <c r="J104" s="69"/>
      <c r="K104" s="142"/>
      <c r="L104" s="142"/>
      <c r="M104" s="142"/>
      <c r="N104" s="144"/>
      <c r="O104" s="144"/>
      <c r="AV104" s="69"/>
    </row>
    <row r="105" spans="1:48" s="70" customFormat="1" x14ac:dyDescent="0.3">
      <c r="A105" s="69"/>
      <c r="B105" s="69"/>
      <c r="C105" s="69"/>
      <c r="D105" s="69"/>
      <c r="E105" s="69"/>
      <c r="F105" s="69"/>
      <c r="G105" s="69"/>
      <c r="H105" s="297"/>
      <c r="I105" s="69"/>
      <c r="J105" s="69"/>
      <c r="K105" s="142"/>
      <c r="L105" s="142"/>
      <c r="M105" s="142"/>
      <c r="N105" s="144"/>
      <c r="O105" s="144"/>
      <c r="AV105" s="69"/>
    </row>
    <row r="106" spans="1:48" s="70" customFormat="1" x14ac:dyDescent="0.3">
      <c r="A106" s="69"/>
      <c r="B106" s="69"/>
      <c r="C106" s="69"/>
      <c r="D106" s="69"/>
      <c r="E106" s="69"/>
      <c r="F106" s="69"/>
      <c r="G106" s="69"/>
      <c r="H106" s="297"/>
      <c r="I106" s="69"/>
      <c r="J106" s="69"/>
      <c r="K106" s="142"/>
      <c r="L106" s="142"/>
      <c r="M106" s="142"/>
      <c r="N106" s="144"/>
      <c r="O106" s="144"/>
      <c r="AV106" s="69"/>
    </row>
    <row r="107" spans="1:48" s="70" customFormat="1" x14ac:dyDescent="0.3">
      <c r="A107" s="69"/>
      <c r="B107" s="69"/>
      <c r="C107" s="69"/>
      <c r="D107" s="69"/>
      <c r="E107" s="69"/>
      <c r="F107" s="69"/>
      <c r="G107" s="69"/>
      <c r="H107" s="297"/>
      <c r="I107" s="69"/>
      <c r="J107" s="69"/>
      <c r="K107" s="142"/>
      <c r="L107" s="142"/>
      <c r="M107" s="142"/>
      <c r="N107" s="144"/>
      <c r="O107" s="144"/>
      <c r="AV107" s="69"/>
    </row>
    <row r="108" spans="1:48" s="70" customFormat="1" x14ac:dyDescent="0.3">
      <c r="A108" s="69"/>
      <c r="B108" s="69"/>
      <c r="C108" s="69"/>
      <c r="D108" s="69"/>
      <c r="E108" s="69"/>
      <c r="F108" s="69"/>
      <c r="G108" s="69"/>
      <c r="H108" s="297"/>
      <c r="I108" s="69"/>
      <c r="J108" s="69"/>
      <c r="K108" s="142"/>
      <c r="L108" s="142"/>
      <c r="M108" s="142"/>
      <c r="N108" s="144"/>
      <c r="O108" s="144"/>
      <c r="AV108" s="69"/>
    </row>
    <row r="109" spans="1:48" s="70" customFormat="1" x14ac:dyDescent="0.3">
      <c r="F109" s="69"/>
      <c r="G109" s="69"/>
      <c r="H109" s="297"/>
      <c r="I109" s="69"/>
      <c r="J109" s="69"/>
      <c r="K109" s="142"/>
      <c r="L109" s="142"/>
      <c r="M109" s="142"/>
      <c r="N109" s="144"/>
      <c r="O109" s="144"/>
      <c r="AV109" s="69"/>
    </row>
    <row r="110" spans="1:48" s="70" customFormat="1" x14ac:dyDescent="0.3">
      <c r="H110" s="298"/>
      <c r="I110" s="69"/>
      <c r="J110" s="69"/>
      <c r="K110" s="142"/>
      <c r="L110" s="142"/>
      <c r="M110" s="142"/>
      <c r="N110" s="144"/>
      <c r="O110" s="144"/>
      <c r="AV110" s="69"/>
    </row>
    <row r="111" spans="1:48" s="70" customFormat="1" x14ac:dyDescent="0.3">
      <c r="H111" s="298"/>
      <c r="K111" s="142"/>
      <c r="L111" s="142"/>
      <c r="M111" s="142"/>
      <c r="N111" s="144"/>
      <c r="O111" s="144"/>
      <c r="AV111" s="69"/>
    </row>
    <row r="112" spans="1:48" s="70" customFormat="1" x14ac:dyDescent="0.3">
      <c r="H112" s="298"/>
      <c r="K112" s="142"/>
      <c r="L112" s="142"/>
      <c r="M112" s="142"/>
      <c r="N112" s="144"/>
      <c r="O112" s="144"/>
      <c r="AV112" s="69"/>
    </row>
    <row r="113" spans="8:48" s="70" customFormat="1" x14ac:dyDescent="0.3">
      <c r="H113" s="298"/>
      <c r="K113" s="142"/>
      <c r="L113" s="142"/>
      <c r="M113" s="142"/>
      <c r="N113" s="144"/>
      <c r="O113" s="144"/>
      <c r="AV113" s="69"/>
    </row>
    <row r="114" spans="8:48" s="70" customFormat="1" x14ac:dyDescent="0.3">
      <c r="H114" s="298"/>
      <c r="K114" s="142"/>
      <c r="L114" s="142"/>
      <c r="M114" s="142"/>
      <c r="N114" s="144"/>
      <c r="O114" s="144"/>
      <c r="AV114" s="69"/>
    </row>
    <row r="115" spans="8:48" s="70" customFormat="1" x14ac:dyDescent="0.3">
      <c r="H115" s="298"/>
      <c r="K115" s="142"/>
      <c r="L115" s="142"/>
      <c r="M115" s="142"/>
      <c r="N115" s="144"/>
      <c r="O115" s="144"/>
      <c r="AV115" s="69"/>
    </row>
    <row r="116" spans="8:48" s="70" customFormat="1" x14ac:dyDescent="0.3">
      <c r="H116" s="298"/>
      <c r="K116" s="142"/>
      <c r="L116" s="142"/>
      <c r="M116" s="142"/>
      <c r="N116" s="144"/>
      <c r="O116" s="144"/>
      <c r="AV116" s="69"/>
    </row>
    <row r="117" spans="8:48" s="70" customFormat="1" x14ac:dyDescent="0.3">
      <c r="H117" s="298"/>
      <c r="K117" s="142"/>
      <c r="L117" s="142"/>
      <c r="M117" s="142"/>
      <c r="N117" s="144"/>
      <c r="O117" s="144"/>
      <c r="AV117" s="69"/>
    </row>
    <row r="118" spans="8:48" s="70" customFormat="1" x14ac:dyDescent="0.3">
      <c r="H118" s="298"/>
      <c r="K118" s="142"/>
      <c r="L118" s="142"/>
      <c r="M118" s="142"/>
      <c r="N118" s="144"/>
      <c r="O118" s="144"/>
      <c r="AV118" s="69"/>
    </row>
    <row r="119" spans="8:48" s="70" customFormat="1" x14ac:dyDescent="0.3">
      <c r="H119" s="298"/>
      <c r="K119" s="142"/>
      <c r="L119" s="142"/>
      <c r="M119" s="142"/>
      <c r="N119" s="144"/>
      <c r="O119" s="144"/>
      <c r="AV119" s="69"/>
    </row>
    <row r="120" spans="8:48" s="70" customFormat="1" x14ac:dyDescent="0.3">
      <c r="H120" s="298"/>
      <c r="K120" s="142"/>
      <c r="L120" s="142"/>
      <c r="M120" s="142"/>
      <c r="N120" s="144"/>
      <c r="O120" s="144"/>
      <c r="AV120" s="69"/>
    </row>
    <row r="121" spans="8:48" s="70" customFormat="1" x14ac:dyDescent="0.3">
      <c r="H121" s="298"/>
      <c r="K121" s="142"/>
      <c r="L121" s="142"/>
      <c r="M121" s="142"/>
      <c r="N121" s="144"/>
      <c r="O121" s="144"/>
      <c r="AV121" s="69"/>
    </row>
    <row r="122" spans="8:48" s="70" customFormat="1" x14ac:dyDescent="0.3">
      <c r="H122" s="298"/>
      <c r="K122" s="142"/>
      <c r="L122" s="142"/>
      <c r="M122" s="142"/>
      <c r="N122" s="144"/>
      <c r="O122" s="144"/>
      <c r="AV122" s="69"/>
    </row>
    <row r="123" spans="8:48" s="70" customFormat="1" x14ac:dyDescent="0.3">
      <c r="H123" s="298"/>
      <c r="K123" s="142"/>
      <c r="L123" s="142"/>
      <c r="M123" s="142"/>
      <c r="N123" s="144"/>
      <c r="O123" s="144"/>
      <c r="AV123" s="69"/>
    </row>
    <row r="124" spans="8:48" s="70" customFormat="1" x14ac:dyDescent="0.3">
      <c r="H124" s="298"/>
      <c r="K124" s="142"/>
      <c r="L124" s="142"/>
      <c r="M124" s="142"/>
      <c r="N124" s="144"/>
      <c r="O124" s="144"/>
      <c r="AV124" s="69"/>
    </row>
    <row r="125" spans="8:48" s="70" customFormat="1" x14ac:dyDescent="0.3">
      <c r="H125" s="298"/>
      <c r="K125" s="142"/>
      <c r="L125" s="142"/>
      <c r="M125" s="142"/>
      <c r="N125" s="144"/>
      <c r="O125" s="144"/>
      <c r="AV125" s="69"/>
    </row>
    <row r="126" spans="8:48" s="70" customFormat="1" x14ac:dyDescent="0.3">
      <c r="H126" s="298"/>
      <c r="K126" s="142"/>
      <c r="L126" s="142"/>
      <c r="M126" s="142"/>
      <c r="N126" s="144"/>
      <c r="O126" s="144"/>
      <c r="AV126" s="69"/>
    </row>
    <row r="127" spans="8:48" s="70" customFormat="1" x14ac:dyDescent="0.3">
      <c r="H127" s="298"/>
      <c r="K127" s="142"/>
      <c r="L127" s="142"/>
      <c r="M127" s="142"/>
      <c r="N127" s="144"/>
      <c r="O127" s="144"/>
      <c r="AV127" s="69"/>
    </row>
    <row r="128" spans="8:48" s="70" customFormat="1" x14ac:dyDescent="0.3">
      <c r="H128" s="298"/>
      <c r="K128" s="142"/>
      <c r="L128" s="142"/>
      <c r="M128" s="142"/>
      <c r="N128" s="144"/>
      <c r="O128" s="144"/>
      <c r="AV128" s="69"/>
    </row>
    <row r="129" spans="8:48" s="70" customFormat="1" x14ac:dyDescent="0.3">
      <c r="H129" s="298"/>
      <c r="K129" s="142"/>
      <c r="L129" s="142"/>
      <c r="M129" s="142"/>
      <c r="N129" s="144"/>
      <c r="O129" s="144"/>
      <c r="AV129" s="69"/>
    </row>
    <row r="130" spans="8:48" s="70" customFormat="1" x14ac:dyDescent="0.3">
      <c r="H130" s="298"/>
      <c r="K130" s="142"/>
      <c r="L130" s="142"/>
      <c r="M130" s="142"/>
      <c r="N130" s="144"/>
      <c r="O130" s="144"/>
      <c r="AV130" s="69"/>
    </row>
    <row r="131" spans="8:48" s="70" customFormat="1" x14ac:dyDescent="0.3">
      <c r="H131" s="298"/>
      <c r="K131" s="142"/>
      <c r="L131" s="142"/>
      <c r="M131" s="142"/>
      <c r="N131" s="144"/>
      <c r="O131" s="144"/>
      <c r="AV131" s="69"/>
    </row>
    <row r="132" spans="8:48" s="70" customFormat="1" x14ac:dyDescent="0.3">
      <c r="H132" s="298"/>
      <c r="K132" s="142"/>
      <c r="L132" s="142"/>
      <c r="M132" s="142"/>
      <c r="N132" s="144"/>
      <c r="O132" s="144"/>
      <c r="AV132" s="69"/>
    </row>
    <row r="133" spans="8:48" s="70" customFormat="1" x14ac:dyDescent="0.3">
      <c r="H133" s="298"/>
      <c r="K133" s="142"/>
      <c r="L133" s="142"/>
      <c r="M133" s="142"/>
      <c r="N133" s="144"/>
      <c r="O133" s="144"/>
      <c r="AV133" s="69"/>
    </row>
    <row r="134" spans="8:48" s="70" customFormat="1" x14ac:dyDescent="0.3">
      <c r="H134" s="298"/>
      <c r="K134" s="142"/>
      <c r="L134" s="142"/>
      <c r="M134" s="142"/>
      <c r="N134" s="144"/>
      <c r="O134" s="144"/>
      <c r="AV134" s="69"/>
    </row>
    <row r="135" spans="8:48" s="70" customFormat="1" x14ac:dyDescent="0.3">
      <c r="H135" s="298"/>
      <c r="K135" s="142"/>
      <c r="L135" s="142"/>
      <c r="M135" s="142"/>
      <c r="N135" s="144"/>
      <c r="O135" s="144"/>
      <c r="AV135" s="69"/>
    </row>
    <row r="136" spans="8:48" s="70" customFormat="1" x14ac:dyDescent="0.3">
      <c r="H136" s="298"/>
      <c r="K136" s="142"/>
      <c r="L136" s="142"/>
      <c r="M136" s="142"/>
      <c r="N136" s="144"/>
      <c r="O136" s="144"/>
      <c r="AV136" s="69"/>
    </row>
    <row r="137" spans="8:48" s="70" customFormat="1" x14ac:dyDescent="0.3">
      <c r="H137" s="298"/>
      <c r="K137" s="142"/>
      <c r="L137" s="142"/>
      <c r="M137" s="142"/>
      <c r="N137" s="144"/>
      <c r="O137" s="144"/>
      <c r="AV137" s="69"/>
    </row>
    <row r="138" spans="8:48" s="70" customFormat="1" x14ac:dyDescent="0.3">
      <c r="H138" s="298"/>
      <c r="K138" s="142"/>
      <c r="L138" s="142"/>
      <c r="M138" s="142"/>
      <c r="N138" s="144"/>
      <c r="O138" s="144"/>
      <c r="AV138" s="69"/>
    </row>
    <row r="139" spans="8:48" s="70" customFormat="1" x14ac:dyDescent="0.3">
      <c r="H139" s="298"/>
      <c r="K139" s="142"/>
      <c r="L139" s="142"/>
      <c r="M139" s="142"/>
      <c r="N139" s="144"/>
      <c r="O139" s="144"/>
      <c r="AV139" s="69"/>
    </row>
    <row r="140" spans="8:48" s="70" customFormat="1" x14ac:dyDescent="0.3">
      <c r="H140" s="298"/>
      <c r="K140" s="142"/>
      <c r="L140" s="142"/>
      <c r="M140" s="142"/>
      <c r="N140" s="144"/>
      <c r="O140" s="144"/>
      <c r="AV140" s="69"/>
    </row>
    <row r="141" spans="8:48" s="70" customFormat="1" x14ac:dyDescent="0.3">
      <c r="H141" s="298"/>
      <c r="K141" s="142"/>
      <c r="L141" s="142"/>
      <c r="M141" s="142"/>
      <c r="N141" s="144"/>
      <c r="O141" s="144"/>
      <c r="AV141" s="69"/>
    </row>
    <row r="142" spans="8:48" s="70" customFormat="1" x14ac:dyDescent="0.3">
      <c r="H142" s="298"/>
      <c r="K142" s="142"/>
      <c r="L142" s="142"/>
      <c r="M142" s="142"/>
      <c r="N142" s="144"/>
      <c r="O142" s="144"/>
      <c r="AV142" s="69"/>
    </row>
    <row r="143" spans="8:48" s="70" customFormat="1" x14ac:dyDescent="0.3">
      <c r="H143" s="298"/>
      <c r="K143" s="142"/>
      <c r="L143" s="142"/>
      <c r="M143" s="142"/>
      <c r="N143" s="144"/>
      <c r="O143" s="144"/>
      <c r="AV143" s="69"/>
    </row>
    <row r="144" spans="8:48" s="70" customFormat="1" x14ac:dyDescent="0.3">
      <c r="H144" s="298"/>
      <c r="K144" s="142"/>
      <c r="L144" s="142"/>
      <c r="M144" s="142"/>
      <c r="N144" s="144"/>
      <c r="O144" s="144"/>
      <c r="AV144" s="69"/>
    </row>
    <row r="145" spans="8:48" s="70" customFormat="1" x14ac:dyDescent="0.3">
      <c r="H145" s="298"/>
      <c r="K145" s="142"/>
      <c r="L145" s="142"/>
      <c r="M145" s="142"/>
      <c r="N145" s="144"/>
      <c r="O145" s="144"/>
      <c r="AV145" s="69"/>
    </row>
    <row r="146" spans="8:48" s="70" customFormat="1" x14ac:dyDescent="0.3">
      <c r="H146" s="298"/>
      <c r="K146" s="142"/>
      <c r="L146" s="142"/>
      <c r="M146" s="142"/>
      <c r="N146" s="144"/>
      <c r="O146" s="144"/>
      <c r="AV146" s="69"/>
    </row>
    <row r="147" spans="8:48" s="70" customFormat="1" x14ac:dyDescent="0.3">
      <c r="H147" s="298"/>
      <c r="K147" s="142"/>
      <c r="L147" s="142"/>
      <c r="M147" s="142"/>
      <c r="N147" s="144"/>
      <c r="O147" s="144"/>
      <c r="AV147" s="69"/>
    </row>
    <row r="148" spans="8:48" s="70" customFormat="1" x14ac:dyDescent="0.3">
      <c r="H148" s="298"/>
      <c r="K148" s="142"/>
      <c r="L148" s="142"/>
      <c r="M148" s="142"/>
      <c r="N148" s="144"/>
      <c r="O148" s="144"/>
      <c r="AV148" s="69"/>
    </row>
    <row r="149" spans="8:48" s="70" customFormat="1" x14ac:dyDescent="0.3">
      <c r="H149" s="298"/>
      <c r="K149" s="142"/>
      <c r="L149" s="142"/>
      <c r="M149" s="142"/>
      <c r="N149" s="144"/>
      <c r="O149" s="144"/>
      <c r="AV149" s="69"/>
    </row>
    <row r="150" spans="8:48" s="70" customFormat="1" x14ac:dyDescent="0.3">
      <c r="H150" s="298"/>
      <c r="K150" s="142"/>
      <c r="L150" s="142"/>
      <c r="M150" s="142"/>
      <c r="N150" s="144"/>
      <c r="O150" s="144"/>
      <c r="AV150" s="69"/>
    </row>
    <row r="151" spans="8:48" s="70" customFormat="1" x14ac:dyDescent="0.3">
      <c r="H151" s="298"/>
      <c r="K151" s="142"/>
      <c r="L151" s="142"/>
      <c r="M151" s="142"/>
      <c r="N151" s="144"/>
      <c r="O151" s="144"/>
      <c r="AV151" s="69"/>
    </row>
    <row r="152" spans="8:48" s="70" customFormat="1" x14ac:dyDescent="0.3">
      <c r="H152" s="298"/>
      <c r="K152" s="142"/>
      <c r="L152" s="142"/>
      <c r="M152" s="142"/>
      <c r="N152" s="144"/>
      <c r="O152" s="144"/>
      <c r="AV152" s="69"/>
    </row>
    <row r="153" spans="8:48" s="70" customFormat="1" x14ac:dyDescent="0.3">
      <c r="H153" s="298"/>
      <c r="K153" s="142"/>
      <c r="L153" s="142"/>
      <c r="M153" s="142"/>
      <c r="N153" s="144"/>
      <c r="O153" s="144"/>
      <c r="AV153" s="69"/>
    </row>
    <row r="154" spans="8:48" s="70" customFormat="1" x14ac:dyDescent="0.3">
      <c r="H154" s="298"/>
      <c r="K154" s="142"/>
      <c r="L154" s="142"/>
      <c r="M154" s="142"/>
      <c r="N154" s="144"/>
      <c r="O154" s="144"/>
      <c r="AV154" s="69"/>
    </row>
    <row r="155" spans="8:48" s="70" customFormat="1" x14ac:dyDescent="0.3">
      <c r="H155" s="298"/>
      <c r="K155" s="142"/>
      <c r="L155" s="142"/>
      <c r="M155" s="142"/>
      <c r="N155" s="144"/>
      <c r="O155" s="144"/>
      <c r="AV155" s="69"/>
    </row>
    <row r="156" spans="8:48" s="70" customFormat="1" x14ac:dyDescent="0.3">
      <c r="H156" s="298"/>
      <c r="K156" s="142"/>
      <c r="L156" s="142"/>
      <c r="M156" s="142"/>
      <c r="N156" s="144"/>
      <c r="O156" s="144"/>
      <c r="AV156" s="69"/>
    </row>
    <row r="157" spans="8:48" s="70" customFormat="1" x14ac:dyDescent="0.3">
      <c r="H157" s="298"/>
      <c r="K157" s="142"/>
      <c r="L157" s="142"/>
      <c r="M157" s="142"/>
      <c r="N157" s="144"/>
      <c r="O157" s="144"/>
      <c r="AV157" s="69"/>
    </row>
    <row r="158" spans="8:48" s="70" customFormat="1" x14ac:dyDescent="0.3">
      <c r="H158" s="298"/>
      <c r="K158" s="142"/>
      <c r="L158" s="142"/>
      <c r="M158" s="142"/>
      <c r="N158" s="144"/>
      <c r="O158" s="144"/>
      <c r="AV158" s="69"/>
    </row>
    <row r="159" spans="8:48" s="70" customFormat="1" x14ac:dyDescent="0.3">
      <c r="H159" s="298"/>
      <c r="K159" s="142"/>
      <c r="L159" s="142"/>
      <c r="M159" s="142"/>
      <c r="N159" s="144"/>
      <c r="O159" s="144"/>
      <c r="AV159" s="69"/>
    </row>
    <row r="160" spans="8:48" s="70" customFormat="1" x14ac:dyDescent="0.3">
      <c r="H160" s="298"/>
      <c r="K160" s="142"/>
      <c r="L160" s="142"/>
      <c r="M160" s="142"/>
      <c r="N160" s="144"/>
      <c r="O160" s="144"/>
      <c r="AV160" s="69"/>
    </row>
    <row r="161" spans="1:49" s="70" customFormat="1" x14ac:dyDescent="0.3">
      <c r="H161" s="298"/>
      <c r="K161" s="142"/>
      <c r="L161" s="142"/>
      <c r="M161" s="142"/>
      <c r="N161" s="144"/>
      <c r="O161" s="144"/>
      <c r="AV161" s="69"/>
    </row>
    <row r="162" spans="1:49" s="70" customFormat="1" x14ac:dyDescent="0.3">
      <c r="H162" s="298"/>
      <c r="K162" s="142"/>
      <c r="L162" s="142"/>
      <c r="M162" s="142"/>
      <c r="N162" s="144"/>
      <c r="O162" s="144"/>
      <c r="AV162" s="69"/>
    </row>
    <row r="163" spans="1:49" s="70" customFormat="1" x14ac:dyDescent="0.3">
      <c r="H163" s="298"/>
      <c r="K163" s="142"/>
      <c r="L163" s="142"/>
      <c r="M163" s="142"/>
      <c r="N163" s="144"/>
      <c r="O163" s="144"/>
      <c r="AV163" s="69"/>
    </row>
    <row r="164" spans="1:49" s="70" customFormat="1" x14ac:dyDescent="0.3">
      <c r="H164" s="298"/>
      <c r="K164" s="142"/>
      <c r="L164" s="142"/>
      <c r="M164" s="142"/>
      <c r="N164" s="144"/>
      <c r="O164" s="144"/>
      <c r="AV164" s="69"/>
    </row>
    <row r="165" spans="1:49" s="70" customFormat="1" x14ac:dyDescent="0.3">
      <c r="H165" s="298"/>
      <c r="K165" s="142"/>
      <c r="L165" s="142"/>
      <c r="M165" s="142"/>
      <c r="N165" s="144"/>
      <c r="O165" s="144"/>
      <c r="AV165" s="69"/>
    </row>
    <row r="166" spans="1:49" s="145" customFormat="1" x14ac:dyDescent="0.3">
      <c r="A166" s="70"/>
      <c r="B166" s="70"/>
      <c r="C166" s="70"/>
      <c r="D166" s="70"/>
      <c r="E166" s="70"/>
      <c r="F166" s="70"/>
      <c r="G166" s="70"/>
      <c r="H166" s="298"/>
      <c r="I166" s="70"/>
      <c r="J166" s="70"/>
      <c r="K166" s="142"/>
      <c r="L166" s="142"/>
      <c r="M166" s="142"/>
      <c r="N166" s="144"/>
      <c r="O166" s="144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69"/>
      <c r="AW166" s="70"/>
    </row>
    <row r="167" spans="1:49" s="145" customFormat="1" x14ac:dyDescent="0.3">
      <c r="A167" s="70"/>
      <c r="B167" s="70"/>
      <c r="C167" s="70"/>
      <c r="D167" s="70"/>
      <c r="E167" s="70"/>
      <c r="F167" s="70"/>
      <c r="G167" s="70"/>
      <c r="H167" s="298"/>
      <c r="I167" s="70"/>
      <c r="J167" s="70"/>
      <c r="K167" s="142"/>
      <c r="L167" s="142"/>
      <c r="M167" s="142"/>
      <c r="N167" s="144"/>
      <c r="O167" s="144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69"/>
      <c r="AW167" s="70"/>
    </row>
    <row r="168" spans="1:49" s="145" customFormat="1" x14ac:dyDescent="0.3">
      <c r="A168" s="70"/>
      <c r="B168" s="70"/>
      <c r="C168" s="70"/>
      <c r="D168" s="70"/>
      <c r="E168" s="70"/>
      <c r="F168" s="70"/>
      <c r="G168" s="70"/>
      <c r="H168" s="298"/>
      <c r="I168" s="70"/>
      <c r="J168" s="70"/>
      <c r="K168" s="142"/>
      <c r="L168" s="142"/>
      <c r="M168" s="142"/>
      <c r="N168" s="144"/>
      <c r="O168" s="144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69"/>
      <c r="AW168" s="70"/>
    </row>
    <row r="169" spans="1:49" s="145" customFormat="1" x14ac:dyDescent="0.3">
      <c r="A169" s="70"/>
      <c r="B169" s="70"/>
      <c r="C169" s="70"/>
      <c r="D169" s="70"/>
      <c r="E169" s="70"/>
      <c r="F169" s="70"/>
      <c r="G169" s="70"/>
      <c r="H169" s="298"/>
      <c r="I169" s="70"/>
      <c r="J169" s="70"/>
      <c r="K169" s="142"/>
      <c r="L169" s="142"/>
      <c r="M169" s="142"/>
      <c r="N169" s="144"/>
      <c r="O169" s="144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69"/>
      <c r="AW169" s="70"/>
    </row>
    <row r="170" spans="1:49" s="145" customFormat="1" x14ac:dyDescent="0.3">
      <c r="A170" s="70"/>
      <c r="B170" s="70"/>
      <c r="C170" s="70"/>
      <c r="D170" s="70"/>
      <c r="E170" s="70"/>
      <c r="F170" s="70"/>
      <c r="G170" s="70"/>
      <c r="H170" s="298"/>
      <c r="I170" s="70"/>
      <c r="J170" s="70"/>
      <c r="K170" s="142"/>
      <c r="L170" s="142"/>
      <c r="M170" s="142"/>
      <c r="N170" s="144"/>
      <c r="O170" s="144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69"/>
      <c r="AW170" s="70"/>
    </row>
    <row r="171" spans="1:49" s="145" customFormat="1" x14ac:dyDescent="0.3">
      <c r="A171" s="70"/>
      <c r="B171" s="70"/>
      <c r="C171" s="70"/>
      <c r="D171" s="70"/>
      <c r="E171" s="70"/>
      <c r="F171" s="70"/>
      <c r="G171" s="70"/>
      <c r="H171" s="298"/>
      <c r="I171" s="70"/>
      <c r="J171" s="70"/>
      <c r="K171" s="142"/>
      <c r="L171" s="142"/>
      <c r="M171" s="142"/>
      <c r="N171" s="144"/>
      <c r="O171" s="144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69"/>
      <c r="AW171" s="70"/>
    </row>
    <row r="172" spans="1:49" s="145" customFormat="1" x14ac:dyDescent="0.3">
      <c r="A172" s="70"/>
      <c r="B172" s="70"/>
      <c r="C172" s="70"/>
      <c r="D172" s="70"/>
      <c r="E172" s="70"/>
      <c r="F172" s="70"/>
      <c r="G172" s="70"/>
      <c r="H172" s="298"/>
      <c r="I172" s="70"/>
      <c r="J172" s="70"/>
      <c r="K172" s="142"/>
      <c r="L172" s="142"/>
      <c r="M172" s="142"/>
      <c r="N172" s="144"/>
      <c r="O172" s="144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69"/>
      <c r="AW172" s="70"/>
    </row>
    <row r="173" spans="1:49" s="145" customFormat="1" x14ac:dyDescent="0.3">
      <c r="A173" s="70"/>
      <c r="B173" s="70"/>
      <c r="C173" s="70"/>
      <c r="D173" s="70"/>
      <c r="E173" s="70"/>
      <c r="F173" s="70"/>
      <c r="G173" s="70"/>
      <c r="H173" s="298"/>
      <c r="I173" s="70"/>
      <c r="J173" s="70"/>
      <c r="K173" s="142"/>
      <c r="L173" s="142"/>
      <c r="M173" s="142"/>
      <c r="N173" s="147"/>
      <c r="O173" s="144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69"/>
      <c r="AW173" s="70"/>
    </row>
    <row r="174" spans="1:49" s="145" customFormat="1" x14ac:dyDescent="0.3">
      <c r="A174" s="70"/>
      <c r="B174" s="70"/>
      <c r="C174" s="70"/>
      <c r="D174" s="70"/>
      <c r="E174" s="70"/>
      <c r="F174" s="70"/>
      <c r="G174" s="70"/>
      <c r="H174" s="298"/>
      <c r="I174" s="70"/>
      <c r="J174" s="70"/>
      <c r="K174" s="142"/>
      <c r="L174" s="142"/>
      <c r="M174" s="142"/>
      <c r="N174" s="147"/>
      <c r="O174" s="144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69"/>
      <c r="AW174" s="70"/>
    </row>
    <row r="175" spans="1:49" s="145" customFormat="1" x14ac:dyDescent="0.3">
      <c r="A175" s="70"/>
      <c r="B175" s="70"/>
      <c r="C175" s="70"/>
      <c r="D175" s="70"/>
      <c r="E175" s="70"/>
      <c r="F175" s="70"/>
      <c r="G175" s="70"/>
      <c r="H175" s="298"/>
      <c r="I175" s="70"/>
      <c r="J175" s="70"/>
      <c r="K175" s="142"/>
      <c r="L175" s="142"/>
      <c r="M175" s="142"/>
      <c r="N175" s="147"/>
      <c r="O175" s="144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69"/>
      <c r="AW175" s="70"/>
    </row>
    <row r="176" spans="1:49" s="145" customFormat="1" x14ac:dyDescent="0.3">
      <c r="A176" s="70"/>
      <c r="B176" s="70"/>
      <c r="C176" s="70"/>
      <c r="D176" s="70"/>
      <c r="E176" s="70"/>
      <c r="F176" s="70"/>
      <c r="G176" s="70"/>
      <c r="H176" s="298"/>
      <c r="I176" s="70"/>
      <c r="J176" s="70"/>
      <c r="K176" s="142"/>
      <c r="L176" s="142"/>
      <c r="M176" s="142"/>
      <c r="N176" s="147"/>
      <c r="O176" s="144"/>
      <c r="P176" s="149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69"/>
      <c r="AW176" s="70"/>
    </row>
    <row r="177" spans="1:49" s="145" customFormat="1" x14ac:dyDescent="0.3">
      <c r="A177" s="70"/>
      <c r="B177" s="70"/>
      <c r="C177" s="70"/>
      <c r="D177" s="70"/>
      <c r="E177" s="70"/>
      <c r="F177" s="70"/>
      <c r="G177" s="70"/>
      <c r="H177" s="298"/>
      <c r="I177" s="70"/>
      <c r="J177" s="70"/>
      <c r="K177" s="142"/>
      <c r="L177" s="142"/>
      <c r="M177" s="142"/>
      <c r="N177" s="147"/>
      <c r="O177" s="144"/>
      <c r="P177" s="149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69"/>
      <c r="AW177" s="70"/>
    </row>
    <row r="178" spans="1:49" s="145" customFormat="1" x14ac:dyDescent="0.3">
      <c r="A178" s="70"/>
      <c r="B178" s="70"/>
      <c r="C178" s="70"/>
      <c r="D178" s="70"/>
      <c r="E178" s="70"/>
      <c r="F178" s="70"/>
      <c r="G178" s="70"/>
      <c r="H178" s="298"/>
      <c r="I178" s="70"/>
      <c r="J178" s="70"/>
      <c r="K178" s="146"/>
      <c r="L178" s="146"/>
      <c r="M178" s="146"/>
      <c r="N178" s="147"/>
      <c r="O178" s="147"/>
      <c r="P178" s="149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69"/>
      <c r="AW178" s="70"/>
    </row>
    <row r="179" spans="1:49" s="145" customFormat="1" x14ac:dyDescent="0.3">
      <c r="A179" s="70"/>
      <c r="B179" s="70"/>
      <c r="C179" s="70"/>
      <c r="D179" s="70"/>
      <c r="E179" s="70"/>
      <c r="F179" s="70"/>
      <c r="G179" s="70"/>
      <c r="H179" s="298"/>
      <c r="I179" s="70"/>
      <c r="J179" s="70"/>
      <c r="K179" s="146"/>
      <c r="L179" s="146"/>
      <c r="M179" s="146"/>
      <c r="N179" s="147"/>
      <c r="O179" s="147"/>
      <c r="P179" s="149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69"/>
      <c r="AW179" s="70"/>
    </row>
    <row r="180" spans="1:49" s="145" customFormat="1" x14ac:dyDescent="0.3">
      <c r="A180" s="70"/>
      <c r="B180" s="70"/>
      <c r="C180" s="70"/>
      <c r="D180" s="70"/>
      <c r="E180" s="70"/>
      <c r="F180" s="70"/>
      <c r="G180" s="70"/>
      <c r="H180" s="298"/>
      <c r="I180" s="70"/>
      <c r="J180" s="70"/>
      <c r="K180" s="146"/>
      <c r="L180" s="146"/>
      <c r="M180" s="146"/>
      <c r="N180" s="147"/>
      <c r="O180" s="147"/>
      <c r="P180" s="149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69"/>
      <c r="AW180" s="70"/>
    </row>
    <row r="181" spans="1:49" s="145" customFormat="1" x14ac:dyDescent="0.3">
      <c r="A181" s="70"/>
      <c r="B181" s="70"/>
      <c r="C181" s="70"/>
      <c r="D181" s="70"/>
      <c r="E181" s="70"/>
      <c r="F181" s="70"/>
      <c r="G181" s="70"/>
      <c r="H181" s="298"/>
      <c r="I181" s="70"/>
      <c r="J181" s="70"/>
      <c r="K181" s="146"/>
      <c r="L181" s="146"/>
      <c r="M181" s="146"/>
      <c r="N181" s="147"/>
      <c r="O181" s="147"/>
      <c r="P181" s="149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69"/>
      <c r="AW181" s="70"/>
    </row>
    <row r="182" spans="1:49" s="145" customFormat="1" x14ac:dyDescent="0.3">
      <c r="A182" s="70"/>
      <c r="B182" s="70"/>
      <c r="C182" s="70"/>
      <c r="D182" s="70"/>
      <c r="E182" s="70"/>
      <c r="F182" s="70"/>
      <c r="G182" s="70"/>
      <c r="H182" s="298"/>
      <c r="I182" s="70"/>
      <c r="J182" s="70"/>
      <c r="K182" s="146"/>
      <c r="L182" s="146"/>
      <c r="M182" s="146"/>
      <c r="N182" s="147"/>
      <c r="O182" s="147"/>
      <c r="P182" s="149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69"/>
      <c r="AW182" s="70"/>
    </row>
    <row r="183" spans="1:49" x14ac:dyDescent="0.3">
      <c r="A183" s="70"/>
      <c r="B183" s="70"/>
      <c r="C183" s="70"/>
      <c r="D183" s="70"/>
      <c r="E183" s="70"/>
      <c r="F183" s="70"/>
      <c r="G183" s="70"/>
      <c r="H183" s="298"/>
      <c r="I183" s="70"/>
      <c r="J183" s="70"/>
      <c r="K183" s="146"/>
      <c r="L183" s="146"/>
      <c r="M183" s="146"/>
      <c r="N183" s="147"/>
      <c r="O183" s="147"/>
      <c r="P183" s="149"/>
      <c r="AV183" s="148"/>
      <c r="AW183" s="148"/>
    </row>
    <row r="184" spans="1:49" x14ac:dyDescent="0.3">
      <c r="A184" s="70"/>
      <c r="B184" s="70"/>
      <c r="C184" s="70"/>
      <c r="D184" s="70"/>
      <c r="E184" s="70"/>
      <c r="F184" s="70"/>
      <c r="G184" s="70"/>
      <c r="H184" s="298"/>
      <c r="I184" s="70"/>
      <c r="J184" s="70"/>
      <c r="K184" s="146"/>
      <c r="L184" s="146"/>
      <c r="M184" s="146"/>
      <c r="N184" s="147"/>
      <c r="O184" s="147"/>
      <c r="P184" s="149"/>
      <c r="AV184" s="148"/>
      <c r="AW184" s="148"/>
    </row>
    <row r="185" spans="1:49" x14ac:dyDescent="0.3">
      <c r="A185" s="70"/>
      <c r="B185" s="70"/>
      <c r="C185" s="70"/>
      <c r="D185" s="70"/>
      <c r="E185" s="70"/>
      <c r="F185" s="70"/>
      <c r="G185" s="70"/>
      <c r="H185" s="298"/>
      <c r="I185" s="70"/>
      <c r="J185" s="70"/>
      <c r="K185" s="146"/>
      <c r="L185" s="146"/>
      <c r="M185" s="146"/>
      <c r="N185" s="147"/>
      <c r="O185" s="147"/>
      <c r="P185" s="149"/>
      <c r="AV185" s="148"/>
      <c r="AW185" s="148"/>
    </row>
    <row r="186" spans="1:49" x14ac:dyDescent="0.3">
      <c r="A186" s="149"/>
      <c r="B186" s="149"/>
      <c r="C186" s="149"/>
      <c r="D186" s="149"/>
      <c r="E186" s="149"/>
      <c r="F186" s="70"/>
      <c r="G186" s="70"/>
      <c r="H186" s="298"/>
      <c r="I186" s="70"/>
      <c r="J186" s="70"/>
      <c r="K186" s="146"/>
      <c r="L186" s="146"/>
      <c r="M186" s="146"/>
      <c r="N186" s="147"/>
      <c r="O186" s="147"/>
      <c r="P186" s="149"/>
      <c r="AV186" s="148"/>
      <c r="AW186" s="148"/>
    </row>
    <row r="187" spans="1:49" x14ac:dyDescent="0.3">
      <c r="A187" s="149"/>
      <c r="B187" s="149"/>
      <c r="C187" s="149"/>
      <c r="D187" s="149"/>
      <c r="E187" s="149"/>
      <c r="F187" s="149"/>
      <c r="G187" s="149"/>
      <c r="H187" s="299"/>
      <c r="I187" s="70"/>
      <c r="J187" s="70"/>
      <c r="K187" s="146"/>
      <c r="L187" s="146"/>
      <c r="M187" s="146"/>
      <c r="N187" s="147"/>
      <c r="O187" s="147"/>
      <c r="P187" s="149"/>
      <c r="AV187" s="148"/>
      <c r="AW187" s="148"/>
    </row>
    <row r="188" spans="1:49" x14ac:dyDescent="0.3">
      <c r="A188" s="149"/>
      <c r="B188" s="149"/>
      <c r="C188" s="149"/>
      <c r="D188" s="149"/>
      <c r="E188" s="149"/>
      <c r="F188" s="149"/>
      <c r="G188" s="149"/>
      <c r="H188" s="299"/>
      <c r="I188" s="149"/>
      <c r="J188" s="149"/>
      <c r="K188" s="146"/>
      <c r="L188" s="146"/>
      <c r="M188" s="146"/>
      <c r="N188" s="147"/>
      <c r="O188" s="147"/>
      <c r="AV188" s="148"/>
      <c r="AW188" s="148"/>
    </row>
    <row r="189" spans="1:49" x14ac:dyDescent="0.3">
      <c r="A189" s="149"/>
      <c r="B189" s="149"/>
      <c r="C189" s="149"/>
      <c r="D189" s="149"/>
      <c r="E189" s="149"/>
      <c r="F189" s="149"/>
      <c r="G189" s="149"/>
      <c r="H189" s="299"/>
      <c r="I189" s="149"/>
      <c r="J189" s="149"/>
      <c r="K189" s="146"/>
      <c r="L189" s="146"/>
      <c r="M189" s="146"/>
      <c r="N189" s="147"/>
      <c r="O189" s="147"/>
      <c r="AV189" s="148"/>
      <c r="AW189" s="148"/>
    </row>
    <row r="190" spans="1:49" x14ac:dyDescent="0.3">
      <c r="A190" s="149"/>
      <c r="B190" s="149"/>
      <c r="C190" s="149"/>
      <c r="D190" s="149"/>
      <c r="E190" s="149"/>
      <c r="F190" s="149"/>
      <c r="G190" s="149"/>
      <c r="H190" s="299"/>
      <c r="I190" s="149"/>
      <c r="J190" s="149"/>
      <c r="K190" s="146"/>
      <c r="L190" s="146"/>
      <c r="M190" s="146"/>
      <c r="O190" s="147"/>
      <c r="AV190" s="148"/>
      <c r="AW190" s="148"/>
    </row>
    <row r="191" spans="1:49" x14ac:dyDescent="0.3">
      <c r="A191" s="149"/>
      <c r="B191" s="149"/>
      <c r="C191" s="149"/>
      <c r="D191" s="149"/>
      <c r="E191" s="149"/>
      <c r="F191" s="149"/>
      <c r="G191" s="149"/>
      <c r="H191" s="299"/>
      <c r="I191" s="149"/>
      <c r="J191" s="149"/>
      <c r="K191" s="146"/>
      <c r="L191" s="146"/>
      <c r="M191" s="146"/>
      <c r="O191" s="147"/>
      <c r="AV191" s="148"/>
      <c r="AW191" s="148"/>
    </row>
    <row r="192" spans="1:49" x14ac:dyDescent="0.3">
      <c r="A192" s="149"/>
      <c r="B192" s="149"/>
      <c r="C192" s="149"/>
      <c r="D192" s="149"/>
      <c r="E192" s="149"/>
      <c r="F192" s="149"/>
      <c r="G192" s="149"/>
      <c r="H192" s="299"/>
      <c r="I192" s="149"/>
      <c r="J192" s="149"/>
      <c r="K192" s="146"/>
      <c r="L192" s="146"/>
      <c r="M192" s="146"/>
      <c r="O192" s="147"/>
      <c r="AV192" s="148"/>
      <c r="AW192" s="148"/>
    </row>
    <row r="193" spans="1:49" x14ac:dyDescent="0.3">
      <c r="A193" s="149"/>
      <c r="B193" s="149"/>
      <c r="C193" s="149"/>
      <c r="D193" s="149"/>
      <c r="E193" s="149"/>
      <c r="F193" s="149"/>
      <c r="G193" s="149"/>
      <c r="H193" s="299"/>
      <c r="I193" s="149"/>
      <c r="J193" s="149"/>
      <c r="K193" s="146"/>
      <c r="L193" s="146"/>
      <c r="M193" s="146"/>
      <c r="O193" s="147"/>
      <c r="AV193" s="148"/>
      <c r="AW193" s="148"/>
    </row>
    <row r="194" spans="1:49" x14ac:dyDescent="0.3">
      <c r="A194" s="149"/>
      <c r="B194" s="149"/>
      <c r="C194" s="149"/>
      <c r="D194" s="149"/>
      <c r="E194" s="149"/>
      <c r="F194" s="149"/>
      <c r="G194" s="149"/>
      <c r="H194" s="299"/>
      <c r="I194" s="149"/>
      <c r="J194" s="149"/>
      <c r="K194" s="146"/>
      <c r="L194" s="146"/>
      <c r="M194" s="146"/>
      <c r="N194" s="148"/>
      <c r="O194" s="147"/>
      <c r="AV194" s="148"/>
      <c r="AW194" s="148"/>
    </row>
    <row r="195" spans="1:49" x14ac:dyDescent="0.3">
      <c r="A195" s="149"/>
      <c r="B195" s="149"/>
      <c r="C195" s="149"/>
      <c r="D195" s="149"/>
      <c r="E195" s="149"/>
      <c r="F195" s="149"/>
      <c r="G195" s="149"/>
      <c r="H195" s="299"/>
      <c r="I195" s="149"/>
      <c r="J195" s="149"/>
    </row>
    <row r="196" spans="1:49" x14ac:dyDescent="0.3">
      <c r="A196" s="149"/>
      <c r="B196" s="149"/>
      <c r="C196" s="149"/>
      <c r="D196" s="149"/>
      <c r="E196" s="149"/>
      <c r="F196" s="149"/>
      <c r="G196" s="149"/>
      <c r="H196" s="299"/>
      <c r="I196" s="149"/>
      <c r="J196" s="14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69"/>
      <c r="AO196" s="69"/>
      <c r="AP196" s="69"/>
      <c r="AQ196" s="69"/>
      <c r="AR196" s="69"/>
      <c r="AS196" s="69"/>
      <c r="AT196" s="69"/>
      <c r="AU196" s="69"/>
      <c r="AV196" s="148"/>
      <c r="AW196" s="148"/>
    </row>
    <row r="197" spans="1:49" x14ac:dyDescent="0.3">
      <c r="A197" s="149"/>
      <c r="B197" s="149"/>
      <c r="C197" s="149"/>
      <c r="D197" s="149"/>
      <c r="E197" s="149"/>
      <c r="F197" s="149"/>
      <c r="G197" s="149"/>
      <c r="H197" s="299"/>
      <c r="I197" s="149"/>
      <c r="J197" s="149"/>
    </row>
    <row r="198" spans="1:49" x14ac:dyDescent="0.3">
      <c r="A198" s="149"/>
      <c r="B198" s="149"/>
      <c r="C198" s="149"/>
      <c r="D198" s="149"/>
      <c r="E198" s="149"/>
      <c r="F198" s="149"/>
      <c r="G198" s="149"/>
      <c r="H198" s="299"/>
      <c r="I198" s="149"/>
      <c r="J198" s="149"/>
    </row>
    <row r="199" spans="1:49" x14ac:dyDescent="0.3">
      <c r="A199" s="149"/>
      <c r="B199" s="149"/>
      <c r="C199" s="149"/>
      <c r="D199" s="149"/>
      <c r="E199" s="149"/>
      <c r="F199" s="149"/>
      <c r="G199" s="149"/>
      <c r="H199" s="299"/>
      <c r="I199" s="149"/>
      <c r="J199" s="149"/>
    </row>
    <row r="200" spans="1:49" x14ac:dyDescent="0.3">
      <c r="A200" s="149"/>
      <c r="B200" s="149"/>
      <c r="C200" s="149"/>
      <c r="D200" s="149"/>
      <c r="E200" s="149"/>
      <c r="F200" s="149"/>
      <c r="G200" s="149"/>
      <c r="H200" s="299"/>
      <c r="I200" s="149"/>
      <c r="J200" s="149"/>
    </row>
    <row r="201" spans="1:49" x14ac:dyDescent="0.3">
      <c r="A201" s="149"/>
      <c r="B201" s="149"/>
      <c r="C201" s="149"/>
      <c r="D201" s="149"/>
      <c r="E201" s="149"/>
      <c r="F201" s="149"/>
      <c r="G201" s="149"/>
      <c r="H201" s="299"/>
      <c r="I201" s="149"/>
      <c r="J201" s="149"/>
    </row>
    <row r="202" spans="1:49" x14ac:dyDescent="0.3">
      <c r="A202" s="149"/>
      <c r="B202" s="149"/>
      <c r="C202" s="149"/>
      <c r="D202" s="149"/>
      <c r="E202" s="149"/>
      <c r="F202" s="149"/>
      <c r="G202" s="149"/>
      <c r="H202" s="299"/>
      <c r="I202" s="149"/>
      <c r="J202" s="149"/>
    </row>
    <row r="203" spans="1:49" x14ac:dyDescent="0.3">
      <c r="F203" s="149"/>
      <c r="G203" s="149"/>
      <c r="H203" s="299"/>
      <c r="I203" s="149"/>
      <c r="J203" s="149"/>
    </row>
    <row r="204" spans="1:49" x14ac:dyDescent="0.3">
      <c r="I204" s="149"/>
      <c r="J204" s="149"/>
    </row>
    <row r="208" spans="1:49" x14ac:dyDescent="0.3">
      <c r="K208" s="148"/>
      <c r="L208" s="148"/>
      <c r="M208" s="148"/>
    </row>
    <row r="1048532" spans="1:60" x14ac:dyDescent="0.3">
      <c r="P1048532" s="57"/>
    </row>
    <row r="1048540" spans="1:60" s="70" customFormat="1" x14ac:dyDescent="0.3">
      <c r="A1048540" s="148"/>
      <c r="B1048540" s="148"/>
      <c r="C1048540" s="148"/>
      <c r="D1048540" s="148"/>
      <c r="E1048540" s="148"/>
      <c r="F1048540" s="148"/>
      <c r="G1048540" s="148"/>
      <c r="H1048540" s="297"/>
      <c r="I1048540" s="148"/>
      <c r="J1048540" s="148"/>
      <c r="K1048540" s="150"/>
      <c r="L1048540" s="150"/>
      <c r="M1048540" s="150"/>
      <c r="N1048540" s="150"/>
      <c r="O1048540" s="150"/>
      <c r="P1048540" s="148"/>
      <c r="AV1048540" s="69"/>
      <c r="AW1048540" s="69"/>
      <c r="AX1048540" s="148"/>
      <c r="AY1048540" s="148"/>
      <c r="AZ1048540" s="148"/>
      <c r="BA1048540" s="148"/>
      <c r="BB1048540" s="148"/>
      <c r="BC1048540" s="148"/>
      <c r="BD1048540" s="148"/>
      <c r="BE1048540" s="148"/>
      <c r="BF1048540" s="148"/>
      <c r="BG1048540" s="148"/>
      <c r="BH1048540" s="148"/>
    </row>
  </sheetData>
  <mergeCells count="36">
    <mergeCell ref="N65:O65"/>
    <mergeCell ref="N66:O66"/>
    <mergeCell ref="N67:O67"/>
    <mergeCell ref="N68:O68"/>
    <mergeCell ref="N69:P69"/>
    <mergeCell ref="N70:O70"/>
    <mergeCell ref="N59:P59"/>
    <mergeCell ref="N60:O60"/>
    <mergeCell ref="N61:O61"/>
    <mergeCell ref="N62:O62"/>
    <mergeCell ref="N63:O63"/>
    <mergeCell ref="N64:O64"/>
    <mergeCell ref="A52:J52"/>
    <mergeCell ref="A54:E54"/>
    <mergeCell ref="N54:P54"/>
    <mergeCell ref="N55:O55"/>
    <mergeCell ref="N56:O56"/>
    <mergeCell ref="N57:P58"/>
    <mergeCell ref="E46:J46"/>
    <mergeCell ref="E47:J47"/>
    <mergeCell ref="E48:J48"/>
    <mergeCell ref="E49:J49"/>
    <mergeCell ref="E50:J50"/>
    <mergeCell ref="E51:J51"/>
    <mergeCell ref="B40:J40"/>
    <mergeCell ref="A41:N41"/>
    <mergeCell ref="A42:P42"/>
    <mergeCell ref="E43:J43"/>
    <mergeCell ref="E44:J44"/>
    <mergeCell ref="E45:J45"/>
    <mergeCell ref="A1:P1"/>
    <mergeCell ref="A2:P2"/>
    <mergeCell ref="A6:B6"/>
    <mergeCell ref="A7:P7"/>
    <mergeCell ref="A36:B36"/>
    <mergeCell ref="A37:P37"/>
  </mergeCells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037FC-DE56-40B6-B589-03337E4629E0}">
  <dimension ref="A1:J38"/>
  <sheetViews>
    <sheetView zoomScale="80" zoomScaleNormal="80" workbookViewId="0">
      <selection activeCell="J5" sqref="J5"/>
    </sheetView>
  </sheetViews>
  <sheetFormatPr defaultRowHeight="14.4" x14ac:dyDescent="0.3"/>
  <cols>
    <col min="1" max="1" width="30.109375" style="252" bestFit="1" customWidth="1"/>
    <col min="2" max="2" width="13" bestFit="1" customWidth="1"/>
    <col min="3" max="3" width="12" bestFit="1" customWidth="1"/>
    <col min="4" max="4" width="84.5546875" bestFit="1" customWidth="1"/>
    <col min="6" max="6" width="8.5546875" bestFit="1" customWidth="1"/>
    <col min="7" max="7" width="13" bestFit="1" customWidth="1"/>
    <col min="8" max="8" width="14.44140625" customWidth="1"/>
    <col min="9" max="9" width="15.88671875" customWidth="1"/>
    <col min="10" max="10" width="15.109375" customWidth="1"/>
  </cols>
  <sheetData>
    <row r="1" spans="1:10" ht="15.6" x14ac:dyDescent="0.3">
      <c r="A1" s="103" t="s">
        <v>1111</v>
      </c>
      <c r="B1" s="34">
        <f>464.3</f>
        <v>464.3</v>
      </c>
      <c r="C1" s="115">
        <f>B1/12</f>
        <v>38.69166666666667</v>
      </c>
      <c r="D1" s="600" t="s">
        <v>72</v>
      </c>
      <c r="E1" s="600" t="s">
        <v>0</v>
      </c>
      <c r="F1" s="601" t="s">
        <v>21</v>
      </c>
      <c r="G1" s="602" t="s">
        <v>1</v>
      </c>
      <c r="H1" s="601" t="s">
        <v>873</v>
      </c>
      <c r="I1" s="601" t="s">
        <v>874</v>
      </c>
      <c r="J1" s="598" t="s">
        <v>75</v>
      </c>
    </row>
    <row r="2" spans="1:10" ht="15.6" x14ac:dyDescent="0.3">
      <c r="A2" s="35" t="s">
        <v>25</v>
      </c>
      <c r="B2" s="99">
        <f>B1/705</f>
        <v>0.65858156028368797</v>
      </c>
      <c r="D2" s="600"/>
      <c r="E2" s="600"/>
      <c r="F2" s="601"/>
      <c r="G2" s="603"/>
      <c r="H2" s="601"/>
      <c r="I2" s="601"/>
      <c r="J2" s="598"/>
    </row>
    <row r="3" spans="1:10" ht="15.6" x14ac:dyDescent="0.3">
      <c r="D3" s="39" t="s">
        <v>1079</v>
      </c>
      <c r="E3" s="38">
        <v>1</v>
      </c>
      <c r="F3" s="39">
        <v>25</v>
      </c>
      <c r="G3" s="44">
        <v>610</v>
      </c>
      <c r="H3" s="43">
        <f>F3*B2</f>
        <v>16.464539007092199</v>
      </c>
      <c r="I3" s="172">
        <f>H3/12</f>
        <v>1.3720449172576832</v>
      </c>
      <c r="J3" s="163">
        <v>45629</v>
      </c>
    </row>
    <row r="4" spans="1:10" ht="15.6" x14ac:dyDescent="0.3">
      <c r="D4" s="103" t="s">
        <v>1004</v>
      </c>
      <c r="E4" s="38">
        <v>2</v>
      </c>
      <c r="F4" s="39">
        <v>25</v>
      </c>
      <c r="G4" s="154">
        <v>610</v>
      </c>
      <c r="H4" s="43">
        <f>F4*B2</f>
        <v>16.464539007092199</v>
      </c>
      <c r="I4" s="172">
        <f>H4/12</f>
        <v>1.3720449172576832</v>
      </c>
      <c r="J4" s="163">
        <v>45478</v>
      </c>
    </row>
    <row r="5" spans="1:10" ht="15.6" x14ac:dyDescent="0.3">
      <c r="D5" s="39" t="s">
        <v>1005</v>
      </c>
      <c r="E5" s="38">
        <v>3</v>
      </c>
      <c r="F5" s="39">
        <v>25</v>
      </c>
      <c r="G5" s="154">
        <v>610</v>
      </c>
      <c r="H5" s="43">
        <f>F5*B2</f>
        <v>16.464539007092199</v>
      </c>
      <c r="I5" s="172">
        <f>H5/12</f>
        <v>1.3720449172576832</v>
      </c>
      <c r="J5" s="215"/>
    </row>
    <row r="6" spans="1:10" ht="15.6" x14ac:dyDescent="0.3">
      <c r="D6" s="103" t="s">
        <v>885</v>
      </c>
      <c r="E6" s="38">
        <v>4</v>
      </c>
      <c r="F6" s="39">
        <v>25</v>
      </c>
      <c r="G6" s="44">
        <v>610</v>
      </c>
      <c r="H6" s="43">
        <f>F6*B2</f>
        <v>16.464539007092199</v>
      </c>
      <c r="I6" s="172">
        <f t="shared" ref="I6:I29" si="0">H6/12</f>
        <v>1.3720449172576832</v>
      </c>
      <c r="J6" s="106">
        <v>45205</v>
      </c>
    </row>
    <row r="7" spans="1:10" ht="15.6" x14ac:dyDescent="0.3">
      <c r="D7" s="103" t="s">
        <v>744</v>
      </c>
      <c r="E7" s="38">
        <v>5</v>
      </c>
      <c r="F7" s="39">
        <v>25</v>
      </c>
      <c r="G7" s="44">
        <v>580</v>
      </c>
      <c r="H7" s="43">
        <f>F7*B2</f>
        <v>16.464539007092199</v>
      </c>
      <c r="I7" s="172">
        <f t="shared" si="0"/>
        <v>1.3720449172576832</v>
      </c>
      <c r="J7" s="106">
        <v>44952</v>
      </c>
    </row>
    <row r="8" spans="1:10" ht="15.6" x14ac:dyDescent="0.3">
      <c r="D8" s="103" t="s">
        <v>745</v>
      </c>
      <c r="E8" s="38">
        <v>6</v>
      </c>
      <c r="F8" s="38">
        <v>35</v>
      </c>
      <c r="G8" s="44">
        <v>680</v>
      </c>
      <c r="H8" s="43">
        <f>F8*B2</f>
        <v>23.05035460992908</v>
      </c>
      <c r="I8" s="172">
        <f t="shared" si="0"/>
        <v>1.9208628841607567</v>
      </c>
      <c r="J8" s="106">
        <v>44957</v>
      </c>
    </row>
    <row r="9" spans="1:10" ht="15.6" x14ac:dyDescent="0.3">
      <c r="D9" s="103" t="s">
        <v>879</v>
      </c>
      <c r="E9" s="38">
        <v>7</v>
      </c>
      <c r="F9" s="170">
        <v>25</v>
      </c>
      <c r="G9" s="171">
        <v>610</v>
      </c>
      <c r="H9" s="43">
        <f>F9*B2</f>
        <v>16.464539007092199</v>
      </c>
      <c r="I9" s="172">
        <f>H9/12</f>
        <v>1.3720449172576832</v>
      </c>
      <c r="J9" s="173">
        <v>45121</v>
      </c>
    </row>
    <row r="10" spans="1:10" ht="15.6" x14ac:dyDescent="0.3">
      <c r="D10" s="39" t="s">
        <v>1085</v>
      </c>
      <c r="E10" s="38">
        <v>8</v>
      </c>
      <c r="F10" s="39">
        <v>25</v>
      </c>
      <c r="G10" s="44">
        <v>640</v>
      </c>
      <c r="H10" s="43">
        <f>F10*B2</f>
        <v>16.464539007092199</v>
      </c>
      <c r="I10" s="172">
        <f>H10/12</f>
        <v>1.3720449172576832</v>
      </c>
      <c r="J10" s="163">
        <v>45631</v>
      </c>
    </row>
    <row r="11" spans="1:10" ht="15.6" x14ac:dyDescent="0.3">
      <c r="D11" s="103" t="s">
        <v>880</v>
      </c>
      <c r="E11" s="38">
        <v>9</v>
      </c>
      <c r="F11" s="39">
        <v>25</v>
      </c>
      <c r="G11" s="44">
        <v>640</v>
      </c>
      <c r="H11" s="43">
        <f>F11*B2</f>
        <v>16.464539007092199</v>
      </c>
      <c r="I11" s="172">
        <f t="shared" si="0"/>
        <v>1.3720449172576832</v>
      </c>
      <c r="J11" s="106">
        <v>45237</v>
      </c>
    </row>
    <row r="12" spans="1:10" ht="15.6" x14ac:dyDescent="0.3">
      <c r="D12" s="35" t="s">
        <v>881</v>
      </c>
      <c r="E12" s="38">
        <v>10</v>
      </c>
      <c r="F12" s="170">
        <v>25</v>
      </c>
      <c r="G12" s="171">
        <v>550</v>
      </c>
      <c r="H12" s="43">
        <f>F12*B2</f>
        <v>16.464539007092199</v>
      </c>
      <c r="I12" s="172">
        <f t="shared" si="0"/>
        <v>1.3720449172576832</v>
      </c>
      <c r="J12" s="173">
        <v>44718</v>
      </c>
    </row>
    <row r="13" spans="1:10" ht="15.6" x14ac:dyDescent="0.3">
      <c r="D13" s="39" t="s">
        <v>965</v>
      </c>
      <c r="E13" s="38">
        <v>11</v>
      </c>
      <c r="F13" s="170">
        <v>25</v>
      </c>
      <c r="G13" s="171">
        <v>610</v>
      </c>
      <c r="H13" s="43">
        <f>F13*B2</f>
        <v>16.464539007092199</v>
      </c>
      <c r="I13" s="172">
        <f>H13/12</f>
        <v>1.3720449172576832</v>
      </c>
      <c r="J13" s="173">
        <v>45420</v>
      </c>
    </row>
    <row r="14" spans="1:10" ht="15.6" x14ac:dyDescent="0.3">
      <c r="D14" s="39" t="s">
        <v>1087</v>
      </c>
      <c r="E14" s="38">
        <v>12</v>
      </c>
      <c r="F14" s="39">
        <v>25</v>
      </c>
      <c r="G14" s="44">
        <v>610</v>
      </c>
      <c r="H14" s="43">
        <f>F14*B2</f>
        <v>16.464539007092199</v>
      </c>
      <c r="I14" s="172">
        <f>H14/12</f>
        <v>1.3720449172576832</v>
      </c>
      <c r="J14" s="163">
        <v>45637</v>
      </c>
    </row>
    <row r="15" spans="1:10" ht="15.6" x14ac:dyDescent="0.3">
      <c r="D15" s="103" t="s">
        <v>756</v>
      </c>
      <c r="E15" s="38">
        <v>13</v>
      </c>
      <c r="F15" s="39">
        <v>25</v>
      </c>
      <c r="G15" s="44">
        <v>550</v>
      </c>
      <c r="H15" s="43">
        <f>F15*B2</f>
        <v>16.464539007092199</v>
      </c>
      <c r="I15" s="172">
        <f t="shared" si="0"/>
        <v>1.3720449172576832</v>
      </c>
      <c r="J15" s="106">
        <v>44708</v>
      </c>
    </row>
    <row r="16" spans="1:10" ht="15.6" x14ac:dyDescent="0.3">
      <c r="D16" s="35" t="s">
        <v>747</v>
      </c>
      <c r="E16" s="38">
        <v>14</v>
      </c>
      <c r="F16" s="170">
        <v>25</v>
      </c>
      <c r="G16" s="171">
        <v>580</v>
      </c>
      <c r="H16" s="43">
        <f>F16*B2</f>
        <v>16.464539007092199</v>
      </c>
      <c r="I16" s="172">
        <f t="shared" si="0"/>
        <v>1.3720449172576832</v>
      </c>
      <c r="J16" s="173">
        <v>44861</v>
      </c>
    </row>
    <row r="17" spans="4:10" ht="15.6" x14ac:dyDescent="0.3">
      <c r="D17" s="103" t="s">
        <v>748</v>
      </c>
      <c r="E17" s="38">
        <v>15</v>
      </c>
      <c r="F17" s="38">
        <v>35</v>
      </c>
      <c r="G17" s="44">
        <v>680</v>
      </c>
      <c r="H17" s="43">
        <f>F17*B2</f>
        <v>23.05035460992908</v>
      </c>
      <c r="I17" s="172">
        <f t="shared" si="0"/>
        <v>1.9208628841607567</v>
      </c>
      <c r="J17" s="106">
        <v>45070</v>
      </c>
    </row>
    <row r="18" spans="4:10" ht="15.6" x14ac:dyDescent="0.3">
      <c r="D18" s="39" t="s">
        <v>977</v>
      </c>
      <c r="E18" s="38">
        <v>16</v>
      </c>
      <c r="F18" s="170">
        <v>25</v>
      </c>
      <c r="G18" s="171">
        <v>640</v>
      </c>
      <c r="H18" s="43">
        <f>F18*B2</f>
        <v>16.464539007092199</v>
      </c>
      <c r="I18" s="172">
        <f t="shared" si="0"/>
        <v>1.3720449172576832</v>
      </c>
      <c r="J18" s="173">
        <v>45441</v>
      </c>
    </row>
    <row r="19" spans="4:10" ht="15.6" x14ac:dyDescent="0.3">
      <c r="D19" s="39" t="s">
        <v>1029</v>
      </c>
      <c r="E19" s="38">
        <v>17</v>
      </c>
      <c r="F19" s="39">
        <v>25</v>
      </c>
      <c r="G19" s="154">
        <v>610</v>
      </c>
      <c r="H19" s="43">
        <f>F19*B2</f>
        <v>16.464539007092199</v>
      </c>
      <c r="I19" s="172">
        <f t="shared" si="0"/>
        <v>1.3720449172576832</v>
      </c>
      <c r="J19" s="163">
        <v>45525</v>
      </c>
    </row>
    <row r="20" spans="4:10" ht="15.6" x14ac:dyDescent="0.3">
      <c r="D20" s="39" t="s">
        <v>1030</v>
      </c>
      <c r="E20" s="38">
        <v>18</v>
      </c>
      <c r="F20" s="39">
        <v>25</v>
      </c>
      <c r="G20" s="44">
        <v>640</v>
      </c>
      <c r="H20" s="43">
        <f>F20*B2</f>
        <v>16.464539007092199</v>
      </c>
      <c r="I20" s="172">
        <f t="shared" si="0"/>
        <v>1.3720449172576832</v>
      </c>
      <c r="J20" s="163">
        <v>45509</v>
      </c>
    </row>
    <row r="21" spans="4:10" ht="15.6" x14ac:dyDescent="0.3">
      <c r="D21" s="39" t="s">
        <v>1012</v>
      </c>
      <c r="E21" s="38">
        <v>19</v>
      </c>
      <c r="F21" s="170">
        <v>25</v>
      </c>
      <c r="G21" s="154">
        <v>580</v>
      </c>
      <c r="H21" s="43">
        <f>F21*B2</f>
        <v>16.464539007092199</v>
      </c>
      <c r="I21" s="172">
        <f t="shared" si="0"/>
        <v>1.3720449172576832</v>
      </c>
      <c r="J21" s="163">
        <v>45491</v>
      </c>
    </row>
    <row r="22" spans="4:10" ht="15.6" x14ac:dyDescent="0.3">
      <c r="D22" s="107" t="s">
        <v>919</v>
      </c>
      <c r="E22" s="38">
        <v>20</v>
      </c>
      <c r="F22" s="39">
        <v>25</v>
      </c>
      <c r="G22" s="44">
        <v>780</v>
      </c>
      <c r="H22" s="43">
        <f>F22*B2</f>
        <v>16.464539007092199</v>
      </c>
      <c r="I22" s="172">
        <f t="shared" si="0"/>
        <v>1.3720449172576832</v>
      </c>
      <c r="J22" s="106">
        <v>45324</v>
      </c>
    </row>
    <row r="23" spans="4:10" ht="15.6" x14ac:dyDescent="0.3">
      <c r="D23" s="221" t="s">
        <v>788</v>
      </c>
      <c r="E23" s="38">
        <v>21</v>
      </c>
      <c r="F23" s="170">
        <v>25</v>
      </c>
      <c r="G23" s="171">
        <v>580</v>
      </c>
      <c r="H23" s="43">
        <f>F23*B2</f>
        <v>16.464539007092199</v>
      </c>
      <c r="I23" s="172">
        <f t="shared" si="0"/>
        <v>1.3720449172576832</v>
      </c>
      <c r="J23" s="173">
        <v>45114</v>
      </c>
    </row>
    <row r="24" spans="4:10" ht="15.6" x14ac:dyDescent="0.3">
      <c r="D24" s="39" t="s">
        <v>950</v>
      </c>
      <c r="E24" s="38">
        <v>22</v>
      </c>
      <c r="F24" s="170">
        <v>25</v>
      </c>
      <c r="G24" s="171">
        <v>610</v>
      </c>
      <c r="H24" s="43">
        <f>F24*B2</f>
        <v>16.464539007092199</v>
      </c>
      <c r="I24" s="172">
        <f>H24/12</f>
        <v>1.3720449172576832</v>
      </c>
      <c r="J24" s="173">
        <v>45386</v>
      </c>
    </row>
    <row r="25" spans="4:10" ht="15.6" x14ac:dyDescent="0.3">
      <c r="D25" s="221" t="s">
        <v>750</v>
      </c>
      <c r="E25" s="38">
        <v>23</v>
      </c>
      <c r="F25" s="39">
        <v>25</v>
      </c>
      <c r="G25" s="44">
        <v>550</v>
      </c>
      <c r="H25" s="43">
        <f>F25*B2</f>
        <v>16.464539007092199</v>
      </c>
      <c r="I25" s="172">
        <f t="shared" si="0"/>
        <v>1.3720449172576832</v>
      </c>
      <c r="J25" s="106">
        <v>44701</v>
      </c>
    </row>
    <row r="26" spans="4:10" ht="15.6" x14ac:dyDescent="0.3">
      <c r="D26" s="103"/>
      <c r="E26" s="38">
        <v>24</v>
      </c>
      <c r="F26" s="38">
        <v>35</v>
      </c>
      <c r="G26" s="44">
        <v>0</v>
      </c>
      <c r="H26" s="43">
        <f>F26*B2</f>
        <v>23.05035460992908</v>
      </c>
      <c r="I26" s="172">
        <f t="shared" si="0"/>
        <v>1.9208628841607567</v>
      </c>
      <c r="J26" s="106">
        <v>45205</v>
      </c>
    </row>
    <row r="27" spans="4:10" ht="15.6" x14ac:dyDescent="0.3">
      <c r="D27" s="39" t="s">
        <v>1007</v>
      </c>
      <c r="E27" s="38">
        <v>25</v>
      </c>
      <c r="F27" s="39">
        <v>25</v>
      </c>
      <c r="G27" s="154">
        <v>640</v>
      </c>
      <c r="H27" s="43">
        <f>F27*B2</f>
        <v>16.464539007092199</v>
      </c>
      <c r="I27" s="172">
        <f>H27/12</f>
        <v>1.3720449172576832</v>
      </c>
      <c r="J27" s="163">
        <v>45482</v>
      </c>
    </row>
    <row r="28" spans="4:10" ht="15.6" x14ac:dyDescent="0.3">
      <c r="D28" s="103" t="s">
        <v>751</v>
      </c>
      <c r="E28" s="38">
        <v>26</v>
      </c>
      <c r="F28" s="39">
        <v>25</v>
      </c>
      <c r="G28" s="44">
        <v>560</v>
      </c>
      <c r="H28" s="43">
        <f>F28*B2</f>
        <v>16.464539007092199</v>
      </c>
      <c r="I28" s="172">
        <f t="shared" si="0"/>
        <v>1.3720449172576832</v>
      </c>
      <c r="J28" s="106">
        <v>44687</v>
      </c>
    </row>
    <row r="29" spans="4:10" ht="15.6" x14ac:dyDescent="0.3">
      <c r="D29" s="103" t="s">
        <v>752</v>
      </c>
      <c r="E29" s="38">
        <v>27</v>
      </c>
      <c r="F29" s="39">
        <v>25</v>
      </c>
      <c r="G29" s="44">
        <v>580</v>
      </c>
      <c r="H29" s="43">
        <f>F29*B2</f>
        <v>16.464539007092199</v>
      </c>
      <c r="I29" s="172">
        <f t="shared" si="0"/>
        <v>1.3720449172576832</v>
      </c>
      <c r="J29" s="106">
        <v>44687</v>
      </c>
    </row>
    <row r="30" spans="4:10" ht="15.6" x14ac:dyDescent="0.3">
      <c r="D30" s="103"/>
      <c r="E30" s="36" t="s">
        <v>4</v>
      </c>
      <c r="F30" s="35">
        <f>SUM(F3:F29)</f>
        <v>705</v>
      </c>
      <c r="G30" s="164"/>
      <c r="H30" s="37">
        <f>SUM(H3:H29)</f>
        <v>464.29999999999973</v>
      </c>
      <c r="I30" s="37">
        <f>SUM(I3:I29)</f>
        <v>38.691666666666656</v>
      </c>
      <c r="J30" s="163"/>
    </row>
    <row r="31" spans="4:10" x14ac:dyDescent="0.3">
      <c r="D31" s="599"/>
      <c r="E31" s="599"/>
      <c r="F31" s="599"/>
      <c r="G31" s="599"/>
      <c r="H31" s="599"/>
      <c r="I31" s="599"/>
      <c r="J31" s="599"/>
    </row>
    <row r="32" spans="4:10" x14ac:dyDescent="0.3">
      <c r="D32" s="600" t="s">
        <v>72</v>
      </c>
      <c r="E32" s="600" t="s">
        <v>0</v>
      </c>
      <c r="F32" s="601" t="s">
        <v>21</v>
      </c>
      <c r="G32" s="602" t="s">
        <v>1</v>
      </c>
      <c r="H32" s="601" t="s">
        <v>873</v>
      </c>
      <c r="I32" s="601" t="s">
        <v>874</v>
      </c>
      <c r="J32" s="601" t="s">
        <v>75</v>
      </c>
    </row>
    <row r="33" spans="1:10" s="169" customFormat="1" x14ac:dyDescent="0.3">
      <c r="A33" s="253"/>
      <c r="D33" s="600"/>
      <c r="E33" s="600"/>
      <c r="F33" s="601"/>
      <c r="G33" s="603"/>
      <c r="H33" s="601"/>
      <c r="I33" s="601"/>
      <c r="J33" s="601"/>
    </row>
    <row r="34" spans="1:10" s="169" customFormat="1" x14ac:dyDescent="0.3">
      <c r="A34" s="253"/>
    </row>
    <row r="38" spans="1:10" s="232" customFormat="1" ht="15.6" x14ac:dyDescent="0.3">
      <c r="A38" s="254"/>
    </row>
  </sheetData>
  <mergeCells count="15">
    <mergeCell ref="J1:J2"/>
    <mergeCell ref="D31:J31"/>
    <mergeCell ref="D32:D33"/>
    <mergeCell ref="E32:E33"/>
    <mergeCell ref="F32:F33"/>
    <mergeCell ref="G32:G33"/>
    <mergeCell ref="H32:H33"/>
    <mergeCell ref="I32:I33"/>
    <mergeCell ref="J32:J33"/>
    <mergeCell ref="D1:D2"/>
    <mergeCell ref="E1:E2"/>
    <mergeCell ref="F1:F2"/>
    <mergeCell ref="G1:G2"/>
    <mergeCell ref="H1:H2"/>
    <mergeCell ref="I1:I2"/>
  </mergeCells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1293-2C25-4245-BC54-8FCC5E16A355}">
  <dimension ref="A1:O46"/>
  <sheetViews>
    <sheetView topLeftCell="B1" zoomScale="70" zoomScaleNormal="70" workbookViewId="0">
      <selection activeCell="M46" sqref="M46"/>
    </sheetView>
  </sheetViews>
  <sheetFormatPr defaultRowHeight="14.4" x14ac:dyDescent="0.3"/>
  <cols>
    <col min="1" max="1" width="30.109375" bestFit="1" customWidth="1"/>
    <col min="2" max="2" width="13" bestFit="1" customWidth="1"/>
    <col min="3" max="3" width="12" bestFit="1" customWidth="1"/>
    <col min="4" max="4" width="84.5546875" bestFit="1" customWidth="1"/>
    <col min="5" max="5" width="8.88671875" bestFit="1" customWidth="1"/>
    <col min="6" max="6" width="8.5546875" bestFit="1" customWidth="1"/>
    <col min="7" max="7" width="13" bestFit="1" customWidth="1"/>
    <col min="8" max="8" width="14.44140625" customWidth="1"/>
    <col min="9" max="9" width="15.88671875" customWidth="1"/>
    <col min="10" max="10" width="14.44140625" customWidth="1"/>
    <col min="11" max="11" width="15.88671875" customWidth="1"/>
    <col min="12" max="12" width="15.44140625" customWidth="1"/>
    <col min="13" max="13" width="14.5546875" customWidth="1"/>
    <col min="14" max="14" width="13.88671875" customWidth="1"/>
    <col min="15" max="15" width="15.109375" customWidth="1"/>
  </cols>
  <sheetData>
    <row r="1" spans="1:15" ht="15.6" x14ac:dyDescent="0.3">
      <c r="A1" s="33" t="s">
        <v>872</v>
      </c>
      <c r="B1" s="34">
        <f>88.72+88.69+88.69+88.69+88.69</f>
        <v>443.48</v>
      </c>
      <c r="C1" s="220">
        <f>B1/12</f>
        <v>36.956666666666671</v>
      </c>
      <c r="D1" s="600" t="s">
        <v>72</v>
      </c>
      <c r="E1" s="600" t="s">
        <v>0</v>
      </c>
      <c r="F1" s="601" t="s">
        <v>21</v>
      </c>
      <c r="G1" s="602" t="s">
        <v>1</v>
      </c>
      <c r="H1" s="601" t="s">
        <v>873</v>
      </c>
      <c r="I1" s="601" t="s">
        <v>874</v>
      </c>
      <c r="J1" s="601" t="s">
        <v>875</v>
      </c>
      <c r="K1" s="601" t="s">
        <v>876</v>
      </c>
      <c r="L1" s="601" t="s">
        <v>22</v>
      </c>
      <c r="M1" s="601" t="s">
        <v>23</v>
      </c>
      <c r="N1" s="601" t="s">
        <v>24</v>
      </c>
      <c r="O1" s="598" t="s">
        <v>75</v>
      </c>
    </row>
    <row r="2" spans="1:15" ht="15.6" x14ac:dyDescent="0.3">
      <c r="A2" s="35" t="s">
        <v>25</v>
      </c>
      <c r="B2" s="99">
        <f>B1/705</f>
        <v>0.62904964539007091</v>
      </c>
      <c r="D2" s="600"/>
      <c r="E2" s="600"/>
      <c r="F2" s="601"/>
      <c r="G2" s="603"/>
      <c r="H2" s="601"/>
      <c r="I2" s="601"/>
      <c r="J2" s="601"/>
      <c r="K2" s="601"/>
      <c r="L2" s="601"/>
      <c r="M2" s="601"/>
      <c r="N2" s="601"/>
      <c r="O2" s="598"/>
    </row>
    <row r="3" spans="1:15" ht="15.6" x14ac:dyDescent="0.3">
      <c r="A3" s="218"/>
      <c r="B3" s="219"/>
      <c r="D3" s="35" t="s">
        <v>766</v>
      </c>
      <c r="E3" s="38">
        <v>1</v>
      </c>
      <c r="F3" s="170">
        <v>25</v>
      </c>
      <c r="G3" s="171">
        <v>550</v>
      </c>
      <c r="H3" s="43">
        <f>F3*B2</f>
        <v>15.726241134751772</v>
      </c>
      <c r="I3" s="172">
        <f>H3/12</f>
        <v>1.3105200945626476</v>
      </c>
      <c r="J3" s="43">
        <f>F3*B5</f>
        <v>9.5804964539007091</v>
      </c>
      <c r="K3" s="172">
        <f>J3/12</f>
        <v>0.79837470449172576</v>
      </c>
      <c r="L3" s="171">
        <v>117.9</v>
      </c>
      <c r="M3" s="172">
        <f t="shared" ref="M3" si="0">L3/6</f>
        <v>19.650000000000002</v>
      </c>
      <c r="N3" s="43">
        <f>G3+I3+K3+M3</f>
        <v>571.75889479905436</v>
      </c>
      <c r="O3" s="173">
        <v>45112</v>
      </c>
    </row>
    <row r="4" spans="1:15" ht="15.6" x14ac:dyDescent="0.3">
      <c r="A4" s="103" t="s">
        <v>877</v>
      </c>
      <c r="B4" s="34">
        <f>24.56+24.56+24.56+24.56+24.56+24.56+24.56+24.56+24.56+24.56+24.57</f>
        <v>270.17</v>
      </c>
      <c r="C4" s="220">
        <f>B4/12</f>
        <v>22.514166666666668</v>
      </c>
      <c r="D4" s="103" t="s">
        <v>878</v>
      </c>
      <c r="E4" s="38">
        <v>2</v>
      </c>
      <c r="F4" s="39">
        <v>25</v>
      </c>
      <c r="G4" s="44">
        <v>580</v>
      </c>
      <c r="H4" s="43">
        <f>F4*B2</f>
        <v>15.726241134751772</v>
      </c>
      <c r="I4" s="172">
        <f t="shared" ref="I4:I29" si="1">H4/12</f>
        <v>1.3105200945626476</v>
      </c>
      <c r="J4" s="43">
        <f>F4*B5</f>
        <v>9.5804964539007091</v>
      </c>
      <c r="K4" s="172">
        <f t="shared" ref="K4:K29" si="2">J4/12</f>
        <v>0.79837470449172576</v>
      </c>
      <c r="L4" s="44">
        <v>118.18</v>
      </c>
      <c r="M4" s="43">
        <f t="shared" ref="M4:M25" si="3">L4/6</f>
        <v>19.696666666666669</v>
      </c>
      <c r="N4" s="43">
        <f t="shared" ref="N4:N29" si="4">G4+I4+K4+M4</f>
        <v>601.8055614657211</v>
      </c>
      <c r="O4" s="106" t="s">
        <v>435</v>
      </c>
    </row>
    <row r="5" spans="1:15" ht="15.6" x14ac:dyDescent="0.3">
      <c r="A5" s="35" t="s">
        <v>966</v>
      </c>
      <c r="B5" s="99">
        <f>B4/705</f>
        <v>0.38321985815602838</v>
      </c>
      <c r="D5" s="103" t="s">
        <v>753</v>
      </c>
      <c r="E5" s="38">
        <v>3</v>
      </c>
      <c r="F5" s="39">
        <v>25</v>
      </c>
      <c r="G5" s="44">
        <v>550</v>
      </c>
      <c r="H5" s="43">
        <f>F5*B2</f>
        <v>15.726241134751772</v>
      </c>
      <c r="I5" s="172">
        <f t="shared" si="1"/>
        <v>1.3105200945626476</v>
      </c>
      <c r="J5" s="43">
        <f>F5*B5</f>
        <v>9.5804964539007091</v>
      </c>
      <c r="K5" s="172">
        <f t="shared" si="2"/>
        <v>0.79837470449172576</v>
      </c>
      <c r="L5" s="97">
        <v>117.85</v>
      </c>
      <c r="M5" s="43">
        <f t="shared" si="3"/>
        <v>19.641666666666666</v>
      </c>
      <c r="N5" s="43">
        <f t="shared" si="4"/>
        <v>571.75056146572103</v>
      </c>
      <c r="O5" s="106">
        <v>44770</v>
      </c>
    </row>
    <row r="6" spans="1:15" ht="15.6" x14ac:dyDescent="0.3">
      <c r="D6" s="103" t="s">
        <v>885</v>
      </c>
      <c r="E6" s="38">
        <v>4</v>
      </c>
      <c r="F6" s="39">
        <v>25</v>
      </c>
      <c r="G6" s="44">
        <v>610</v>
      </c>
      <c r="H6" s="43">
        <f>F6*B2</f>
        <v>15.726241134751772</v>
      </c>
      <c r="I6" s="172">
        <f t="shared" si="1"/>
        <v>1.3105200945626476</v>
      </c>
      <c r="J6" s="43">
        <f>F6*B5</f>
        <v>9.5804964539007091</v>
      </c>
      <c r="K6" s="172">
        <f t="shared" si="2"/>
        <v>0.79837470449172576</v>
      </c>
      <c r="L6" s="44">
        <v>118.53</v>
      </c>
      <c r="M6" s="43">
        <f t="shared" si="3"/>
        <v>19.754999999999999</v>
      </c>
      <c r="N6" s="43">
        <f t="shared" si="4"/>
        <v>631.86389479905438</v>
      </c>
      <c r="O6" s="106">
        <v>45205</v>
      </c>
    </row>
    <row r="7" spans="1:15" ht="15.6" x14ac:dyDescent="0.3">
      <c r="D7" s="103" t="s">
        <v>744</v>
      </c>
      <c r="E7" s="38">
        <v>5</v>
      </c>
      <c r="F7" s="39">
        <v>25</v>
      </c>
      <c r="G7" s="44">
        <v>580</v>
      </c>
      <c r="H7" s="43">
        <f>F7*B2</f>
        <v>15.726241134751772</v>
      </c>
      <c r="I7" s="172">
        <f t="shared" si="1"/>
        <v>1.3105200945626476</v>
      </c>
      <c r="J7" s="43">
        <f>F7*B5</f>
        <v>9.5804964539007091</v>
      </c>
      <c r="K7" s="172">
        <f t="shared" si="2"/>
        <v>0.79837470449172576</v>
      </c>
      <c r="L7" s="44">
        <v>118.18</v>
      </c>
      <c r="M7" s="43">
        <f t="shared" si="3"/>
        <v>19.696666666666669</v>
      </c>
      <c r="N7" s="43">
        <f t="shared" si="4"/>
        <v>601.8055614657211</v>
      </c>
      <c r="O7" s="106">
        <v>44952</v>
      </c>
    </row>
    <row r="8" spans="1:15" ht="15.6" x14ac:dyDescent="0.3">
      <c r="D8" s="103" t="s">
        <v>745</v>
      </c>
      <c r="E8" s="38">
        <v>6</v>
      </c>
      <c r="F8" s="38">
        <v>35</v>
      </c>
      <c r="G8" s="44">
        <v>680</v>
      </c>
      <c r="H8" s="43">
        <f>F8*B2</f>
        <v>22.016737588652482</v>
      </c>
      <c r="I8" s="172">
        <f t="shared" si="1"/>
        <v>1.8347281323877069</v>
      </c>
      <c r="J8" s="43">
        <f>F8*B5</f>
        <v>13.412695035460994</v>
      </c>
      <c r="K8" s="172">
        <f t="shared" si="2"/>
        <v>1.1177245862884162</v>
      </c>
      <c r="L8" s="44">
        <f>119.36</f>
        <v>119.36</v>
      </c>
      <c r="M8" s="43">
        <f t="shared" si="3"/>
        <v>19.893333333333334</v>
      </c>
      <c r="N8" s="43">
        <f t="shared" si="4"/>
        <v>702.84578605200943</v>
      </c>
      <c r="O8" s="106">
        <v>44957</v>
      </c>
    </row>
    <row r="9" spans="1:15" ht="15.6" x14ac:dyDescent="0.3">
      <c r="D9" s="103" t="s">
        <v>879</v>
      </c>
      <c r="E9" s="38">
        <v>7</v>
      </c>
      <c r="F9" s="170">
        <v>25</v>
      </c>
      <c r="G9" s="171">
        <v>610</v>
      </c>
      <c r="H9" s="43">
        <f>F9*B2</f>
        <v>15.726241134751772</v>
      </c>
      <c r="I9" s="172">
        <f>H9/12</f>
        <v>1.3105200945626476</v>
      </c>
      <c r="J9" s="43">
        <f>F9*B5</f>
        <v>9.5804964539007091</v>
      </c>
      <c r="K9" s="172">
        <f>J9/12</f>
        <v>0.79837470449172576</v>
      </c>
      <c r="L9" s="171">
        <v>118.68</v>
      </c>
      <c r="M9" s="172">
        <f t="shared" ref="M9" si="5">L9/6</f>
        <v>19.78</v>
      </c>
      <c r="N9" s="43">
        <f t="shared" si="4"/>
        <v>631.88889479905436</v>
      </c>
      <c r="O9" s="173">
        <v>45121</v>
      </c>
    </row>
    <row r="10" spans="1:15" ht="15.6" x14ac:dyDescent="0.3">
      <c r="D10" s="103" t="s">
        <v>746</v>
      </c>
      <c r="E10" s="38">
        <v>8</v>
      </c>
      <c r="F10" s="39">
        <v>25</v>
      </c>
      <c r="G10" s="44">
        <v>580</v>
      </c>
      <c r="H10" s="43">
        <f>F10*B2</f>
        <v>15.726241134751772</v>
      </c>
      <c r="I10" s="172">
        <f t="shared" si="1"/>
        <v>1.3105200945626476</v>
      </c>
      <c r="J10" s="43">
        <f>F10*B5</f>
        <v>9.5804964539007091</v>
      </c>
      <c r="K10" s="172">
        <f t="shared" si="2"/>
        <v>0.79837470449172576</v>
      </c>
      <c r="L10" s="44">
        <v>118.18</v>
      </c>
      <c r="M10" s="43">
        <f>L10/6</f>
        <v>19.696666666666669</v>
      </c>
      <c r="N10" s="43">
        <f t="shared" si="4"/>
        <v>601.8055614657211</v>
      </c>
      <c r="O10" s="106">
        <v>44778</v>
      </c>
    </row>
    <row r="11" spans="1:15" ht="15.6" x14ac:dyDescent="0.3">
      <c r="D11" s="103" t="s">
        <v>880</v>
      </c>
      <c r="E11" s="38">
        <v>9</v>
      </c>
      <c r="F11" s="39">
        <v>25</v>
      </c>
      <c r="G11" s="44">
        <v>640</v>
      </c>
      <c r="H11" s="43">
        <f>F11*B2</f>
        <v>15.726241134751772</v>
      </c>
      <c r="I11" s="172">
        <f t="shared" si="1"/>
        <v>1.3105200945626476</v>
      </c>
      <c r="J11" s="43">
        <f>F11*B5</f>
        <v>9.5804964539007091</v>
      </c>
      <c r="K11" s="172">
        <f t="shared" si="2"/>
        <v>0.79837470449172576</v>
      </c>
      <c r="L11" s="42">
        <v>118.87</v>
      </c>
      <c r="M11" s="97">
        <f t="shared" si="3"/>
        <v>19.811666666666667</v>
      </c>
      <c r="N11" s="43">
        <f t="shared" si="4"/>
        <v>661.92056146572099</v>
      </c>
      <c r="O11" s="106">
        <v>45237</v>
      </c>
    </row>
    <row r="12" spans="1:15" ht="15.6" x14ac:dyDescent="0.3">
      <c r="D12" s="35" t="s">
        <v>881</v>
      </c>
      <c r="E12" s="38">
        <v>10</v>
      </c>
      <c r="F12" s="170">
        <v>25</v>
      </c>
      <c r="G12" s="171">
        <v>550</v>
      </c>
      <c r="H12" s="43">
        <f>F12*B2</f>
        <v>15.726241134751772</v>
      </c>
      <c r="I12" s="172">
        <f t="shared" si="1"/>
        <v>1.3105200945626476</v>
      </c>
      <c r="J12" s="43">
        <f>F12*B5</f>
        <v>9.5804964539007091</v>
      </c>
      <c r="K12" s="172">
        <f t="shared" si="2"/>
        <v>0.79837470449172576</v>
      </c>
      <c r="L12" s="171">
        <v>117.85</v>
      </c>
      <c r="M12" s="172">
        <f>L12/6</f>
        <v>19.641666666666666</v>
      </c>
      <c r="N12" s="43">
        <f t="shared" si="4"/>
        <v>571.75056146572103</v>
      </c>
      <c r="O12" s="173">
        <v>44718</v>
      </c>
    </row>
    <row r="13" spans="1:15" ht="15.6" x14ac:dyDescent="0.3">
      <c r="D13" s="103"/>
      <c r="E13" s="38">
        <v>11</v>
      </c>
      <c r="F13" s="39">
        <v>25</v>
      </c>
      <c r="G13" s="44">
        <v>0</v>
      </c>
      <c r="H13" s="43">
        <f>F13*B2</f>
        <v>15.726241134751772</v>
      </c>
      <c r="I13" s="172">
        <f t="shared" si="1"/>
        <v>1.3105200945626476</v>
      </c>
      <c r="J13" s="43">
        <f>F13*B5</f>
        <v>9.5804964539007091</v>
      </c>
      <c r="K13" s="172">
        <f t="shared" si="2"/>
        <v>0.79837470449172576</v>
      </c>
      <c r="L13" s="42">
        <v>117.85</v>
      </c>
      <c r="M13" s="154">
        <v>0</v>
      </c>
      <c r="N13" s="43">
        <v>0</v>
      </c>
      <c r="O13" s="106"/>
    </row>
    <row r="14" spans="1:15" ht="15.6" x14ac:dyDescent="0.3">
      <c r="D14" s="103" t="s">
        <v>740</v>
      </c>
      <c r="E14" s="38">
        <v>12</v>
      </c>
      <c r="F14" s="39">
        <v>25</v>
      </c>
      <c r="G14" s="44">
        <v>550</v>
      </c>
      <c r="H14" s="43">
        <f>F14*B2</f>
        <v>15.726241134751772</v>
      </c>
      <c r="I14" s="172">
        <f t="shared" si="1"/>
        <v>1.3105200945626476</v>
      </c>
      <c r="J14" s="43">
        <f>F14*B5</f>
        <v>9.5804964539007091</v>
      </c>
      <c r="K14" s="172">
        <f t="shared" si="2"/>
        <v>0.79837470449172576</v>
      </c>
      <c r="L14" s="43">
        <v>117.85</v>
      </c>
      <c r="M14" s="154">
        <f t="shared" si="3"/>
        <v>19.641666666666666</v>
      </c>
      <c r="N14" s="43">
        <f t="shared" si="4"/>
        <v>571.75056146572103</v>
      </c>
      <c r="O14" s="174">
        <v>44722</v>
      </c>
    </row>
    <row r="15" spans="1:15" ht="15.6" x14ac:dyDescent="0.3">
      <c r="D15" s="103" t="s">
        <v>756</v>
      </c>
      <c r="E15" s="38">
        <v>13</v>
      </c>
      <c r="F15" s="39">
        <v>25</v>
      </c>
      <c r="G15" s="44">
        <v>550</v>
      </c>
      <c r="H15" s="43">
        <f>F15*B2</f>
        <v>15.726241134751772</v>
      </c>
      <c r="I15" s="172">
        <f t="shared" si="1"/>
        <v>1.3105200945626476</v>
      </c>
      <c r="J15" s="43">
        <f>F15*B5</f>
        <v>9.5804964539007091</v>
      </c>
      <c r="K15" s="172">
        <f t="shared" si="2"/>
        <v>0.79837470449172576</v>
      </c>
      <c r="L15" s="44">
        <v>117.85</v>
      </c>
      <c r="M15" s="43">
        <f t="shared" si="3"/>
        <v>19.641666666666666</v>
      </c>
      <c r="N15" s="43">
        <f t="shared" si="4"/>
        <v>571.75056146572103</v>
      </c>
      <c r="O15" s="106">
        <v>44708</v>
      </c>
    </row>
    <row r="16" spans="1:15" ht="15.6" x14ac:dyDescent="0.3">
      <c r="D16" s="35" t="s">
        <v>747</v>
      </c>
      <c r="E16" s="38">
        <v>14</v>
      </c>
      <c r="F16" s="170">
        <v>25</v>
      </c>
      <c r="G16" s="171">
        <v>580</v>
      </c>
      <c r="H16" s="43">
        <f>F16*B2</f>
        <v>15.726241134751772</v>
      </c>
      <c r="I16" s="172">
        <f t="shared" si="1"/>
        <v>1.3105200945626476</v>
      </c>
      <c r="J16" s="43">
        <f>F16*B5</f>
        <v>9.5804964539007091</v>
      </c>
      <c r="K16" s="172">
        <f t="shared" si="2"/>
        <v>0.79837470449172576</v>
      </c>
      <c r="L16" s="171">
        <v>118.18</v>
      </c>
      <c r="M16" s="172">
        <f>L16/6</f>
        <v>19.696666666666669</v>
      </c>
      <c r="N16" s="43">
        <f t="shared" si="4"/>
        <v>601.8055614657211</v>
      </c>
      <c r="O16" s="173">
        <v>44861</v>
      </c>
    </row>
    <row r="17" spans="4:15" ht="15.6" x14ac:dyDescent="0.3">
      <c r="D17" s="103" t="s">
        <v>748</v>
      </c>
      <c r="E17" s="38">
        <v>15</v>
      </c>
      <c r="F17" s="38">
        <v>35</v>
      </c>
      <c r="G17" s="44">
        <v>680</v>
      </c>
      <c r="H17" s="43">
        <f>F17*B2</f>
        <v>22.016737588652482</v>
      </c>
      <c r="I17" s="172">
        <f>H17/12</f>
        <v>1.8347281323877069</v>
      </c>
      <c r="J17" s="43">
        <f>F17*B5</f>
        <v>13.412695035460994</v>
      </c>
      <c r="K17" s="172">
        <f>J17/12</f>
        <v>1.1177245862884162</v>
      </c>
      <c r="L17" s="44">
        <v>119.02</v>
      </c>
      <c r="M17" s="43">
        <f t="shared" ref="M17:M18" si="6">L17/6</f>
        <v>19.836666666666666</v>
      </c>
      <c r="N17" s="43">
        <f t="shared" si="4"/>
        <v>702.78911938534281</v>
      </c>
      <c r="O17" s="106">
        <v>45070</v>
      </c>
    </row>
    <row r="18" spans="4:15" ht="15.6" x14ac:dyDescent="0.3">
      <c r="D18" s="103" t="s">
        <v>757</v>
      </c>
      <c r="E18" s="38">
        <v>16</v>
      </c>
      <c r="F18" s="170">
        <v>25</v>
      </c>
      <c r="G18" s="171">
        <v>610</v>
      </c>
      <c r="H18" s="43">
        <f>F18*B2</f>
        <v>15.726241134751772</v>
      </c>
      <c r="I18" s="172">
        <f t="shared" ref="I18" si="7">H18/12</f>
        <v>1.3105200945626476</v>
      </c>
      <c r="J18" s="43">
        <f>F18*B5</f>
        <v>9.5804964539007091</v>
      </c>
      <c r="K18" s="172">
        <f t="shared" ref="K18" si="8">J18/12</f>
        <v>0.79837470449172576</v>
      </c>
      <c r="L18" s="171">
        <v>118.68</v>
      </c>
      <c r="M18" s="172">
        <f t="shared" si="6"/>
        <v>19.78</v>
      </c>
      <c r="N18" s="43">
        <f t="shared" si="4"/>
        <v>631.88889479905436</v>
      </c>
      <c r="O18" s="173">
        <v>44995</v>
      </c>
    </row>
    <row r="19" spans="4:15" ht="15.6" x14ac:dyDescent="0.3">
      <c r="D19" s="103" t="s">
        <v>741</v>
      </c>
      <c r="E19" s="38">
        <v>17</v>
      </c>
      <c r="F19" s="39">
        <v>25</v>
      </c>
      <c r="G19" s="44">
        <v>580</v>
      </c>
      <c r="H19" s="43">
        <f>F19*B2</f>
        <v>15.726241134751772</v>
      </c>
      <c r="I19" s="172">
        <f t="shared" si="1"/>
        <v>1.3105200945626476</v>
      </c>
      <c r="J19" s="43">
        <f>F19*B5</f>
        <v>9.5804964539007091</v>
      </c>
      <c r="K19" s="172">
        <f t="shared" si="2"/>
        <v>0.79837470449172576</v>
      </c>
      <c r="L19" s="44">
        <v>118.18</v>
      </c>
      <c r="M19" s="43">
        <f>L19/6</f>
        <v>19.696666666666669</v>
      </c>
      <c r="N19" s="43">
        <f t="shared" si="4"/>
        <v>601.8055614657211</v>
      </c>
      <c r="O19" s="106">
        <v>44720</v>
      </c>
    </row>
    <row r="20" spans="4:15" ht="15.6" x14ac:dyDescent="0.3">
      <c r="D20" s="103" t="s">
        <v>749</v>
      </c>
      <c r="E20" s="38">
        <v>18</v>
      </c>
      <c r="F20" s="39">
        <v>25</v>
      </c>
      <c r="G20" s="44">
        <v>640</v>
      </c>
      <c r="H20" s="43">
        <f>F20*B2</f>
        <v>15.726241134751772</v>
      </c>
      <c r="I20" s="172">
        <f t="shared" si="1"/>
        <v>1.3105200945626476</v>
      </c>
      <c r="J20" s="43">
        <f>F20*B5</f>
        <v>9.5804964539007091</v>
      </c>
      <c r="K20" s="172">
        <f t="shared" si="2"/>
        <v>0.79837470449172576</v>
      </c>
      <c r="L20" s="44">
        <v>118.92</v>
      </c>
      <c r="M20" s="43">
        <f>L20/6</f>
        <v>19.82</v>
      </c>
      <c r="N20" s="43">
        <f t="shared" si="4"/>
        <v>661.92889479905443</v>
      </c>
      <c r="O20" s="106">
        <v>44900</v>
      </c>
    </row>
    <row r="21" spans="4:15" ht="15.6" x14ac:dyDescent="0.3">
      <c r="D21" s="103" t="s">
        <v>882</v>
      </c>
      <c r="E21" s="38">
        <v>19</v>
      </c>
      <c r="F21" s="170">
        <v>25</v>
      </c>
      <c r="G21" s="171">
        <v>610</v>
      </c>
      <c r="H21" s="43">
        <f>F21*B2</f>
        <v>15.726241134751772</v>
      </c>
      <c r="I21" s="172">
        <f t="shared" si="1"/>
        <v>1.3105200945626476</v>
      </c>
      <c r="J21" s="43">
        <f>F21*B5</f>
        <v>9.5804964539007091</v>
      </c>
      <c r="K21" s="172">
        <f t="shared" si="2"/>
        <v>0.79837470449172576</v>
      </c>
      <c r="L21" s="171">
        <v>118.53</v>
      </c>
      <c r="M21" s="172">
        <f t="shared" ref="M21" si="9">L21/6</f>
        <v>19.754999999999999</v>
      </c>
      <c r="N21" s="43">
        <f t="shared" si="4"/>
        <v>631.86389479905438</v>
      </c>
      <c r="O21" s="173">
        <v>45090</v>
      </c>
    </row>
    <row r="22" spans="4:15" ht="15.6" x14ac:dyDescent="0.3">
      <c r="D22" s="221"/>
      <c r="E22" s="38">
        <v>20</v>
      </c>
      <c r="F22" s="39">
        <v>25</v>
      </c>
      <c r="G22" s="44">
        <v>0</v>
      </c>
      <c r="H22" s="43">
        <f>F22*B2</f>
        <v>15.726241134751772</v>
      </c>
      <c r="I22" s="172">
        <f t="shared" si="1"/>
        <v>1.3105200945626476</v>
      </c>
      <c r="J22" s="43">
        <f>F22*B5</f>
        <v>9.5804964539007091</v>
      </c>
      <c r="K22" s="172">
        <f t="shared" si="2"/>
        <v>0.79837470449172576</v>
      </c>
      <c r="L22" s="44">
        <v>0</v>
      </c>
      <c r="M22" s="43">
        <f t="shared" si="3"/>
        <v>0</v>
      </c>
      <c r="N22" s="43">
        <v>0</v>
      </c>
      <c r="O22" s="106"/>
    </row>
    <row r="23" spans="4:15" ht="15.6" x14ac:dyDescent="0.3">
      <c r="D23" s="221" t="s">
        <v>788</v>
      </c>
      <c r="E23" s="38">
        <v>21</v>
      </c>
      <c r="F23" s="170">
        <v>25</v>
      </c>
      <c r="G23" s="171">
        <v>580</v>
      </c>
      <c r="H23" s="43">
        <f>F23*B2</f>
        <v>15.726241134751772</v>
      </c>
      <c r="I23" s="172">
        <f t="shared" si="1"/>
        <v>1.3105200945626476</v>
      </c>
      <c r="J23" s="43">
        <f>F23*B5</f>
        <v>9.5804964539007091</v>
      </c>
      <c r="K23" s="172">
        <f t="shared" si="2"/>
        <v>0.79837470449172576</v>
      </c>
      <c r="L23" s="171">
        <v>118.08</v>
      </c>
      <c r="M23" s="172">
        <f>L23/6</f>
        <v>19.68</v>
      </c>
      <c r="N23" s="43">
        <f t="shared" si="4"/>
        <v>601.78889479905433</v>
      </c>
      <c r="O23" s="173">
        <v>45114</v>
      </c>
    </row>
    <row r="24" spans="4:15" ht="15.6" x14ac:dyDescent="0.3">
      <c r="D24" s="221" t="s">
        <v>883</v>
      </c>
      <c r="E24" s="38">
        <v>22</v>
      </c>
      <c r="F24" s="39">
        <v>25</v>
      </c>
      <c r="G24" s="44">
        <v>500</v>
      </c>
      <c r="H24" s="43">
        <f>F24*B2</f>
        <v>15.726241134751772</v>
      </c>
      <c r="I24" s="172">
        <f t="shared" si="1"/>
        <v>1.3105200945626476</v>
      </c>
      <c r="J24" s="43">
        <f>F24*B5</f>
        <v>9.5804964539007091</v>
      </c>
      <c r="K24" s="172">
        <f t="shared" si="2"/>
        <v>0.79837470449172576</v>
      </c>
      <c r="L24" s="44">
        <v>117.26</v>
      </c>
      <c r="M24" s="43">
        <f t="shared" si="3"/>
        <v>19.543333333333333</v>
      </c>
      <c r="N24" s="43">
        <f t="shared" si="4"/>
        <v>521.65222813238768</v>
      </c>
      <c r="O24" s="106">
        <v>44694</v>
      </c>
    </row>
    <row r="25" spans="4:15" ht="15.6" x14ac:dyDescent="0.3">
      <c r="D25" s="221" t="s">
        <v>750</v>
      </c>
      <c r="E25" s="38">
        <v>23</v>
      </c>
      <c r="F25" s="39">
        <v>25</v>
      </c>
      <c r="G25" s="44">
        <v>550</v>
      </c>
      <c r="H25" s="43">
        <f>F25*B2</f>
        <v>15.726241134751772</v>
      </c>
      <c r="I25" s="172">
        <f t="shared" si="1"/>
        <v>1.3105200945626476</v>
      </c>
      <c r="J25" s="43">
        <f>F25*B5</f>
        <v>9.5804964539007091</v>
      </c>
      <c r="K25" s="172">
        <f t="shared" si="2"/>
        <v>0.79837470449172576</v>
      </c>
      <c r="L25" s="42">
        <v>117.85</v>
      </c>
      <c r="M25" s="42">
        <f t="shared" si="3"/>
        <v>19.641666666666666</v>
      </c>
      <c r="N25" s="43">
        <f t="shared" si="4"/>
        <v>571.75056146572103</v>
      </c>
      <c r="O25" s="106">
        <v>44701</v>
      </c>
    </row>
    <row r="26" spans="4:15" ht="15.6" x14ac:dyDescent="0.3">
      <c r="D26" s="103" t="s">
        <v>844</v>
      </c>
      <c r="E26" s="38">
        <v>24</v>
      </c>
      <c r="F26" s="38">
        <v>35</v>
      </c>
      <c r="G26" s="44">
        <v>680</v>
      </c>
      <c r="H26" s="43">
        <f>F26*B2</f>
        <v>22.016737588652482</v>
      </c>
      <c r="I26" s="172">
        <f t="shared" si="1"/>
        <v>1.8347281323877069</v>
      </c>
      <c r="J26" s="43">
        <f>F26*B5</f>
        <v>13.412695035460994</v>
      </c>
      <c r="K26" s="172">
        <f t="shared" si="2"/>
        <v>1.1177245862884162</v>
      </c>
      <c r="L26" s="42">
        <v>119.46</v>
      </c>
      <c r="M26" s="42">
        <f>L26/6</f>
        <v>19.91</v>
      </c>
      <c r="N26" s="43">
        <f t="shared" si="4"/>
        <v>702.86245271867608</v>
      </c>
      <c r="O26" s="106">
        <v>45205</v>
      </c>
    </row>
    <row r="27" spans="4:15" ht="15.6" x14ac:dyDescent="0.3">
      <c r="D27" s="103" t="s">
        <v>884</v>
      </c>
      <c r="E27" s="38">
        <v>25</v>
      </c>
      <c r="F27" s="39">
        <v>25</v>
      </c>
      <c r="G27" s="44">
        <v>610</v>
      </c>
      <c r="H27" s="43">
        <f>F27*B2</f>
        <v>15.726241134751772</v>
      </c>
      <c r="I27" s="172">
        <f t="shared" si="1"/>
        <v>1.3105200945626476</v>
      </c>
      <c r="J27" s="43">
        <f>F27*B5</f>
        <v>9.5804964539007091</v>
      </c>
      <c r="K27" s="172">
        <f t="shared" si="2"/>
        <v>0.79837470449172576</v>
      </c>
      <c r="L27" s="44">
        <v>118.53</v>
      </c>
      <c r="M27" s="43">
        <f>L27/6</f>
        <v>19.754999999999999</v>
      </c>
      <c r="N27" s="43">
        <f t="shared" si="4"/>
        <v>631.86389479905438</v>
      </c>
      <c r="O27" s="106">
        <v>44853</v>
      </c>
    </row>
    <row r="28" spans="4:15" ht="15.6" x14ac:dyDescent="0.3">
      <c r="D28" s="103" t="s">
        <v>751</v>
      </c>
      <c r="E28" s="38">
        <v>26</v>
      </c>
      <c r="F28" s="39">
        <v>25</v>
      </c>
      <c r="G28" s="44">
        <v>560</v>
      </c>
      <c r="H28" s="43">
        <f>F28*B2</f>
        <v>15.726241134751772</v>
      </c>
      <c r="I28" s="172">
        <f t="shared" si="1"/>
        <v>1.3105200945626476</v>
      </c>
      <c r="J28" s="43">
        <f>F28*B5</f>
        <v>9.5804964539007091</v>
      </c>
      <c r="K28" s="172">
        <f t="shared" si="2"/>
        <v>0.79837470449172576</v>
      </c>
      <c r="L28" s="42">
        <v>117.95</v>
      </c>
      <c r="M28" s="42">
        <f>L28/6</f>
        <v>19.658333333333335</v>
      </c>
      <c r="N28" s="43">
        <f t="shared" si="4"/>
        <v>581.76722813238769</v>
      </c>
      <c r="O28" s="106">
        <v>44687</v>
      </c>
    </row>
    <row r="29" spans="4:15" ht="15.6" x14ac:dyDescent="0.3">
      <c r="D29" s="103" t="s">
        <v>752</v>
      </c>
      <c r="E29" s="38">
        <v>27</v>
      </c>
      <c r="F29" s="39">
        <v>25</v>
      </c>
      <c r="G29" s="44">
        <v>580</v>
      </c>
      <c r="H29" s="43">
        <f>F29*B2</f>
        <v>15.726241134751772</v>
      </c>
      <c r="I29" s="172">
        <f t="shared" si="1"/>
        <v>1.3105200945626476</v>
      </c>
      <c r="J29" s="43">
        <f>F29*B5</f>
        <v>9.5804964539007091</v>
      </c>
      <c r="K29" s="172">
        <f t="shared" si="2"/>
        <v>0.79837470449172576</v>
      </c>
      <c r="L29" s="44">
        <v>118.18</v>
      </c>
      <c r="M29" s="43">
        <f>L29/6</f>
        <v>19.696666666666669</v>
      </c>
      <c r="N29" s="43">
        <f t="shared" si="4"/>
        <v>601.8055614657211</v>
      </c>
      <c r="O29" s="106">
        <v>44687</v>
      </c>
    </row>
    <row r="30" spans="4:15" ht="15.6" x14ac:dyDescent="0.3">
      <c r="D30" s="103"/>
      <c r="E30" s="36" t="s">
        <v>4</v>
      </c>
      <c r="F30" s="35">
        <f>SUM(F3:F29)</f>
        <v>705</v>
      </c>
      <c r="G30" s="164"/>
      <c r="H30" s="37">
        <f>SUM(H3:H29)</f>
        <v>443.47999999999996</v>
      </c>
      <c r="I30" s="37">
        <f>SUM(I3:I29)</f>
        <v>36.956666666666671</v>
      </c>
      <c r="J30" s="37">
        <f>SUM(J3:J29)</f>
        <v>270.16999999999996</v>
      </c>
      <c r="K30" s="37">
        <f>SUM(K3:K29)</f>
        <v>22.514166666666664</v>
      </c>
      <c r="L30" s="33"/>
      <c r="M30" s="33"/>
      <c r="N30" s="33"/>
      <c r="O30" s="163"/>
    </row>
    <row r="31" spans="4:15" x14ac:dyDescent="0.3">
      <c r="D31" s="599"/>
      <c r="E31" s="599"/>
      <c r="F31" s="599"/>
      <c r="G31" s="599"/>
      <c r="H31" s="599"/>
      <c r="I31" s="599"/>
      <c r="J31" s="599"/>
      <c r="K31" s="599"/>
      <c r="L31" s="599"/>
      <c r="M31" s="599"/>
      <c r="N31" s="599"/>
      <c r="O31" s="599"/>
    </row>
    <row r="32" spans="4:15" x14ac:dyDescent="0.3">
      <c r="D32" s="600" t="s">
        <v>72</v>
      </c>
      <c r="E32" s="600" t="s">
        <v>0</v>
      </c>
      <c r="F32" s="601" t="s">
        <v>21</v>
      </c>
      <c r="G32" s="602" t="s">
        <v>1</v>
      </c>
      <c r="H32" s="601" t="s">
        <v>873</v>
      </c>
      <c r="I32" s="601" t="s">
        <v>874</v>
      </c>
      <c r="J32" s="601" t="s">
        <v>875</v>
      </c>
      <c r="K32" s="601" t="s">
        <v>876</v>
      </c>
      <c r="L32" s="601" t="s">
        <v>22</v>
      </c>
      <c r="M32" s="601" t="s">
        <v>23</v>
      </c>
      <c r="N32" s="601" t="s">
        <v>24</v>
      </c>
      <c r="O32" s="601" t="s">
        <v>75</v>
      </c>
    </row>
    <row r="33" spans="4:15" s="169" customFormat="1" x14ac:dyDescent="0.3">
      <c r="D33" s="600"/>
      <c r="E33" s="600"/>
      <c r="F33" s="601"/>
      <c r="G33" s="603"/>
      <c r="H33" s="601"/>
      <c r="I33" s="601"/>
      <c r="J33" s="601"/>
      <c r="K33" s="601"/>
      <c r="L33" s="601"/>
      <c r="M33" s="601"/>
      <c r="N33" s="601"/>
      <c r="O33" s="601"/>
    </row>
    <row r="34" spans="4:15" s="169" customFormat="1" ht="15.6" x14ac:dyDescent="0.3">
      <c r="D34" s="39" t="s">
        <v>894</v>
      </c>
      <c r="E34" s="38">
        <v>16</v>
      </c>
      <c r="F34" s="170">
        <v>25</v>
      </c>
      <c r="G34" s="171">
        <v>640</v>
      </c>
      <c r="H34" s="43">
        <f>F34*B2</f>
        <v>15.726241134751772</v>
      </c>
      <c r="I34" s="172">
        <f t="shared" ref="I34:I41" si="10">H34/12</f>
        <v>1.3105200945626476</v>
      </c>
      <c r="J34" s="43">
        <f>F34*B5</f>
        <v>9.5804964539007091</v>
      </c>
      <c r="K34" s="172">
        <f t="shared" ref="K34:K41" si="11">J34/12</f>
        <v>0.79837470449172576</v>
      </c>
      <c r="L34" s="171">
        <v>127.18</v>
      </c>
      <c r="M34" s="172">
        <f t="shared" ref="M34" si="12">L34/6</f>
        <v>21.196666666666669</v>
      </c>
      <c r="N34" s="43">
        <f t="shared" ref="N34:N39" si="13">G34+I34+K34+M34</f>
        <v>663.3055614657211</v>
      </c>
      <c r="O34" s="173">
        <v>45314</v>
      </c>
    </row>
    <row r="35" spans="4:15" s="169" customFormat="1" ht="15.6" x14ac:dyDescent="0.3">
      <c r="D35" s="39" t="s">
        <v>902</v>
      </c>
      <c r="E35" s="38">
        <v>17</v>
      </c>
      <c r="F35" s="39">
        <v>25</v>
      </c>
      <c r="G35" s="171">
        <v>640</v>
      </c>
      <c r="H35" s="43">
        <f>F35*B2</f>
        <v>15.726241134751772</v>
      </c>
      <c r="I35" s="172">
        <f t="shared" si="10"/>
        <v>1.3105200945626476</v>
      </c>
      <c r="J35" s="43">
        <f>F35*B5</f>
        <v>9.5804964539007091</v>
      </c>
      <c r="K35" s="172">
        <f t="shared" si="11"/>
        <v>0.79837470449172576</v>
      </c>
      <c r="L35" s="171">
        <f>118.18</f>
        <v>118.18</v>
      </c>
      <c r="M35" s="172">
        <f>L35/6</f>
        <v>19.696666666666669</v>
      </c>
      <c r="N35" s="43">
        <f t="shared" si="13"/>
        <v>661.8055614657211</v>
      </c>
      <c r="O35" s="173">
        <v>45310</v>
      </c>
    </row>
    <row r="36" spans="4:15" s="169" customFormat="1" ht="15.6" x14ac:dyDescent="0.3">
      <c r="D36" s="107" t="s">
        <v>919</v>
      </c>
      <c r="E36" s="38">
        <v>20</v>
      </c>
      <c r="F36" s="39">
        <v>25</v>
      </c>
      <c r="G36" s="44">
        <v>780</v>
      </c>
      <c r="H36" s="43">
        <f>F36*B2</f>
        <v>15.726241134751772</v>
      </c>
      <c r="I36" s="172">
        <f t="shared" si="10"/>
        <v>1.3105200945626476</v>
      </c>
      <c r="J36" s="43">
        <f>F36*B5</f>
        <v>9.5804964539007091</v>
      </c>
      <c r="K36" s="172">
        <f t="shared" si="11"/>
        <v>0.79837470449172576</v>
      </c>
      <c r="L36" s="44">
        <v>129</v>
      </c>
      <c r="M36" s="172">
        <f>L36/6</f>
        <v>21.5</v>
      </c>
      <c r="N36" s="43">
        <f t="shared" si="13"/>
        <v>803.60889479905438</v>
      </c>
      <c r="O36" s="106">
        <v>45324</v>
      </c>
    </row>
    <row r="37" spans="4:15" ht="15.6" x14ac:dyDescent="0.3">
      <c r="D37" s="39" t="s">
        <v>929</v>
      </c>
      <c r="E37" s="38">
        <v>12</v>
      </c>
      <c r="F37" s="170">
        <v>25</v>
      </c>
      <c r="G37" s="171">
        <v>610</v>
      </c>
      <c r="H37" s="43">
        <f>F37*B2</f>
        <v>15.726241134751772</v>
      </c>
      <c r="I37" s="172">
        <f t="shared" si="10"/>
        <v>1.3105200945626476</v>
      </c>
      <c r="J37" s="43">
        <f>F37*B5</f>
        <v>9.5804964539007091</v>
      </c>
      <c r="K37" s="172">
        <f t="shared" si="11"/>
        <v>0.79837470449172576</v>
      </c>
      <c r="L37" s="44">
        <v>126.09</v>
      </c>
      <c r="M37" s="172">
        <v>126.09</v>
      </c>
      <c r="N37" s="43">
        <f t="shared" si="13"/>
        <v>738.19889479905441</v>
      </c>
      <c r="O37" s="173">
        <v>45352</v>
      </c>
    </row>
    <row r="38" spans="4:15" ht="15.6" x14ac:dyDescent="0.3">
      <c r="D38" s="39" t="s">
        <v>950</v>
      </c>
      <c r="E38" s="38">
        <v>22</v>
      </c>
      <c r="F38" s="170">
        <v>25</v>
      </c>
      <c r="G38" s="171">
        <v>610</v>
      </c>
      <c r="H38" s="43">
        <f>F38*B2</f>
        <v>15.726241134751772</v>
      </c>
      <c r="I38" s="172">
        <f t="shared" si="10"/>
        <v>1.3105200945626476</v>
      </c>
      <c r="J38" s="43">
        <f>F38*B5</f>
        <v>9.5804964539007091</v>
      </c>
      <c r="K38" s="172">
        <f t="shared" si="11"/>
        <v>0.79837470449172576</v>
      </c>
      <c r="L38" s="171">
        <v>126.81</v>
      </c>
      <c r="M38" s="171">
        <v>126.81</v>
      </c>
      <c r="N38" s="43">
        <f t="shared" si="13"/>
        <v>738.91889479905444</v>
      </c>
      <c r="O38" s="173">
        <v>45386</v>
      </c>
    </row>
    <row r="39" spans="4:15" ht="15.6" x14ac:dyDescent="0.3">
      <c r="D39" s="39" t="s">
        <v>965</v>
      </c>
      <c r="E39" s="38">
        <v>11</v>
      </c>
      <c r="F39" s="170">
        <v>25</v>
      </c>
      <c r="G39" s="171">
        <v>610</v>
      </c>
      <c r="H39" s="43">
        <f>F39*B2</f>
        <v>15.726241134751772</v>
      </c>
      <c r="I39" s="172">
        <f t="shared" si="10"/>
        <v>1.3105200945626476</v>
      </c>
      <c r="J39" s="43">
        <f>F39*B5</f>
        <v>9.5804964539007091</v>
      </c>
      <c r="K39" s="172">
        <f t="shared" si="11"/>
        <v>0.79837470449172576</v>
      </c>
      <c r="L39" s="171">
        <v>126.81</v>
      </c>
      <c r="M39" s="171">
        <v>126.81</v>
      </c>
      <c r="N39" s="43">
        <f t="shared" si="13"/>
        <v>738.91889479905444</v>
      </c>
      <c r="O39" s="173">
        <v>45420</v>
      </c>
    </row>
    <row r="40" spans="4:15" ht="15.6" x14ac:dyDescent="0.3">
      <c r="D40" s="39" t="s">
        <v>977</v>
      </c>
      <c r="E40" s="38">
        <v>16</v>
      </c>
      <c r="F40" s="170">
        <v>25</v>
      </c>
      <c r="G40" s="171">
        <v>640</v>
      </c>
      <c r="H40" s="43">
        <f>F40*B2</f>
        <v>15.726241134751772</v>
      </c>
      <c r="I40" s="172">
        <f t="shared" si="10"/>
        <v>1.3105200945626476</v>
      </c>
      <c r="J40" s="43">
        <f>F40*B5</f>
        <v>9.5804964539007091</v>
      </c>
      <c r="K40" s="172">
        <f t="shared" si="11"/>
        <v>0.79837470449172576</v>
      </c>
      <c r="L40" s="214"/>
      <c r="M40" s="172"/>
      <c r="N40" s="43"/>
      <c r="O40" s="173">
        <v>45441</v>
      </c>
    </row>
    <row r="41" spans="4:15" s="232" customFormat="1" ht="15.6" x14ac:dyDescent="0.3">
      <c r="D41" s="103" t="s">
        <v>1004</v>
      </c>
      <c r="E41" s="38">
        <v>2</v>
      </c>
      <c r="F41" s="39">
        <v>25</v>
      </c>
      <c r="G41" s="154">
        <v>610</v>
      </c>
      <c r="H41" s="43">
        <f>F41*B2</f>
        <v>15.726241134751772</v>
      </c>
      <c r="I41" s="172">
        <f t="shared" si="10"/>
        <v>1.3105200945626476</v>
      </c>
      <c r="J41" s="43">
        <f>F41*B5</f>
        <v>9.5804964539007091</v>
      </c>
      <c r="K41" s="172">
        <f t="shared" si="11"/>
        <v>0.79837470449172576</v>
      </c>
      <c r="L41" s="154"/>
      <c r="M41" s="172"/>
      <c r="N41" s="43"/>
      <c r="O41" s="163">
        <v>45478</v>
      </c>
    </row>
    <row r="42" spans="4:15" ht="15.6" x14ac:dyDescent="0.3">
      <c r="D42" s="39" t="s">
        <v>1005</v>
      </c>
      <c r="E42" s="38">
        <v>3</v>
      </c>
      <c r="F42" s="39">
        <v>25</v>
      </c>
      <c r="G42" s="154">
        <v>610</v>
      </c>
      <c r="H42" s="43">
        <f>F42*B2</f>
        <v>15.726241134751772</v>
      </c>
      <c r="I42" s="172">
        <f t="shared" ref="I42:I46" si="14">H42/12</f>
        <v>1.3105200945626476</v>
      </c>
      <c r="J42" s="43">
        <f>F42*B5</f>
        <v>9.5804964539007091</v>
      </c>
      <c r="K42" s="172">
        <f t="shared" ref="K42:K46" si="15">J42/12</f>
        <v>0.79837470449172576</v>
      </c>
      <c r="L42" s="214"/>
      <c r="M42" s="172"/>
      <c r="N42" s="43"/>
      <c r="O42" s="215"/>
    </row>
    <row r="43" spans="4:15" ht="15.6" x14ac:dyDescent="0.3">
      <c r="D43" s="39" t="s">
        <v>1007</v>
      </c>
      <c r="E43" s="38">
        <v>25</v>
      </c>
      <c r="F43" s="39">
        <v>25</v>
      </c>
      <c r="G43" s="154">
        <v>640</v>
      </c>
      <c r="H43" s="43">
        <f>F43*B2</f>
        <v>15.726241134751772</v>
      </c>
      <c r="I43" s="172">
        <f t="shared" si="14"/>
        <v>1.3105200945626476</v>
      </c>
      <c r="J43" s="43">
        <f>F43*B5</f>
        <v>9.5804964539007091</v>
      </c>
      <c r="K43" s="172">
        <f t="shared" si="15"/>
        <v>0.79837470449172576</v>
      </c>
      <c r="L43" s="233"/>
      <c r="M43" s="233"/>
      <c r="N43" s="233"/>
      <c r="O43" s="163">
        <v>45482</v>
      </c>
    </row>
    <row r="44" spans="4:15" ht="15.6" x14ac:dyDescent="0.3">
      <c r="D44" s="39" t="s">
        <v>1012</v>
      </c>
      <c r="E44" s="38">
        <v>19</v>
      </c>
      <c r="F44" s="170">
        <v>25</v>
      </c>
      <c r="G44" s="154">
        <v>580</v>
      </c>
      <c r="H44" s="43">
        <f>F44*B2</f>
        <v>15.726241134751772</v>
      </c>
      <c r="I44" s="172">
        <f t="shared" si="14"/>
        <v>1.3105200945626476</v>
      </c>
      <c r="J44" s="43">
        <f>F44*B5</f>
        <v>9.5804964539007091</v>
      </c>
      <c r="K44" s="172">
        <f t="shared" si="15"/>
        <v>0.79837470449172576</v>
      </c>
      <c r="L44" s="233"/>
      <c r="M44" s="233"/>
      <c r="N44" s="233"/>
      <c r="O44" s="163">
        <v>45491</v>
      </c>
    </row>
    <row r="45" spans="4:15" ht="15.6" x14ac:dyDescent="0.3">
      <c r="D45" s="39" t="s">
        <v>1029</v>
      </c>
      <c r="E45" s="38">
        <v>17</v>
      </c>
      <c r="F45" s="39">
        <v>25</v>
      </c>
      <c r="G45" s="154">
        <v>610</v>
      </c>
      <c r="H45" s="43">
        <f>F45*B2</f>
        <v>15.726241134751772</v>
      </c>
      <c r="I45" s="172">
        <f t="shared" si="14"/>
        <v>1.3105200945626476</v>
      </c>
      <c r="J45" s="43">
        <f>F45*B5</f>
        <v>9.5804964539007091</v>
      </c>
      <c r="K45" s="172">
        <f t="shared" si="15"/>
        <v>0.79837470449172576</v>
      </c>
      <c r="L45" s="233"/>
      <c r="M45" s="233"/>
      <c r="N45" s="233"/>
      <c r="O45" s="163">
        <v>45525</v>
      </c>
    </row>
    <row r="46" spans="4:15" ht="15.6" x14ac:dyDescent="0.3">
      <c r="D46" s="39" t="s">
        <v>1030</v>
      </c>
      <c r="E46" s="38">
        <v>18</v>
      </c>
      <c r="F46" s="39">
        <v>25</v>
      </c>
      <c r="G46" s="44">
        <v>640</v>
      </c>
      <c r="H46" s="43">
        <f>F46*B2</f>
        <v>15.726241134751772</v>
      </c>
      <c r="I46" s="172">
        <f t="shared" si="14"/>
        <v>1.3105200945626476</v>
      </c>
      <c r="J46" s="43">
        <f>F46*B5</f>
        <v>9.5804964539007091</v>
      </c>
      <c r="K46" s="172">
        <f t="shared" si="15"/>
        <v>0.79837470449172576</v>
      </c>
      <c r="L46" s="171">
        <v>127.18</v>
      </c>
      <c r="M46" s="233"/>
      <c r="N46" s="233"/>
      <c r="O46" s="163">
        <v>45509</v>
      </c>
    </row>
  </sheetData>
  <mergeCells count="25">
    <mergeCell ref="D31:O31"/>
    <mergeCell ref="I1:I2"/>
    <mergeCell ref="D1:D2"/>
    <mergeCell ref="E1:E2"/>
    <mergeCell ref="F1:F2"/>
    <mergeCell ref="G1:G2"/>
    <mergeCell ref="H1:H2"/>
    <mergeCell ref="L1:L2"/>
    <mergeCell ref="M1:M2"/>
    <mergeCell ref="N1:N2"/>
    <mergeCell ref="O1:O2"/>
    <mergeCell ref="J1:J2"/>
    <mergeCell ref="K1:K2"/>
    <mergeCell ref="O32:O33"/>
    <mergeCell ref="D32:D33"/>
    <mergeCell ref="E32:E33"/>
    <mergeCell ref="F32:F33"/>
    <mergeCell ref="G32:G33"/>
    <mergeCell ref="H32:H33"/>
    <mergeCell ref="I32:I33"/>
    <mergeCell ref="J32:J33"/>
    <mergeCell ref="K32:K33"/>
    <mergeCell ref="L32:L33"/>
    <mergeCell ref="M32:M33"/>
    <mergeCell ref="N32:N33"/>
  </mergeCells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371C8-0CB4-421B-B16B-4A5DCD783DA4}">
  <dimension ref="A1:M42"/>
  <sheetViews>
    <sheetView zoomScale="80" zoomScaleNormal="80" workbookViewId="0">
      <selection sqref="A1:XFD1048576"/>
    </sheetView>
  </sheetViews>
  <sheetFormatPr defaultRowHeight="14.4" x14ac:dyDescent="0.3"/>
  <cols>
    <col min="1" max="1" width="30.109375" bestFit="1" customWidth="1"/>
    <col min="2" max="2" width="13" bestFit="1" customWidth="1"/>
    <col min="4" max="4" width="44.88671875" bestFit="1" customWidth="1"/>
    <col min="5" max="5" width="8.88671875" bestFit="1" customWidth="1"/>
    <col min="6" max="6" width="8.5546875" bestFit="1" customWidth="1"/>
    <col min="7" max="7" width="13" bestFit="1" customWidth="1"/>
    <col min="8" max="8" width="14.44140625" customWidth="1"/>
    <col min="9" max="9" width="15.88671875" customWidth="1"/>
    <col min="10" max="10" width="15.44140625" customWidth="1"/>
    <col min="11" max="11" width="14.5546875" customWidth="1"/>
    <col min="12" max="12" width="13.88671875" customWidth="1"/>
    <col min="13" max="13" width="15.109375" customWidth="1"/>
  </cols>
  <sheetData>
    <row r="1" spans="1:13" ht="15.6" x14ac:dyDescent="0.3">
      <c r="A1" s="33" t="s">
        <v>614</v>
      </c>
      <c r="B1" s="34">
        <v>423.56</v>
      </c>
      <c r="D1" s="600" t="s">
        <v>72</v>
      </c>
      <c r="E1" s="600" t="s">
        <v>0</v>
      </c>
      <c r="F1" s="601" t="s">
        <v>21</v>
      </c>
      <c r="G1" s="602" t="s">
        <v>1</v>
      </c>
      <c r="H1" s="601" t="s">
        <v>615</v>
      </c>
      <c r="I1" s="601" t="s">
        <v>616</v>
      </c>
      <c r="J1" s="601" t="s">
        <v>22</v>
      </c>
      <c r="K1" s="601" t="s">
        <v>23</v>
      </c>
      <c r="L1" s="601" t="s">
        <v>24</v>
      </c>
      <c r="M1" s="598" t="s">
        <v>75</v>
      </c>
    </row>
    <row r="2" spans="1:13" ht="15.6" x14ac:dyDescent="0.3">
      <c r="A2" s="35" t="s">
        <v>25</v>
      </c>
      <c r="B2" s="99">
        <f>B1/705</f>
        <v>0.60079432624113471</v>
      </c>
      <c r="D2" s="600"/>
      <c r="E2" s="600"/>
      <c r="F2" s="601"/>
      <c r="G2" s="603"/>
      <c r="H2" s="601"/>
      <c r="I2" s="601"/>
      <c r="J2" s="601"/>
      <c r="K2" s="601"/>
      <c r="L2" s="601"/>
      <c r="M2" s="598"/>
    </row>
    <row r="3" spans="1:13" ht="15.6" x14ac:dyDescent="0.3">
      <c r="A3" s="35"/>
      <c r="B3" s="99"/>
      <c r="D3" s="39" t="s">
        <v>397</v>
      </c>
      <c r="E3" s="38">
        <v>1</v>
      </c>
      <c r="F3" s="170">
        <v>25</v>
      </c>
      <c r="G3" s="171">
        <v>580</v>
      </c>
      <c r="H3" s="43">
        <f>F3*B2</f>
        <v>15.019858156028368</v>
      </c>
      <c r="I3" s="172">
        <f>H3/12</f>
        <v>1.2516548463356973</v>
      </c>
      <c r="J3" s="171">
        <v>118.18</v>
      </c>
      <c r="K3" s="172">
        <f>J3/6</f>
        <v>19.696666666666669</v>
      </c>
      <c r="L3" s="43">
        <f>G3+I3+K3</f>
        <v>600.94832151300238</v>
      </c>
      <c r="M3" s="173">
        <v>44736</v>
      </c>
    </row>
    <row r="4" spans="1:13" ht="15.6" x14ac:dyDescent="0.3">
      <c r="A4" s="33"/>
      <c r="B4" s="34"/>
      <c r="D4" s="107" t="s">
        <v>434</v>
      </c>
      <c r="E4" s="38">
        <v>2</v>
      </c>
      <c r="F4" s="39">
        <v>25</v>
      </c>
      <c r="G4" s="44">
        <v>580</v>
      </c>
      <c r="H4" s="43">
        <f>F4*B2</f>
        <v>15.019858156028368</v>
      </c>
      <c r="I4" s="172">
        <f t="shared" ref="I4:I29" si="0">H4/12</f>
        <v>1.2516548463356973</v>
      </c>
      <c r="J4" s="44">
        <v>118.18</v>
      </c>
      <c r="K4" s="43">
        <f t="shared" ref="K4:K25" si="1">J4/6</f>
        <v>19.696666666666669</v>
      </c>
      <c r="L4" s="105">
        <f>G4+I4+K4</f>
        <v>600.94832151300238</v>
      </c>
      <c r="M4" s="106" t="s">
        <v>435</v>
      </c>
    </row>
    <row r="5" spans="1:13" ht="15.6" x14ac:dyDescent="0.3">
      <c r="D5" s="107" t="s">
        <v>438</v>
      </c>
      <c r="E5" s="38">
        <v>3</v>
      </c>
      <c r="F5" s="39">
        <v>25</v>
      </c>
      <c r="G5" s="44">
        <v>550</v>
      </c>
      <c r="H5" s="43">
        <f>F5*B2</f>
        <v>15.019858156028368</v>
      </c>
      <c r="I5" s="172">
        <f t="shared" si="0"/>
        <v>1.2516548463356973</v>
      </c>
      <c r="J5" s="97">
        <v>117.85</v>
      </c>
      <c r="K5" s="43">
        <f t="shared" si="1"/>
        <v>19.641666666666666</v>
      </c>
      <c r="L5" s="105">
        <f>G5+I5+K5</f>
        <v>570.89332151300232</v>
      </c>
      <c r="M5" s="106">
        <v>44770</v>
      </c>
    </row>
    <row r="6" spans="1:13" ht="15.6" x14ac:dyDescent="0.3">
      <c r="D6" s="107" t="s">
        <v>263</v>
      </c>
      <c r="E6" s="38">
        <v>4</v>
      </c>
      <c r="F6" s="39">
        <v>25</v>
      </c>
      <c r="G6" s="44">
        <v>550</v>
      </c>
      <c r="H6" s="43">
        <f>F6*B2</f>
        <v>15.019858156028368</v>
      </c>
      <c r="I6" s="172">
        <f t="shared" si="0"/>
        <v>1.2516548463356973</v>
      </c>
      <c r="J6" s="44">
        <v>117.85</v>
      </c>
      <c r="K6" s="43">
        <f t="shared" si="1"/>
        <v>19.641666666666666</v>
      </c>
      <c r="L6" s="105">
        <f t="shared" ref="L6:L15" si="2">G6+I6+K6</f>
        <v>570.89332151300232</v>
      </c>
      <c r="M6" s="106">
        <v>44609</v>
      </c>
    </row>
    <row r="7" spans="1:13" ht="15.6" x14ac:dyDescent="0.3">
      <c r="D7" s="107" t="s">
        <v>625</v>
      </c>
      <c r="E7" s="38">
        <v>5</v>
      </c>
      <c r="F7" s="39">
        <v>25</v>
      </c>
      <c r="G7" s="44">
        <v>580</v>
      </c>
      <c r="H7" s="43">
        <f>F7*B2</f>
        <v>15.019858156028368</v>
      </c>
      <c r="I7" s="172">
        <f t="shared" si="0"/>
        <v>1.2516548463356973</v>
      </c>
      <c r="J7" s="44">
        <v>118.18</v>
      </c>
      <c r="K7" s="43">
        <f t="shared" si="1"/>
        <v>19.696666666666669</v>
      </c>
      <c r="L7" s="105">
        <f>G7+I7+K7</f>
        <v>600.94832151300238</v>
      </c>
      <c r="M7" s="106">
        <v>44952</v>
      </c>
    </row>
    <row r="8" spans="1:13" ht="15.6" x14ac:dyDescent="0.3">
      <c r="D8" s="107" t="s">
        <v>627</v>
      </c>
      <c r="E8" s="38">
        <v>6</v>
      </c>
      <c r="F8" s="38">
        <v>35</v>
      </c>
      <c r="G8" s="44">
        <v>680</v>
      </c>
      <c r="H8" s="43">
        <f>F8*B2</f>
        <v>21.027801418439715</v>
      </c>
      <c r="I8" s="172">
        <f t="shared" si="0"/>
        <v>1.7523167848699763</v>
      </c>
      <c r="J8" s="44"/>
      <c r="K8" s="43"/>
      <c r="L8" s="105"/>
      <c r="M8" s="106">
        <v>44957</v>
      </c>
    </row>
    <row r="9" spans="1:13" ht="15.6" x14ac:dyDescent="0.3">
      <c r="D9" s="107" t="s">
        <v>442</v>
      </c>
      <c r="E9" s="38">
        <v>7</v>
      </c>
      <c r="F9" s="39">
        <v>25</v>
      </c>
      <c r="G9" s="44">
        <v>580</v>
      </c>
      <c r="H9" s="43">
        <f>F9*B2</f>
        <v>15.019858156028368</v>
      </c>
      <c r="I9" s="172">
        <f t="shared" si="0"/>
        <v>1.2516548463356973</v>
      </c>
      <c r="J9" s="44">
        <v>118.18</v>
      </c>
      <c r="K9" s="43">
        <f t="shared" si="1"/>
        <v>19.696666666666669</v>
      </c>
      <c r="L9" s="97">
        <f t="shared" si="2"/>
        <v>600.94832151300238</v>
      </c>
      <c r="M9" s="106">
        <v>44748</v>
      </c>
    </row>
    <row r="10" spans="1:13" ht="15.6" x14ac:dyDescent="0.3">
      <c r="D10" s="107" t="s">
        <v>493</v>
      </c>
      <c r="E10" s="38">
        <v>8</v>
      </c>
      <c r="F10" s="39">
        <v>25</v>
      </c>
      <c r="G10" s="44">
        <v>580</v>
      </c>
      <c r="H10" s="43">
        <f>F10*B2</f>
        <v>15.019858156028368</v>
      </c>
      <c r="I10" s="172">
        <f t="shared" si="0"/>
        <v>1.2516548463356973</v>
      </c>
      <c r="J10" s="44">
        <v>118.18</v>
      </c>
      <c r="K10" s="43">
        <f>J10/6</f>
        <v>19.696666666666669</v>
      </c>
      <c r="L10" s="43">
        <f>G10+I10+K10</f>
        <v>600.94832151300238</v>
      </c>
      <c r="M10" s="106">
        <v>44778</v>
      </c>
    </row>
    <row r="11" spans="1:13" ht="15.6" x14ac:dyDescent="0.3">
      <c r="D11" s="107" t="s">
        <v>246</v>
      </c>
      <c r="E11" s="38">
        <v>9</v>
      </c>
      <c r="F11" s="39">
        <v>25</v>
      </c>
      <c r="G11" s="44">
        <v>580</v>
      </c>
      <c r="H11" s="43">
        <f>F11*B2</f>
        <v>15.019858156028368</v>
      </c>
      <c r="I11" s="172">
        <f t="shared" si="0"/>
        <v>1.2516548463356973</v>
      </c>
      <c r="J11" s="42">
        <v>118.18</v>
      </c>
      <c r="K11" s="97">
        <f t="shared" si="1"/>
        <v>19.696666666666669</v>
      </c>
      <c r="L11" s="43">
        <f t="shared" si="2"/>
        <v>600.94832151300238</v>
      </c>
      <c r="M11" s="106">
        <v>44581</v>
      </c>
    </row>
    <row r="12" spans="1:13" ht="15.6" x14ac:dyDescent="0.3">
      <c r="D12" s="39" t="s">
        <v>402</v>
      </c>
      <c r="E12" s="38">
        <v>10</v>
      </c>
      <c r="F12" s="170">
        <v>25</v>
      </c>
      <c r="G12" s="171">
        <v>550</v>
      </c>
      <c r="H12" s="43">
        <f>F12*B2</f>
        <v>15.019858156028368</v>
      </c>
      <c r="I12" s="172">
        <f t="shared" si="0"/>
        <v>1.2516548463356973</v>
      </c>
      <c r="J12" s="171">
        <v>117.85</v>
      </c>
      <c r="K12" s="172">
        <f>J12/6</f>
        <v>19.641666666666666</v>
      </c>
      <c r="L12" s="43">
        <f>G12+I12+K12</f>
        <v>570.89332151300232</v>
      </c>
      <c r="M12" s="173">
        <v>44718</v>
      </c>
    </row>
    <row r="13" spans="1:13" ht="15.6" x14ac:dyDescent="0.3">
      <c r="D13" s="107" t="s">
        <v>321</v>
      </c>
      <c r="E13" s="38">
        <v>11</v>
      </c>
      <c r="F13" s="39">
        <v>25</v>
      </c>
      <c r="G13" s="44">
        <v>550</v>
      </c>
      <c r="H13" s="43">
        <f>F13*B2</f>
        <v>15.019858156028368</v>
      </c>
      <c r="I13" s="172">
        <f t="shared" si="0"/>
        <v>1.2516548463356973</v>
      </c>
      <c r="J13" s="42">
        <v>117.85</v>
      </c>
      <c r="K13" s="154">
        <f t="shared" si="1"/>
        <v>19.641666666666666</v>
      </c>
      <c r="L13" s="43">
        <f t="shared" si="2"/>
        <v>570.89332151300232</v>
      </c>
      <c r="M13" s="106">
        <v>44652</v>
      </c>
    </row>
    <row r="14" spans="1:13" ht="15.6" x14ac:dyDescent="0.3">
      <c r="D14" s="107" t="s">
        <v>566</v>
      </c>
      <c r="E14" s="38">
        <v>12</v>
      </c>
      <c r="F14" s="39">
        <v>25</v>
      </c>
      <c r="G14" s="44">
        <v>550</v>
      </c>
      <c r="H14" s="43">
        <f>F14*B2</f>
        <v>15.019858156028368</v>
      </c>
      <c r="I14" s="172">
        <f t="shared" si="0"/>
        <v>1.2516548463356973</v>
      </c>
      <c r="J14" s="43">
        <v>117.85</v>
      </c>
      <c r="K14" s="154">
        <f t="shared" si="1"/>
        <v>19.641666666666666</v>
      </c>
      <c r="L14" s="43">
        <f t="shared" si="2"/>
        <v>570.89332151300232</v>
      </c>
      <c r="M14" s="174">
        <v>44722</v>
      </c>
    </row>
    <row r="15" spans="1:13" ht="15.6" x14ac:dyDescent="0.3">
      <c r="D15" s="107" t="s">
        <v>362</v>
      </c>
      <c r="E15" s="38">
        <v>13</v>
      </c>
      <c r="F15" s="39">
        <v>25</v>
      </c>
      <c r="G15" s="44">
        <v>550</v>
      </c>
      <c r="H15" s="43">
        <f>F15*B2</f>
        <v>15.019858156028368</v>
      </c>
      <c r="I15" s="172">
        <f t="shared" si="0"/>
        <v>1.2516548463356973</v>
      </c>
      <c r="J15" s="44">
        <v>117.85</v>
      </c>
      <c r="K15" s="43">
        <f t="shared" si="1"/>
        <v>19.641666666666666</v>
      </c>
      <c r="L15" s="43">
        <f t="shared" si="2"/>
        <v>570.89332151300232</v>
      </c>
      <c r="M15" s="106">
        <v>44708</v>
      </c>
    </row>
    <row r="16" spans="1:13" ht="15.6" x14ac:dyDescent="0.3">
      <c r="D16" s="39" t="s">
        <v>559</v>
      </c>
      <c r="E16" s="38">
        <v>14</v>
      </c>
      <c r="F16" s="170">
        <v>25</v>
      </c>
      <c r="G16" s="171">
        <v>580</v>
      </c>
      <c r="H16" s="43">
        <f>F16*B2</f>
        <v>15.019858156028368</v>
      </c>
      <c r="I16" s="172">
        <f t="shared" si="0"/>
        <v>1.2516548463356973</v>
      </c>
      <c r="J16" s="171">
        <v>118.18</v>
      </c>
      <c r="K16" s="172">
        <f>J16/6</f>
        <v>19.696666666666669</v>
      </c>
      <c r="L16" s="43">
        <f>G16+I16+K16</f>
        <v>600.94832151300238</v>
      </c>
      <c r="M16" s="173">
        <v>44861</v>
      </c>
    </row>
    <row r="17" spans="4:13" ht="15.6" x14ac:dyDescent="0.3">
      <c r="D17" s="107" t="s">
        <v>272</v>
      </c>
      <c r="E17" s="38">
        <v>15</v>
      </c>
      <c r="F17" s="38">
        <v>35</v>
      </c>
      <c r="G17" s="44">
        <v>650</v>
      </c>
      <c r="H17" s="43">
        <f>F17*B2</f>
        <v>21.027801418439715</v>
      </c>
      <c r="I17" s="172">
        <f t="shared" si="0"/>
        <v>1.7523167848699763</v>
      </c>
      <c r="J17" s="44">
        <v>119.02</v>
      </c>
      <c r="K17" s="43">
        <f>J17/6</f>
        <v>19.836666666666666</v>
      </c>
      <c r="L17" s="43">
        <f>G17+I17+K17</f>
        <v>671.58898345153671</v>
      </c>
      <c r="M17" s="106">
        <v>44615</v>
      </c>
    </row>
    <row r="18" spans="4:13" ht="15.6" x14ac:dyDescent="0.3">
      <c r="D18" s="107" t="s">
        <v>100</v>
      </c>
      <c r="E18" s="38">
        <v>16</v>
      </c>
      <c r="F18" s="39">
        <v>25</v>
      </c>
      <c r="G18" s="44">
        <v>640</v>
      </c>
      <c r="H18" s="97">
        <f>F18*B2</f>
        <v>15.019858156028368</v>
      </c>
      <c r="I18" s="172">
        <f t="shared" si="0"/>
        <v>1.2516548463356973</v>
      </c>
      <c r="J18" s="44">
        <v>118.87</v>
      </c>
      <c r="K18" s="97">
        <f t="shared" si="1"/>
        <v>19.811666666666667</v>
      </c>
      <c r="L18" s="43">
        <f t="shared" ref="L18:L28" si="3">G18+I18+K18</f>
        <v>661.06332151300239</v>
      </c>
      <c r="M18" s="106"/>
    </row>
    <row r="19" spans="4:13" ht="15.6" x14ac:dyDescent="0.3">
      <c r="D19" s="107" t="s">
        <v>392</v>
      </c>
      <c r="E19" s="38">
        <v>17</v>
      </c>
      <c r="F19" s="39">
        <v>25</v>
      </c>
      <c r="G19" s="44">
        <v>580</v>
      </c>
      <c r="H19" s="43">
        <f>F19*B2</f>
        <v>15.019858156028368</v>
      </c>
      <c r="I19" s="172">
        <f t="shared" si="0"/>
        <v>1.2516548463356973</v>
      </c>
      <c r="J19" s="44">
        <v>118.18</v>
      </c>
      <c r="K19" s="43">
        <f>J19/6</f>
        <v>19.696666666666669</v>
      </c>
      <c r="L19" s="43">
        <f>G19+I19+K19</f>
        <v>600.94832151300238</v>
      </c>
      <c r="M19" s="106">
        <v>44720</v>
      </c>
    </row>
    <row r="20" spans="4:13" ht="15.6" x14ac:dyDescent="0.3">
      <c r="D20" s="107" t="s">
        <v>602</v>
      </c>
      <c r="E20" s="38">
        <v>18</v>
      </c>
      <c r="F20" s="39">
        <v>25</v>
      </c>
      <c r="G20" s="44">
        <v>640</v>
      </c>
      <c r="H20" s="43">
        <f>F20*B2</f>
        <v>15.019858156028368</v>
      </c>
      <c r="I20" s="172">
        <f t="shared" si="0"/>
        <v>1.2516548463356973</v>
      </c>
      <c r="J20" s="44">
        <v>118.92</v>
      </c>
      <c r="K20" s="43">
        <f>J20/6</f>
        <v>19.82</v>
      </c>
      <c r="L20" s="43">
        <f>G20+I20+K20</f>
        <v>661.07165484633572</v>
      </c>
      <c r="M20" s="106">
        <v>44900</v>
      </c>
    </row>
    <row r="21" spans="4:13" ht="15.6" x14ac:dyDescent="0.3">
      <c r="D21" s="107" t="s">
        <v>500</v>
      </c>
      <c r="E21" s="38">
        <v>19</v>
      </c>
      <c r="F21" s="39">
        <v>25</v>
      </c>
      <c r="G21" s="44">
        <v>550</v>
      </c>
      <c r="H21" s="43">
        <f>F21*B2</f>
        <v>15.019858156028368</v>
      </c>
      <c r="I21" s="172">
        <f t="shared" si="0"/>
        <v>1.2516548463356973</v>
      </c>
      <c r="J21" s="44">
        <v>117.85</v>
      </c>
      <c r="K21" s="43">
        <f>J21/6</f>
        <v>19.641666666666666</v>
      </c>
      <c r="L21" s="43">
        <f>G21+I21+K21</f>
        <v>570.89332151300232</v>
      </c>
      <c r="M21" s="106">
        <v>44799</v>
      </c>
    </row>
    <row r="22" spans="4:13" ht="15.6" x14ac:dyDescent="0.3">
      <c r="D22" s="110" t="s">
        <v>345</v>
      </c>
      <c r="E22" s="38">
        <v>20</v>
      </c>
      <c r="F22" s="39">
        <v>25</v>
      </c>
      <c r="G22" s="44">
        <v>660</v>
      </c>
      <c r="H22" s="43">
        <f>F22*B2</f>
        <v>15.019858156028368</v>
      </c>
      <c r="I22" s="172">
        <f t="shared" si="0"/>
        <v>1.2516548463356973</v>
      </c>
      <c r="J22" s="44">
        <v>119.12</v>
      </c>
      <c r="K22" s="43">
        <f t="shared" si="1"/>
        <v>19.853333333333335</v>
      </c>
      <c r="L22" s="43">
        <f t="shared" si="3"/>
        <v>681.10498817966902</v>
      </c>
      <c r="M22" s="106">
        <v>44694</v>
      </c>
    </row>
    <row r="23" spans="4:13" ht="15.6" x14ac:dyDescent="0.3">
      <c r="D23" s="110" t="s">
        <v>346</v>
      </c>
      <c r="E23" s="38">
        <v>21</v>
      </c>
      <c r="F23" s="39">
        <v>25</v>
      </c>
      <c r="G23" s="44">
        <v>500</v>
      </c>
      <c r="H23" s="43">
        <f>F23*B2</f>
        <v>15.019858156028368</v>
      </c>
      <c r="I23" s="172">
        <f t="shared" si="0"/>
        <v>1.2516548463356973</v>
      </c>
      <c r="J23" s="44">
        <v>117.26</v>
      </c>
      <c r="K23" s="43">
        <f t="shared" si="1"/>
        <v>19.543333333333333</v>
      </c>
      <c r="L23" s="43">
        <f t="shared" si="3"/>
        <v>520.79498817966908</v>
      </c>
      <c r="M23" s="106">
        <v>44694</v>
      </c>
    </row>
    <row r="24" spans="4:13" ht="15.6" x14ac:dyDescent="0.3">
      <c r="D24" s="110" t="s">
        <v>119</v>
      </c>
      <c r="E24" s="38">
        <v>22</v>
      </c>
      <c r="F24" s="39">
        <v>25</v>
      </c>
      <c r="G24" s="44">
        <v>500</v>
      </c>
      <c r="H24" s="43">
        <f>F24*B2</f>
        <v>15.019858156028368</v>
      </c>
      <c r="I24" s="172">
        <f t="shared" si="0"/>
        <v>1.2516548463356973</v>
      </c>
      <c r="J24" s="44">
        <v>117.26</v>
      </c>
      <c r="K24" s="43">
        <f t="shared" si="1"/>
        <v>19.543333333333333</v>
      </c>
      <c r="L24" s="43">
        <f t="shared" si="3"/>
        <v>520.79498817966908</v>
      </c>
      <c r="M24" s="106">
        <v>44694</v>
      </c>
    </row>
    <row r="25" spans="4:13" ht="15.6" x14ac:dyDescent="0.3">
      <c r="D25" s="110" t="s">
        <v>347</v>
      </c>
      <c r="E25" s="38">
        <v>23</v>
      </c>
      <c r="F25" s="39">
        <v>25</v>
      </c>
      <c r="G25" s="44">
        <v>550</v>
      </c>
      <c r="H25" s="43">
        <f>F25*B2</f>
        <v>15.019858156028368</v>
      </c>
      <c r="I25" s="172">
        <f t="shared" si="0"/>
        <v>1.2516548463356973</v>
      </c>
      <c r="J25" s="42">
        <v>117.85</v>
      </c>
      <c r="K25" s="42">
        <f t="shared" si="1"/>
        <v>19.641666666666666</v>
      </c>
      <c r="L25" s="43">
        <f t="shared" si="3"/>
        <v>570.89332151300232</v>
      </c>
      <c r="M25" s="106">
        <v>44701</v>
      </c>
    </row>
    <row r="26" spans="4:13" ht="15.6" x14ac:dyDescent="0.3">
      <c r="D26" s="107" t="s">
        <v>267</v>
      </c>
      <c r="E26" s="38">
        <v>24</v>
      </c>
      <c r="F26" s="38">
        <v>35</v>
      </c>
      <c r="G26" s="44">
        <v>650</v>
      </c>
      <c r="H26" s="43">
        <f>F26*B2</f>
        <v>21.027801418439715</v>
      </c>
      <c r="I26" s="172">
        <f t="shared" si="0"/>
        <v>1.7523167848699763</v>
      </c>
      <c r="J26" s="42">
        <v>119.02</v>
      </c>
      <c r="K26" s="42">
        <f>J26/6</f>
        <v>19.836666666666666</v>
      </c>
      <c r="L26" s="43">
        <f>G26+I26+K26</f>
        <v>671.58898345153671</v>
      </c>
      <c r="M26" s="106">
        <v>44593</v>
      </c>
    </row>
    <row r="27" spans="4:13" ht="15.6" x14ac:dyDescent="0.3">
      <c r="D27" s="107" t="s">
        <v>563</v>
      </c>
      <c r="E27" s="38">
        <v>25</v>
      </c>
      <c r="F27" s="39">
        <v>25</v>
      </c>
      <c r="G27" s="44">
        <v>610</v>
      </c>
      <c r="H27" s="43">
        <f>F27*B2</f>
        <v>15.019858156028368</v>
      </c>
      <c r="I27" s="172">
        <f t="shared" si="0"/>
        <v>1.2516548463356973</v>
      </c>
      <c r="J27" s="44">
        <v>118.53</v>
      </c>
      <c r="K27" s="43">
        <f>J27/6</f>
        <v>19.754999999999999</v>
      </c>
      <c r="L27" s="43">
        <f>G27+I27+K27</f>
        <v>631.00665484633566</v>
      </c>
      <c r="M27" s="106">
        <v>44853</v>
      </c>
    </row>
    <row r="28" spans="4:13" ht="15.6" x14ac:dyDescent="0.3">
      <c r="D28" s="107" t="s">
        <v>348</v>
      </c>
      <c r="E28" s="38">
        <v>26</v>
      </c>
      <c r="F28" s="39">
        <v>25</v>
      </c>
      <c r="G28" s="44">
        <v>560</v>
      </c>
      <c r="H28" s="43">
        <f>F28*B2</f>
        <v>15.019858156028368</v>
      </c>
      <c r="I28" s="172">
        <f t="shared" si="0"/>
        <v>1.2516548463356973</v>
      </c>
      <c r="J28" s="42">
        <v>117.95</v>
      </c>
      <c r="K28" s="42">
        <f>J28/6</f>
        <v>19.658333333333335</v>
      </c>
      <c r="L28" s="43">
        <f t="shared" si="3"/>
        <v>580.90998817966897</v>
      </c>
      <c r="M28" s="106">
        <v>44687</v>
      </c>
    </row>
    <row r="29" spans="4:13" ht="15.6" x14ac:dyDescent="0.3">
      <c r="D29" s="107" t="s">
        <v>349</v>
      </c>
      <c r="E29" s="38">
        <v>27</v>
      </c>
      <c r="F29" s="39">
        <v>25</v>
      </c>
      <c r="G29" s="44">
        <v>580</v>
      </c>
      <c r="H29" s="43">
        <f>F29*B2</f>
        <v>15.019858156028368</v>
      </c>
      <c r="I29" s="172">
        <f t="shared" si="0"/>
        <v>1.2516548463356973</v>
      </c>
      <c r="J29" s="44">
        <v>118.18</v>
      </c>
      <c r="K29" s="43">
        <f>J29/6</f>
        <v>19.696666666666669</v>
      </c>
      <c r="L29" s="43">
        <f>G29+I29+K29</f>
        <v>600.94832151300238</v>
      </c>
      <c r="M29" s="106">
        <v>44687</v>
      </c>
    </row>
    <row r="30" spans="4:13" ht="15.6" x14ac:dyDescent="0.3">
      <c r="D30" s="103"/>
      <c r="E30" s="36" t="s">
        <v>4</v>
      </c>
      <c r="F30" s="35">
        <f>SUM(F3:F29)</f>
        <v>705</v>
      </c>
      <c r="G30" s="164"/>
      <c r="H30" s="37">
        <f>SUM(H3:H29)</f>
        <v>423.55999999999989</v>
      </c>
      <c r="I30" s="37">
        <f>SUM(I3:I29)</f>
        <v>35.29666666666666</v>
      </c>
      <c r="J30" s="33"/>
      <c r="K30" s="33"/>
      <c r="L30" s="33"/>
      <c r="M30" s="163">
        <v>44687</v>
      </c>
    </row>
    <row r="33" spans="4:13" s="169" customFormat="1" ht="15.6" x14ac:dyDescent="0.3">
      <c r="D33" s="39" t="s">
        <v>636</v>
      </c>
      <c r="E33" s="38">
        <v>1</v>
      </c>
      <c r="F33" s="170">
        <v>25</v>
      </c>
      <c r="G33" s="171">
        <v>580</v>
      </c>
      <c r="H33" s="43">
        <f>F33*B2</f>
        <v>15.019858156028368</v>
      </c>
      <c r="I33" s="172">
        <f>H33/12</f>
        <v>1.2516548463356973</v>
      </c>
      <c r="J33" s="171">
        <v>118.08</v>
      </c>
      <c r="K33" s="172">
        <f t="shared" ref="K33:K38" si="4">J33/6</f>
        <v>19.68</v>
      </c>
      <c r="L33" s="43">
        <f t="shared" ref="L33:L39" si="5">G33+I33+K33</f>
        <v>600.93165484633562</v>
      </c>
      <c r="M33" s="173">
        <v>44963</v>
      </c>
    </row>
    <row r="34" spans="4:13" s="169" customFormat="1" ht="15.6" x14ac:dyDescent="0.3">
      <c r="D34" s="39" t="s">
        <v>766</v>
      </c>
      <c r="E34" s="38">
        <v>1</v>
      </c>
      <c r="F34" s="170">
        <v>25</v>
      </c>
      <c r="G34" s="171">
        <v>550</v>
      </c>
      <c r="H34" s="43">
        <f>F34*B2</f>
        <v>15.019858156028368</v>
      </c>
      <c r="I34" s="172">
        <f>H34/12</f>
        <v>1.2516548463356973</v>
      </c>
      <c r="J34" s="171">
        <v>117.9</v>
      </c>
      <c r="K34" s="172">
        <f t="shared" si="4"/>
        <v>19.650000000000002</v>
      </c>
      <c r="L34" s="43">
        <f t="shared" si="5"/>
        <v>570.90165484633565</v>
      </c>
      <c r="M34" s="173">
        <v>45112</v>
      </c>
    </row>
    <row r="35" spans="4:13" s="169" customFormat="1" ht="15.6" x14ac:dyDescent="0.3">
      <c r="D35" s="39" t="s">
        <v>791</v>
      </c>
      <c r="E35" s="38">
        <v>7</v>
      </c>
      <c r="F35" s="170">
        <v>25</v>
      </c>
      <c r="G35" s="171">
        <v>610</v>
      </c>
      <c r="H35" s="43">
        <f>F35*B2</f>
        <v>15.019858156028368</v>
      </c>
      <c r="I35" s="172">
        <f>H35/12</f>
        <v>1.2516548463356973</v>
      </c>
      <c r="J35" s="171">
        <v>118.68</v>
      </c>
      <c r="K35" s="172">
        <f t="shared" si="4"/>
        <v>19.78</v>
      </c>
      <c r="L35" s="43">
        <f t="shared" si="5"/>
        <v>631.03165484633564</v>
      </c>
      <c r="M35" s="173">
        <v>45121</v>
      </c>
    </row>
    <row r="36" spans="4:13" s="169" customFormat="1" ht="15.6" x14ac:dyDescent="0.3">
      <c r="D36" s="107" t="s">
        <v>705</v>
      </c>
      <c r="E36" s="38">
        <v>15</v>
      </c>
      <c r="F36" s="38">
        <v>35</v>
      </c>
      <c r="G36" s="44">
        <v>680</v>
      </c>
      <c r="H36" s="43">
        <f>F36*B2</f>
        <v>21.027801418439715</v>
      </c>
      <c r="I36" s="172">
        <f>H36/12</f>
        <v>1.7523167848699763</v>
      </c>
      <c r="J36" s="44">
        <v>119.02</v>
      </c>
      <c r="K36" s="43">
        <f t="shared" si="4"/>
        <v>19.836666666666666</v>
      </c>
      <c r="L36" s="43">
        <f t="shared" si="5"/>
        <v>701.58898345153671</v>
      </c>
      <c r="M36" s="106">
        <v>45070</v>
      </c>
    </row>
    <row r="37" spans="4:13" ht="15.6" x14ac:dyDescent="0.3">
      <c r="D37" s="39" t="s">
        <v>665</v>
      </c>
      <c r="E37" s="38">
        <v>16</v>
      </c>
      <c r="F37" s="170">
        <v>25</v>
      </c>
      <c r="G37" s="171">
        <v>610</v>
      </c>
      <c r="H37" s="43">
        <f>F37*B2</f>
        <v>15.019858156028368</v>
      </c>
      <c r="I37" s="172">
        <f t="shared" ref="I37:I42" si="6">H37/12</f>
        <v>1.2516548463356973</v>
      </c>
      <c r="J37" s="171">
        <v>118.68</v>
      </c>
      <c r="K37" s="172">
        <f t="shared" si="4"/>
        <v>19.78</v>
      </c>
      <c r="L37" s="43">
        <f t="shared" si="5"/>
        <v>631.03165484633564</v>
      </c>
      <c r="M37" s="173">
        <v>44995</v>
      </c>
    </row>
    <row r="38" spans="4:13" ht="15.6" x14ac:dyDescent="0.3">
      <c r="D38" s="39" t="s">
        <v>731</v>
      </c>
      <c r="E38" s="38">
        <v>19</v>
      </c>
      <c r="F38" s="170">
        <v>25</v>
      </c>
      <c r="G38" s="171">
        <v>610</v>
      </c>
      <c r="H38" s="43">
        <f>F38*B2</f>
        <v>15.019858156028368</v>
      </c>
      <c r="I38" s="172">
        <f t="shared" si="6"/>
        <v>1.2516548463356973</v>
      </c>
      <c r="J38" s="171">
        <v>118.53</v>
      </c>
      <c r="K38" s="172">
        <f t="shared" si="4"/>
        <v>19.754999999999999</v>
      </c>
      <c r="L38" s="43">
        <f t="shared" si="5"/>
        <v>631.00665484633566</v>
      </c>
      <c r="M38" s="173">
        <v>45090</v>
      </c>
    </row>
    <row r="39" spans="4:13" ht="15.6" x14ac:dyDescent="0.3">
      <c r="D39" s="39" t="s">
        <v>788</v>
      </c>
      <c r="E39" s="38">
        <v>21</v>
      </c>
      <c r="F39" s="170">
        <v>25</v>
      </c>
      <c r="G39" s="171">
        <v>580</v>
      </c>
      <c r="H39" s="43">
        <f>F39*B2</f>
        <v>15.019858156028368</v>
      </c>
      <c r="I39" s="172">
        <f t="shared" si="6"/>
        <v>1.2516548463356973</v>
      </c>
      <c r="J39" s="171">
        <v>118.08</v>
      </c>
      <c r="K39" s="172">
        <f>J39/6</f>
        <v>19.68</v>
      </c>
      <c r="L39" s="43">
        <f t="shared" si="5"/>
        <v>600.93165484633562</v>
      </c>
      <c r="M39" s="173">
        <v>45114</v>
      </c>
    </row>
    <row r="40" spans="4:13" ht="15.6" x14ac:dyDescent="0.3">
      <c r="D40" s="101" t="s">
        <v>831</v>
      </c>
      <c r="E40" s="213">
        <v>4</v>
      </c>
      <c r="F40" s="101">
        <v>25</v>
      </c>
      <c r="G40" s="214">
        <v>610</v>
      </c>
      <c r="H40" s="43">
        <f>F40*B2</f>
        <v>15.019858156028368</v>
      </c>
      <c r="I40" s="172">
        <f t="shared" si="6"/>
        <v>1.2516548463356973</v>
      </c>
      <c r="J40" s="214">
        <v>118.53</v>
      </c>
      <c r="K40" s="172">
        <f>J40/6</f>
        <v>19.754999999999999</v>
      </c>
      <c r="L40" s="43">
        <f>G40+I40+K40</f>
        <v>631.00665484633566</v>
      </c>
      <c r="M40" s="215">
        <v>45205</v>
      </c>
    </row>
    <row r="41" spans="4:13" ht="15.6" x14ac:dyDescent="0.3">
      <c r="D41" s="101" t="s">
        <v>833</v>
      </c>
      <c r="E41" s="213">
        <v>24</v>
      </c>
      <c r="F41" s="101">
        <v>35</v>
      </c>
      <c r="G41" s="214">
        <v>680</v>
      </c>
      <c r="H41" s="43">
        <f>F41*B2</f>
        <v>21.027801418439715</v>
      </c>
      <c r="I41" s="172">
        <f t="shared" si="6"/>
        <v>1.7523167848699763</v>
      </c>
      <c r="J41" s="214">
        <v>119.02</v>
      </c>
      <c r="K41" s="172">
        <v>19.91</v>
      </c>
      <c r="L41" s="43">
        <f>G41+I41+K41</f>
        <v>701.66231678486997</v>
      </c>
      <c r="M41" s="215">
        <v>45205</v>
      </c>
    </row>
    <row r="42" spans="4:13" ht="15.6" x14ac:dyDescent="0.3">
      <c r="D42" s="39" t="s">
        <v>852</v>
      </c>
      <c r="E42" s="38">
        <v>9</v>
      </c>
      <c r="F42" s="39">
        <v>25</v>
      </c>
      <c r="G42" s="214">
        <v>640</v>
      </c>
      <c r="H42" s="43">
        <f>F42*B2</f>
        <v>15.019858156028368</v>
      </c>
      <c r="I42" s="172">
        <f t="shared" si="6"/>
        <v>1.2516548463356973</v>
      </c>
      <c r="J42" s="214">
        <v>118.87</v>
      </c>
      <c r="K42" s="172">
        <f>J42/6</f>
        <v>19.811666666666667</v>
      </c>
      <c r="L42" s="43">
        <f>G42+I42+K42</f>
        <v>661.06332151300239</v>
      </c>
      <c r="M42" s="215">
        <v>45237</v>
      </c>
    </row>
  </sheetData>
  <mergeCells count="10">
    <mergeCell ref="D1:D2"/>
    <mergeCell ref="E1:E2"/>
    <mergeCell ref="F1:F2"/>
    <mergeCell ref="G1:G2"/>
    <mergeCell ref="H1:H2"/>
    <mergeCell ref="J1:J2"/>
    <mergeCell ref="K1:K2"/>
    <mergeCell ref="L1:L2"/>
    <mergeCell ref="M1:M2"/>
    <mergeCell ref="I1:I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13910-C567-4F30-A78A-94C10E41FDB9}">
  <dimension ref="A1:N45"/>
  <sheetViews>
    <sheetView topLeftCell="A16" zoomScale="70" zoomScaleNormal="70" workbookViewId="0">
      <selection activeCell="M42" sqref="A1:XFD1048576"/>
    </sheetView>
  </sheetViews>
  <sheetFormatPr defaultRowHeight="14.4" x14ac:dyDescent="0.3"/>
  <cols>
    <col min="1" max="1" width="30.109375" bestFit="1" customWidth="1"/>
    <col min="2" max="2" width="13" bestFit="1" customWidth="1"/>
    <col min="4" max="4" width="25.88671875" bestFit="1" customWidth="1"/>
    <col min="5" max="6" width="8.5546875" bestFit="1" customWidth="1"/>
    <col min="7" max="7" width="13" bestFit="1" customWidth="1"/>
    <col min="8" max="8" width="17.33203125" customWidth="1"/>
    <col min="9" max="9" width="15.88671875" customWidth="1"/>
    <col min="10" max="10" width="15.44140625" customWidth="1"/>
    <col min="11" max="11" width="14.5546875" customWidth="1"/>
    <col min="12" max="12" width="13.88671875" customWidth="1"/>
    <col min="13" max="13" width="15.109375" customWidth="1"/>
    <col min="14" max="14" width="26" customWidth="1"/>
  </cols>
  <sheetData>
    <row r="1" spans="1:14" ht="15.6" x14ac:dyDescent="0.3">
      <c r="A1" s="33" t="s">
        <v>398</v>
      </c>
      <c r="B1" s="34">
        <v>399.99</v>
      </c>
      <c r="D1" s="600" t="s">
        <v>72</v>
      </c>
      <c r="E1" s="600" t="s">
        <v>0</v>
      </c>
      <c r="F1" s="601" t="s">
        <v>21</v>
      </c>
      <c r="G1" s="602" t="s">
        <v>1</v>
      </c>
      <c r="H1" s="601" t="s">
        <v>399</v>
      </c>
      <c r="I1" s="601" t="s">
        <v>400</v>
      </c>
      <c r="J1" s="601" t="s">
        <v>22</v>
      </c>
      <c r="K1" s="601" t="s">
        <v>23</v>
      </c>
      <c r="L1" s="601" t="s">
        <v>24</v>
      </c>
      <c r="M1" s="598" t="s">
        <v>75</v>
      </c>
      <c r="N1" s="598" t="s">
        <v>76</v>
      </c>
    </row>
    <row r="2" spans="1:14" ht="15.6" x14ac:dyDescent="0.3">
      <c r="A2" s="35" t="s">
        <v>25</v>
      </c>
      <c r="B2" s="99">
        <f>B1/705</f>
        <v>0.56736170212765957</v>
      </c>
      <c r="D2" s="600"/>
      <c r="E2" s="600"/>
      <c r="F2" s="601"/>
      <c r="G2" s="603"/>
      <c r="H2" s="601"/>
      <c r="I2" s="601"/>
      <c r="J2" s="601"/>
      <c r="K2" s="601"/>
      <c r="L2" s="601"/>
      <c r="M2" s="598"/>
      <c r="N2" s="598"/>
    </row>
    <row r="3" spans="1:14" ht="15.6" x14ac:dyDescent="0.3">
      <c r="A3" s="35"/>
      <c r="B3" s="99"/>
      <c r="D3" s="158" t="s">
        <v>132</v>
      </c>
      <c r="E3" s="157">
        <v>1</v>
      </c>
      <c r="F3" s="158">
        <v>25</v>
      </c>
      <c r="G3" s="159">
        <v>600</v>
      </c>
      <c r="H3" s="160">
        <f>F3*B2</f>
        <v>14.184042553191489</v>
      </c>
      <c r="I3" s="160">
        <f>H3/5</f>
        <v>2.8368085106382979</v>
      </c>
      <c r="J3" s="167">
        <v>118.43</v>
      </c>
      <c r="K3" s="160">
        <f t="shared" ref="K3:K9" si="0">J3/6</f>
        <v>19.738333333333333</v>
      </c>
      <c r="L3" s="168">
        <f>G3+I3+K3</f>
        <v>622.57514184397166</v>
      </c>
      <c r="M3" s="162">
        <v>44407</v>
      </c>
      <c r="N3" s="156"/>
    </row>
    <row r="4" spans="1:14" ht="15.6" x14ac:dyDescent="0.3">
      <c r="A4" s="33"/>
      <c r="B4" s="34"/>
      <c r="D4" s="107" t="s">
        <v>434</v>
      </c>
      <c r="E4" s="38">
        <v>2</v>
      </c>
      <c r="F4" s="39">
        <v>25</v>
      </c>
      <c r="G4" s="44">
        <v>580</v>
      </c>
      <c r="H4" s="43">
        <f>F4*B2</f>
        <v>14.184042553191489</v>
      </c>
      <c r="I4" s="43">
        <f t="shared" ref="I4:I29" si="1">H4/5</f>
        <v>2.8368085106382979</v>
      </c>
      <c r="J4" s="44">
        <v>118.18</v>
      </c>
      <c r="K4" s="43">
        <f t="shared" si="0"/>
        <v>19.696666666666669</v>
      </c>
      <c r="L4" s="105">
        <f>G4+I4+K4</f>
        <v>602.53347517730504</v>
      </c>
      <c r="M4" s="106" t="s">
        <v>435</v>
      </c>
      <c r="N4" s="107" t="s">
        <v>436</v>
      </c>
    </row>
    <row r="5" spans="1:14" ht="15.6" x14ac:dyDescent="0.3">
      <c r="D5" s="107" t="s">
        <v>438</v>
      </c>
      <c r="E5" s="38">
        <v>3</v>
      </c>
      <c r="F5" s="39">
        <v>25</v>
      </c>
      <c r="G5" s="44">
        <v>550</v>
      </c>
      <c r="H5" s="43">
        <f>F5*B2</f>
        <v>14.184042553191489</v>
      </c>
      <c r="I5" s="43">
        <f t="shared" si="1"/>
        <v>2.8368085106382979</v>
      </c>
      <c r="J5" s="97">
        <v>117.85</v>
      </c>
      <c r="K5" s="43">
        <f t="shared" si="0"/>
        <v>19.641666666666666</v>
      </c>
      <c r="L5" s="105">
        <f>G5+I5+K5</f>
        <v>572.47847517730497</v>
      </c>
      <c r="M5" s="106">
        <v>44770</v>
      </c>
      <c r="N5" s="107"/>
    </row>
    <row r="6" spans="1:14" ht="15.6" x14ac:dyDescent="0.3">
      <c r="D6" s="107" t="s">
        <v>263</v>
      </c>
      <c r="E6" s="38">
        <v>4</v>
      </c>
      <c r="F6" s="39">
        <v>25</v>
      </c>
      <c r="G6" s="44">
        <v>550</v>
      </c>
      <c r="H6" s="43">
        <f>F6*B2</f>
        <v>14.184042553191489</v>
      </c>
      <c r="I6" s="43">
        <f t="shared" si="1"/>
        <v>2.8368085106382979</v>
      </c>
      <c r="J6" s="44">
        <v>117.85</v>
      </c>
      <c r="K6" s="43">
        <f t="shared" si="0"/>
        <v>19.641666666666666</v>
      </c>
      <c r="L6" s="105">
        <f t="shared" ref="L6:L14" si="2">G6+I6+K6</f>
        <v>572.47847517730497</v>
      </c>
      <c r="M6" s="106">
        <v>44609</v>
      </c>
      <c r="N6" s="106" t="s">
        <v>264</v>
      </c>
    </row>
    <row r="7" spans="1:14" ht="15.6" x14ac:dyDescent="0.3">
      <c r="D7" s="107" t="s">
        <v>440</v>
      </c>
      <c r="E7" s="38">
        <v>5</v>
      </c>
      <c r="F7" s="39">
        <v>25</v>
      </c>
      <c r="G7" s="44">
        <v>580</v>
      </c>
      <c r="H7" s="43">
        <f>F7*B2</f>
        <v>14.184042553191489</v>
      </c>
      <c r="I7" s="43">
        <f t="shared" si="1"/>
        <v>2.8368085106382979</v>
      </c>
      <c r="J7" s="44">
        <v>118.18</v>
      </c>
      <c r="K7" s="43">
        <f t="shared" si="0"/>
        <v>19.696666666666669</v>
      </c>
      <c r="L7" s="105">
        <f t="shared" si="2"/>
        <v>602.53347517730504</v>
      </c>
      <c r="M7" s="106">
        <v>44743</v>
      </c>
      <c r="N7" s="107" t="s">
        <v>441</v>
      </c>
    </row>
    <row r="8" spans="1:14" ht="15.6" x14ac:dyDescent="0.3">
      <c r="D8" s="107" t="s">
        <v>292</v>
      </c>
      <c r="E8" s="38">
        <v>6</v>
      </c>
      <c r="F8" s="38">
        <v>35</v>
      </c>
      <c r="G8" s="44">
        <v>650</v>
      </c>
      <c r="H8" s="43">
        <f>F8*B2</f>
        <v>19.857659574468084</v>
      </c>
      <c r="I8" s="43">
        <f t="shared" si="1"/>
        <v>3.9715319148936166</v>
      </c>
      <c r="J8" s="44">
        <v>119.02</v>
      </c>
      <c r="K8" s="43">
        <f t="shared" si="0"/>
        <v>19.836666666666666</v>
      </c>
      <c r="L8" s="105">
        <f t="shared" si="2"/>
        <v>673.8081985815603</v>
      </c>
      <c r="M8" s="106">
        <v>44637</v>
      </c>
      <c r="N8" s="107" t="s">
        <v>295</v>
      </c>
    </row>
    <row r="9" spans="1:14" ht="15.6" x14ac:dyDescent="0.3">
      <c r="D9" s="107" t="s">
        <v>442</v>
      </c>
      <c r="E9" s="38">
        <v>7</v>
      </c>
      <c r="F9" s="39">
        <v>25</v>
      </c>
      <c r="G9" s="44">
        <v>580</v>
      </c>
      <c r="H9" s="43">
        <f>F9*B2</f>
        <v>14.184042553191489</v>
      </c>
      <c r="I9" s="43">
        <f t="shared" si="1"/>
        <v>2.8368085106382979</v>
      </c>
      <c r="J9" s="44">
        <v>118.18</v>
      </c>
      <c r="K9" s="43">
        <f t="shared" si="0"/>
        <v>19.696666666666669</v>
      </c>
      <c r="L9" s="97">
        <f t="shared" si="2"/>
        <v>602.53347517730504</v>
      </c>
      <c r="M9" s="106">
        <v>44748</v>
      </c>
      <c r="N9" s="107" t="s">
        <v>443</v>
      </c>
    </row>
    <row r="10" spans="1:14" ht="15.6" x14ac:dyDescent="0.3">
      <c r="D10" s="107" t="s">
        <v>265</v>
      </c>
      <c r="E10" s="38">
        <v>8</v>
      </c>
      <c r="F10" s="39">
        <v>25</v>
      </c>
      <c r="G10" s="44">
        <v>610</v>
      </c>
      <c r="H10" s="43">
        <f>F10*B2</f>
        <v>14.184042553191489</v>
      </c>
      <c r="I10" s="43">
        <f t="shared" si="1"/>
        <v>2.8368085106382979</v>
      </c>
      <c r="J10" s="44">
        <v>118.53</v>
      </c>
      <c r="K10" s="43">
        <f t="shared" ref="K10:K15" si="3">J10/6</f>
        <v>19.754999999999999</v>
      </c>
      <c r="L10" s="105">
        <f t="shared" si="2"/>
        <v>632.59180851063832</v>
      </c>
      <c r="M10" s="106">
        <v>44596</v>
      </c>
      <c r="N10" s="107" t="s">
        <v>266</v>
      </c>
    </row>
    <row r="11" spans="1:14" ht="15.6" x14ac:dyDescent="0.3">
      <c r="D11" s="107" t="s">
        <v>246</v>
      </c>
      <c r="E11" s="38">
        <v>9</v>
      </c>
      <c r="F11" s="39">
        <v>25</v>
      </c>
      <c r="G11" s="44">
        <v>580</v>
      </c>
      <c r="H11" s="43">
        <f>F11*B2</f>
        <v>14.184042553191489</v>
      </c>
      <c r="I11" s="43">
        <f t="shared" si="1"/>
        <v>2.8368085106382979</v>
      </c>
      <c r="J11" s="42">
        <v>118.18</v>
      </c>
      <c r="K11" s="97">
        <f t="shared" si="3"/>
        <v>19.696666666666669</v>
      </c>
      <c r="L11" s="43">
        <f t="shared" si="2"/>
        <v>602.53347517730504</v>
      </c>
      <c r="M11" s="106">
        <v>44581</v>
      </c>
      <c r="N11" s="107"/>
    </row>
    <row r="12" spans="1:14" ht="15.6" x14ac:dyDescent="0.3">
      <c r="D12" s="156" t="s">
        <v>92</v>
      </c>
      <c r="E12" s="157">
        <v>10</v>
      </c>
      <c r="F12" s="158">
        <v>25</v>
      </c>
      <c r="G12" s="159">
        <v>600</v>
      </c>
      <c r="H12" s="160">
        <f>F12*B2</f>
        <v>14.184042553191489</v>
      </c>
      <c r="I12" s="160">
        <f t="shared" si="1"/>
        <v>2.8368085106382979</v>
      </c>
      <c r="J12" s="159">
        <v>106.95</v>
      </c>
      <c r="K12" s="166">
        <f t="shared" si="3"/>
        <v>17.824999999999999</v>
      </c>
      <c r="L12" s="160">
        <f t="shared" si="2"/>
        <v>620.66180851063837</v>
      </c>
      <c r="M12" s="162">
        <v>44317</v>
      </c>
      <c r="N12" s="156"/>
    </row>
    <row r="13" spans="1:14" ht="15.6" x14ac:dyDescent="0.3">
      <c r="D13" s="107" t="s">
        <v>321</v>
      </c>
      <c r="E13" s="38">
        <v>11</v>
      </c>
      <c r="F13" s="39">
        <v>25</v>
      </c>
      <c r="G13" s="44">
        <v>550</v>
      </c>
      <c r="H13" s="43">
        <f>F13*B2</f>
        <v>14.184042553191489</v>
      </c>
      <c r="I13" s="43">
        <f t="shared" si="1"/>
        <v>2.8368085106382979</v>
      </c>
      <c r="J13" s="42">
        <v>117.85</v>
      </c>
      <c r="K13" s="154">
        <f t="shared" si="3"/>
        <v>19.641666666666666</v>
      </c>
      <c r="L13" s="43">
        <f t="shared" si="2"/>
        <v>572.47847517730497</v>
      </c>
      <c r="M13" s="106">
        <v>44652</v>
      </c>
      <c r="N13" s="107" t="s">
        <v>322</v>
      </c>
    </row>
    <row r="14" spans="1:14" ht="15.6" x14ac:dyDescent="0.3">
      <c r="D14" s="107" t="s">
        <v>405</v>
      </c>
      <c r="E14" s="38">
        <v>12</v>
      </c>
      <c r="F14" s="39">
        <v>25</v>
      </c>
      <c r="G14" s="44">
        <v>550</v>
      </c>
      <c r="H14" s="43">
        <f>F14*B2</f>
        <v>14.184042553191489</v>
      </c>
      <c r="I14" s="43">
        <f t="shared" si="1"/>
        <v>2.8368085106382979</v>
      </c>
      <c r="J14" s="43">
        <v>117.85</v>
      </c>
      <c r="K14" s="154">
        <f t="shared" si="3"/>
        <v>19.641666666666666</v>
      </c>
      <c r="L14" s="43">
        <f t="shared" si="2"/>
        <v>572.47847517730497</v>
      </c>
      <c r="M14" s="174">
        <v>44722</v>
      </c>
      <c r="N14" s="107" t="s">
        <v>406</v>
      </c>
    </row>
    <row r="15" spans="1:14" ht="15.6" x14ac:dyDescent="0.3">
      <c r="D15" s="107" t="s">
        <v>362</v>
      </c>
      <c r="E15" s="38">
        <v>13</v>
      </c>
      <c r="F15" s="39">
        <v>25</v>
      </c>
      <c r="G15" s="44">
        <v>550</v>
      </c>
      <c r="H15" s="43">
        <f>F15*B2</f>
        <v>14.184042553191489</v>
      </c>
      <c r="I15" s="43">
        <f t="shared" si="1"/>
        <v>2.8368085106382979</v>
      </c>
      <c r="J15" s="44">
        <v>117.85</v>
      </c>
      <c r="K15" s="43">
        <f t="shared" si="3"/>
        <v>19.641666666666666</v>
      </c>
      <c r="L15" s="43">
        <f>G15+I15+K15</f>
        <v>572.47847517730497</v>
      </c>
      <c r="M15" s="106">
        <v>44708</v>
      </c>
      <c r="N15" s="107"/>
    </row>
    <row r="16" spans="1:14" ht="15.6" x14ac:dyDescent="0.3">
      <c r="D16" s="107" t="s">
        <v>291</v>
      </c>
      <c r="E16" s="38">
        <v>14</v>
      </c>
      <c r="F16" s="39">
        <v>25</v>
      </c>
      <c r="G16" s="44">
        <v>550</v>
      </c>
      <c r="H16" s="97">
        <f>F16*B2</f>
        <v>14.184042553191489</v>
      </c>
      <c r="I16" s="43">
        <f t="shared" si="1"/>
        <v>2.8368085106382979</v>
      </c>
      <c r="J16" s="44">
        <v>117.85</v>
      </c>
      <c r="K16" s="97">
        <f t="shared" ref="K16:K25" si="4">J16/6</f>
        <v>19.641666666666666</v>
      </c>
      <c r="L16" s="43">
        <f>G16+I16+K16</f>
        <v>572.47847517730497</v>
      </c>
      <c r="M16" s="106">
        <v>44644</v>
      </c>
      <c r="N16" s="107"/>
    </row>
    <row r="17" spans="4:14" ht="15.6" x14ac:dyDescent="0.3">
      <c r="D17" s="156" t="s">
        <v>141</v>
      </c>
      <c r="E17" s="157">
        <v>15</v>
      </c>
      <c r="F17" s="157">
        <v>35</v>
      </c>
      <c r="G17" s="159">
        <v>730</v>
      </c>
      <c r="H17" s="160">
        <f>F17*B2</f>
        <v>19.857659574468084</v>
      </c>
      <c r="I17" s="160">
        <f t="shared" si="1"/>
        <v>3.9715319148936166</v>
      </c>
      <c r="J17" s="159">
        <v>119.94</v>
      </c>
      <c r="K17" s="160">
        <f t="shared" si="4"/>
        <v>19.989999999999998</v>
      </c>
      <c r="L17" s="160">
        <f>G17+I17+K17</f>
        <v>753.96153191489361</v>
      </c>
      <c r="M17" s="162">
        <v>44414</v>
      </c>
      <c r="N17" s="156" t="s">
        <v>143</v>
      </c>
    </row>
    <row r="18" spans="4:14" ht="15.6" x14ac:dyDescent="0.3">
      <c r="D18" s="107" t="s">
        <v>100</v>
      </c>
      <c r="E18" s="38">
        <v>16</v>
      </c>
      <c r="F18" s="39">
        <v>25</v>
      </c>
      <c r="G18" s="44">
        <v>640</v>
      </c>
      <c r="H18" s="97">
        <f>F18*B2</f>
        <v>14.184042553191489</v>
      </c>
      <c r="I18" s="43">
        <f t="shared" si="1"/>
        <v>2.8368085106382979</v>
      </c>
      <c r="J18" s="44">
        <v>118.87</v>
      </c>
      <c r="K18" s="97">
        <f t="shared" si="4"/>
        <v>19.811666666666667</v>
      </c>
      <c r="L18" s="43">
        <f t="shared" ref="L18:L29" si="5">G18+I18+K18</f>
        <v>662.64847517730504</v>
      </c>
      <c r="M18" s="106"/>
      <c r="N18" s="107"/>
    </row>
    <row r="19" spans="4:14" ht="15.6" x14ac:dyDescent="0.3">
      <c r="D19" s="156" t="s">
        <v>119</v>
      </c>
      <c r="E19" s="157">
        <v>17</v>
      </c>
      <c r="F19" s="158">
        <v>25</v>
      </c>
      <c r="G19" s="159">
        <v>640</v>
      </c>
      <c r="H19" s="160">
        <f>F19*B2</f>
        <v>14.184042553191489</v>
      </c>
      <c r="I19" s="160">
        <f t="shared" si="1"/>
        <v>2.8368085106382979</v>
      </c>
      <c r="J19" s="159">
        <v>118.87</v>
      </c>
      <c r="K19" s="166">
        <f t="shared" si="4"/>
        <v>19.811666666666667</v>
      </c>
      <c r="L19" s="160">
        <f t="shared" si="5"/>
        <v>662.64847517730504</v>
      </c>
      <c r="M19" s="162"/>
      <c r="N19" s="156"/>
    </row>
    <row r="20" spans="4:14" ht="15.6" x14ac:dyDescent="0.3">
      <c r="D20" s="110" t="s">
        <v>103</v>
      </c>
      <c r="E20" s="38">
        <v>18</v>
      </c>
      <c r="F20" s="39">
        <v>25</v>
      </c>
      <c r="G20" s="44">
        <v>650</v>
      </c>
      <c r="H20" s="43">
        <f>F20*B2</f>
        <v>14.184042553191489</v>
      </c>
      <c r="I20" s="43">
        <f t="shared" si="1"/>
        <v>2.8368085106382979</v>
      </c>
      <c r="J20" s="44">
        <v>119.02</v>
      </c>
      <c r="K20" s="44">
        <f t="shared" si="4"/>
        <v>19.836666666666666</v>
      </c>
      <c r="L20" s="43">
        <f t="shared" si="5"/>
        <v>672.67347517730502</v>
      </c>
      <c r="M20" s="106"/>
      <c r="N20" s="107"/>
    </row>
    <row r="21" spans="4:14" ht="15.6" x14ac:dyDescent="0.3">
      <c r="D21" s="107" t="s">
        <v>142</v>
      </c>
      <c r="E21" s="38">
        <v>19</v>
      </c>
      <c r="F21" s="39">
        <v>25</v>
      </c>
      <c r="G21" s="44">
        <v>600</v>
      </c>
      <c r="H21" s="43">
        <f>F21*B2</f>
        <v>14.184042553191489</v>
      </c>
      <c r="I21" s="43">
        <f t="shared" si="1"/>
        <v>2.8368085106382979</v>
      </c>
      <c r="J21" s="44">
        <v>118.43</v>
      </c>
      <c r="K21" s="43">
        <f t="shared" si="4"/>
        <v>19.738333333333333</v>
      </c>
      <c r="L21" s="43">
        <f t="shared" si="5"/>
        <v>622.57514184397166</v>
      </c>
      <c r="M21" s="106">
        <v>44432</v>
      </c>
      <c r="N21" s="107"/>
    </row>
    <row r="22" spans="4:14" ht="15.6" x14ac:dyDescent="0.3">
      <c r="D22" s="110" t="s">
        <v>345</v>
      </c>
      <c r="E22" s="38">
        <v>20</v>
      </c>
      <c r="F22" s="39">
        <v>25</v>
      </c>
      <c r="G22" s="44">
        <v>660</v>
      </c>
      <c r="H22" s="43">
        <f>F22*B2</f>
        <v>14.184042553191489</v>
      </c>
      <c r="I22" s="43">
        <f t="shared" si="1"/>
        <v>2.8368085106382979</v>
      </c>
      <c r="J22" s="44">
        <v>119.12</v>
      </c>
      <c r="K22" s="43">
        <f t="shared" si="4"/>
        <v>19.853333333333335</v>
      </c>
      <c r="L22" s="43">
        <f t="shared" si="5"/>
        <v>682.69014184397167</v>
      </c>
      <c r="M22" s="106">
        <v>44694</v>
      </c>
      <c r="N22" s="107" t="s">
        <v>354</v>
      </c>
    </row>
    <row r="23" spans="4:14" ht="15.6" x14ac:dyDescent="0.3">
      <c r="D23" s="110" t="s">
        <v>346</v>
      </c>
      <c r="E23" s="38">
        <v>21</v>
      </c>
      <c r="F23" s="39">
        <v>25</v>
      </c>
      <c r="G23" s="44">
        <v>500</v>
      </c>
      <c r="H23" s="43">
        <f>F23*B2</f>
        <v>14.184042553191489</v>
      </c>
      <c r="I23" s="43">
        <f t="shared" si="1"/>
        <v>2.8368085106382979</v>
      </c>
      <c r="J23" s="44">
        <v>117.26</v>
      </c>
      <c r="K23" s="43">
        <f t="shared" si="4"/>
        <v>19.543333333333333</v>
      </c>
      <c r="L23" s="43">
        <f t="shared" si="5"/>
        <v>522.38014184397161</v>
      </c>
      <c r="M23" s="106">
        <v>44694</v>
      </c>
      <c r="N23" s="107" t="s">
        <v>354</v>
      </c>
    </row>
    <row r="24" spans="4:14" ht="15.6" x14ac:dyDescent="0.3">
      <c r="D24" s="110" t="s">
        <v>119</v>
      </c>
      <c r="E24" s="38">
        <v>22</v>
      </c>
      <c r="F24" s="39">
        <v>25</v>
      </c>
      <c r="G24" s="44">
        <v>500</v>
      </c>
      <c r="H24" s="43">
        <f>F24*B2</f>
        <v>14.184042553191489</v>
      </c>
      <c r="I24" s="43">
        <f t="shared" si="1"/>
        <v>2.8368085106382979</v>
      </c>
      <c r="J24" s="44">
        <v>117.26</v>
      </c>
      <c r="K24" s="43">
        <f t="shared" si="4"/>
        <v>19.543333333333333</v>
      </c>
      <c r="L24" s="43">
        <f t="shared" si="5"/>
        <v>522.38014184397161</v>
      </c>
      <c r="M24" s="106">
        <v>44694</v>
      </c>
      <c r="N24" s="107" t="s">
        <v>354</v>
      </c>
    </row>
    <row r="25" spans="4:14" ht="15.6" x14ac:dyDescent="0.3">
      <c r="D25" s="110" t="s">
        <v>347</v>
      </c>
      <c r="E25" s="38">
        <v>23</v>
      </c>
      <c r="F25" s="39">
        <v>25</v>
      </c>
      <c r="G25" s="44">
        <v>550</v>
      </c>
      <c r="H25" s="43">
        <f>F25*B2</f>
        <v>14.184042553191489</v>
      </c>
      <c r="I25" s="43">
        <f t="shared" si="1"/>
        <v>2.8368085106382979</v>
      </c>
      <c r="J25" s="42">
        <v>117.85</v>
      </c>
      <c r="K25" s="42">
        <f t="shared" si="4"/>
        <v>19.641666666666666</v>
      </c>
      <c r="L25" s="43">
        <f t="shared" si="5"/>
        <v>572.47847517730497</v>
      </c>
      <c r="M25" s="106">
        <v>44701</v>
      </c>
      <c r="N25" s="107" t="s">
        <v>356</v>
      </c>
    </row>
    <row r="26" spans="4:14" ht="15.6" x14ac:dyDescent="0.3">
      <c r="D26" s="107" t="s">
        <v>267</v>
      </c>
      <c r="E26" s="38">
        <v>24</v>
      </c>
      <c r="F26" s="38">
        <v>35</v>
      </c>
      <c r="G26" s="44">
        <v>650</v>
      </c>
      <c r="H26" s="43">
        <f>F26*B2</f>
        <v>19.857659574468084</v>
      </c>
      <c r="I26" s="43">
        <f t="shared" si="1"/>
        <v>3.9715319148936166</v>
      </c>
      <c r="J26" s="42">
        <v>119.02</v>
      </c>
      <c r="K26" s="42">
        <f>J26/6</f>
        <v>19.836666666666666</v>
      </c>
      <c r="L26" s="43">
        <f>G26+I26+K26</f>
        <v>673.8081985815603</v>
      </c>
      <c r="M26" s="106">
        <v>44593</v>
      </c>
      <c r="N26" s="107" t="s">
        <v>266</v>
      </c>
    </row>
    <row r="27" spans="4:14" ht="15.6" x14ac:dyDescent="0.3">
      <c r="D27" s="110" t="s">
        <v>87</v>
      </c>
      <c r="E27" s="38">
        <v>25</v>
      </c>
      <c r="F27" s="39">
        <v>25</v>
      </c>
      <c r="G27" s="44">
        <v>704</v>
      </c>
      <c r="H27" s="43">
        <f>F27*B2</f>
        <v>14.184042553191489</v>
      </c>
      <c r="I27" s="43">
        <f t="shared" si="1"/>
        <v>2.8368085106382979</v>
      </c>
      <c r="J27" s="42">
        <v>119.7</v>
      </c>
      <c r="K27" s="42">
        <f>J27/6</f>
        <v>19.95</v>
      </c>
      <c r="L27" s="43">
        <f t="shared" si="5"/>
        <v>726.78680851063837</v>
      </c>
      <c r="M27" s="106">
        <v>44345</v>
      </c>
      <c r="N27" s="107" t="s">
        <v>359</v>
      </c>
    </row>
    <row r="28" spans="4:14" ht="15.6" x14ac:dyDescent="0.3">
      <c r="D28" s="107" t="s">
        <v>348</v>
      </c>
      <c r="E28" s="38">
        <v>26</v>
      </c>
      <c r="F28" s="39">
        <v>25</v>
      </c>
      <c r="G28" s="44">
        <v>560</v>
      </c>
      <c r="H28" s="43">
        <f>F28*B2</f>
        <v>14.184042553191489</v>
      </c>
      <c r="I28" s="43">
        <f t="shared" si="1"/>
        <v>2.8368085106382979</v>
      </c>
      <c r="J28" s="42">
        <v>117.95</v>
      </c>
      <c r="K28" s="42">
        <f>J28/6</f>
        <v>19.658333333333335</v>
      </c>
      <c r="L28" s="43">
        <f t="shared" si="5"/>
        <v>582.49514184397162</v>
      </c>
      <c r="M28" s="106">
        <v>44687</v>
      </c>
      <c r="N28" s="107" t="s">
        <v>358</v>
      </c>
    </row>
    <row r="29" spans="4:14" ht="15.6" x14ac:dyDescent="0.3">
      <c r="D29" s="156" t="s">
        <v>86</v>
      </c>
      <c r="E29" s="157">
        <v>27</v>
      </c>
      <c r="F29" s="158">
        <v>25</v>
      </c>
      <c r="G29" s="159">
        <v>650</v>
      </c>
      <c r="H29" s="160">
        <f>F29*B2</f>
        <v>14.184042553191489</v>
      </c>
      <c r="I29" s="160">
        <f t="shared" si="1"/>
        <v>2.8368085106382979</v>
      </c>
      <c r="J29" s="161">
        <v>119.02</v>
      </c>
      <c r="K29" s="161">
        <f>J29/6</f>
        <v>19.836666666666666</v>
      </c>
      <c r="L29" s="160">
        <f t="shared" si="5"/>
        <v>672.67347517730502</v>
      </c>
      <c r="M29" s="162">
        <v>44330</v>
      </c>
      <c r="N29" s="156"/>
    </row>
    <row r="30" spans="4:14" ht="15.6" x14ac:dyDescent="0.3">
      <c r="D30" s="103"/>
      <c r="E30" s="36" t="s">
        <v>4</v>
      </c>
      <c r="F30" s="35">
        <f>SUM(F3:F29)</f>
        <v>705</v>
      </c>
      <c r="G30" s="164"/>
      <c r="H30" s="37">
        <f>SUM(H3:H29)</f>
        <v>399.98999999999995</v>
      </c>
      <c r="I30" s="37">
        <f>SUM(I3:I29)</f>
        <v>79.99799999999999</v>
      </c>
      <c r="J30" s="33"/>
      <c r="K30" s="33"/>
      <c r="L30" s="33"/>
      <c r="M30" s="163">
        <v>44687</v>
      </c>
      <c r="N30" s="101"/>
    </row>
    <row r="33" spans="4:14" x14ac:dyDescent="0.3">
      <c r="D33" s="600" t="s">
        <v>72</v>
      </c>
      <c r="E33" s="600" t="s">
        <v>0</v>
      </c>
      <c r="F33" s="601" t="s">
        <v>21</v>
      </c>
      <c r="G33" s="601" t="s">
        <v>1</v>
      </c>
      <c r="H33" s="601" t="s">
        <v>399</v>
      </c>
      <c r="I33" s="601" t="s">
        <v>400</v>
      </c>
      <c r="J33" s="601" t="s">
        <v>22</v>
      </c>
      <c r="K33" s="601" t="s">
        <v>23</v>
      </c>
      <c r="L33" s="601" t="s">
        <v>24</v>
      </c>
      <c r="M33" s="601" t="s">
        <v>75</v>
      </c>
      <c r="N33" s="601" t="s">
        <v>76</v>
      </c>
    </row>
    <row r="34" spans="4:14" x14ac:dyDescent="0.3">
      <c r="D34" s="600"/>
      <c r="E34" s="600"/>
      <c r="F34" s="601"/>
      <c r="G34" s="601"/>
      <c r="H34" s="601"/>
      <c r="I34" s="601"/>
      <c r="J34" s="601"/>
      <c r="K34" s="601"/>
      <c r="L34" s="601"/>
      <c r="M34" s="601"/>
      <c r="N34" s="601"/>
    </row>
    <row r="35" spans="4:14" s="169" customFormat="1" ht="15.6" x14ac:dyDescent="0.3">
      <c r="D35" s="39" t="s">
        <v>397</v>
      </c>
      <c r="E35" s="38">
        <v>1</v>
      </c>
      <c r="F35" s="170">
        <v>25</v>
      </c>
      <c r="G35" s="171">
        <v>580</v>
      </c>
      <c r="H35" s="43">
        <f>F35*B2</f>
        <v>14.184042553191489</v>
      </c>
      <c r="I35" s="172">
        <f t="shared" ref="I35:I45" si="6">H35/5</f>
        <v>2.8368085106382979</v>
      </c>
      <c r="J35" s="171">
        <v>118.18</v>
      </c>
      <c r="K35" s="172">
        <f t="shared" ref="K35:K44" si="7">J35/6</f>
        <v>19.696666666666669</v>
      </c>
      <c r="L35" s="43">
        <f t="shared" ref="L35:L44" si="8">G35+I35+K35</f>
        <v>602.53347517730504</v>
      </c>
      <c r="M35" s="173">
        <v>44736</v>
      </c>
      <c r="N35" s="170"/>
    </row>
    <row r="36" spans="4:14" s="169" customFormat="1" ht="15.6" x14ac:dyDescent="0.3">
      <c r="D36" s="39" t="s">
        <v>552</v>
      </c>
      <c r="E36" s="38">
        <v>6</v>
      </c>
      <c r="F36" s="170">
        <v>35</v>
      </c>
      <c r="G36" s="171">
        <v>680</v>
      </c>
      <c r="H36" s="43">
        <f>F36*B2</f>
        <v>19.857659574468084</v>
      </c>
      <c r="I36" s="172">
        <f t="shared" si="6"/>
        <v>3.9715319148936166</v>
      </c>
      <c r="J36" s="171">
        <v>119.36</v>
      </c>
      <c r="K36" s="172">
        <f t="shared" si="7"/>
        <v>19.893333333333334</v>
      </c>
      <c r="L36" s="43">
        <f>G36+I36+K36</f>
        <v>703.86486524822692</v>
      </c>
      <c r="M36" s="173">
        <v>44844</v>
      </c>
      <c r="N36" s="170" t="s">
        <v>553</v>
      </c>
    </row>
    <row r="37" spans="4:14" ht="15.6" x14ac:dyDescent="0.3">
      <c r="D37" s="107" t="s">
        <v>493</v>
      </c>
      <c r="E37" s="38">
        <v>8</v>
      </c>
      <c r="F37" s="39">
        <v>25</v>
      </c>
      <c r="G37" s="44">
        <v>580</v>
      </c>
      <c r="H37" s="43">
        <f>F37*B2</f>
        <v>14.184042553191489</v>
      </c>
      <c r="I37" s="43">
        <f t="shared" si="6"/>
        <v>2.8368085106382979</v>
      </c>
      <c r="J37" s="44">
        <v>118.18</v>
      </c>
      <c r="K37" s="43">
        <f>J37/6</f>
        <v>19.696666666666669</v>
      </c>
      <c r="L37" s="43">
        <f>G37+I37+K37</f>
        <v>602.53347517730504</v>
      </c>
      <c r="M37" s="106">
        <v>44778</v>
      </c>
      <c r="N37" s="107" t="s">
        <v>494</v>
      </c>
    </row>
    <row r="38" spans="4:14" s="169" customFormat="1" ht="15.6" x14ac:dyDescent="0.3">
      <c r="D38" s="39" t="s">
        <v>402</v>
      </c>
      <c r="E38" s="38">
        <v>10</v>
      </c>
      <c r="F38" s="170">
        <v>25</v>
      </c>
      <c r="G38" s="171">
        <v>550</v>
      </c>
      <c r="H38" s="43">
        <f>F38*B2</f>
        <v>14.184042553191489</v>
      </c>
      <c r="I38" s="172">
        <f t="shared" si="6"/>
        <v>2.8368085106382979</v>
      </c>
      <c r="J38" s="171">
        <v>117.85</v>
      </c>
      <c r="K38" s="172">
        <f t="shared" si="7"/>
        <v>19.641666666666666</v>
      </c>
      <c r="L38" s="43">
        <f t="shared" si="8"/>
        <v>572.47847517730497</v>
      </c>
      <c r="M38" s="173">
        <v>44718</v>
      </c>
      <c r="N38" s="170" t="s">
        <v>403</v>
      </c>
    </row>
    <row r="39" spans="4:14" s="169" customFormat="1" ht="15.6" x14ac:dyDescent="0.3">
      <c r="D39" s="39" t="s">
        <v>559</v>
      </c>
      <c r="E39" s="38">
        <v>14</v>
      </c>
      <c r="F39" s="170">
        <v>25</v>
      </c>
      <c r="G39" s="171">
        <v>580</v>
      </c>
      <c r="H39" s="43">
        <f>F39*B2</f>
        <v>14.184042553191489</v>
      </c>
      <c r="I39" s="172">
        <f t="shared" si="6"/>
        <v>2.8368085106382979</v>
      </c>
      <c r="J39" s="171">
        <v>118.18</v>
      </c>
      <c r="K39" s="172">
        <f t="shared" si="7"/>
        <v>19.696666666666669</v>
      </c>
      <c r="L39" s="43">
        <f t="shared" si="8"/>
        <v>602.53347517730504</v>
      </c>
      <c r="M39" s="173">
        <v>44861</v>
      </c>
      <c r="N39" s="170" t="s">
        <v>579</v>
      </c>
    </row>
    <row r="40" spans="4:14" ht="15.6" x14ac:dyDescent="0.3">
      <c r="D40" s="107" t="s">
        <v>272</v>
      </c>
      <c r="E40" s="38">
        <v>15</v>
      </c>
      <c r="F40" s="38">
        <v>35</v>
      </c>
      <c r="G40" s="44">
        <v>650</v>
      </c>
      <c r="H40" s="43">
        <f>F40*B2</f>
        <v>19.857659574468084</v>
      </c>
      <c r="I40" s="43">
        <f t="shared" si="6"/>
        <v>3.9715319148936166</v>
      </c>
      <c r="J40" s="44">
        <v>119.02</v>
      </c>
      <c r="K40" s="43">
        <f t="shared" si="7"/>
        <v>19.836666666666666</v>
      </c>
      <c r="L40" s="43">
        <f t="shared" si="8"/>
        <v>673.8081985815603</v>
      </c>
      <c r="M40" s="106">
        <v>44615</v>
      </c>
      <c r="N40" s="107"/>
    </row>
    <row r="41" spans="4:14" ht="15.6" x14ac:dyDescent="0.3">
      <c r="D41" s="107" t="s">
        <v>392</v>
      </c>
      <c r="E41" s="38">
        <v>17</v>
      </c>
      <c r="F41" s="39">
        <v>25</v>
      </c>
      <c r="G41" s="44">
        <v>580</v>
      </c>
      <c r="H41" s="43">
        <f>F41*B2</f>
        <v>14.184042553191489</v>
      </c>
      <c r="I41" s="43">
        <f t="shared" si="6"/>
        <v>2.8368085106382979</v>
      </c>
      <c r="J41" s="44">
        <v>118.18</v>
      </c>
      <c r="K41" s="43">
        <f t="shared" si="7"/>
        <v>19.696666666666669</v>
      </c>
      <c r="L41" s="43">
        <f t="shared" si="8"/>
        <v>602.53347517730504</v>
      </c>
      <c r="M41" s="106">
        <v>44720</v>
      </c>
      <c r="N41" s="107" t="s">
        <v>393</v>
      </c>
    </row>
    <row r="42" spans="4:14" ht="15.6" x14ac:dyDescent="0.3">
      <c r="D42" s="107" t="s">
        <v>602</v>
      </c>
      <c r="E42" s="38">
        <v>18</v>
      </c>
      <c r="F42" s="39">
        <v>25</v>
      </c>
      <c r="G42" s="44">
        <v>640</v>
      </c>
      <c r="H42" s="43">
        <f>F42*B2</f>
        <v>14.184042553191489</v>
      </c>
      <c r="I42" s="43">
        <f t="shared" si="6"/>
        <v>2.8368085106382979</v>
      </c>
      <c r="J42" s="44">
        <v>118.92</v>
      </c>
      <c r="K42" s="43">
        <f>J42/6</f>
        <v>19.82</v>
      </c>
      <c r="L42" s="43">
        <f>G42+I42+K42</f>
        <v>662.65680851063837</v>
      </c>
      <c r="M42" s="106">
        <v>44900</v>
      </c>
      <c r="N42" s="107"/>
    </row>
    <row r="43" spans="4:14" ht="15.6" x14ac:dyDescent="0.3">
      <c r="D43" s="107" t="s">
        <v>500</v>
      </c>
      <c r="E43" s="38">
        <v>19</v>
      </c>
      <c r="F43" s="39">
        <v>25</v>
      </c>
      <c r="G43" s="44">
        <v>550</v>
      </c>
      <c r="H43" s="43">
        <f>F43*B2</f>
        <v>14.184042553191489</v>
      </c>
      <c r="I43" s="43">
        <f t="shared" si="6"/>
        <v>2.8368085106382979</v>
      </c>
      <c r="J43" s="44">
        <v>117.85</v>
      </c>
      <c r="K43" s="43">
        <f t="shared" si="7"/>
        <v>19.641666666666666</v>
      </c>
      <c r="L43" s="43">
        <f t="shared" si="8"/>
        <v>572.47847517730497</v>
      </c>
      <c r="M43" s="106">
        <v>44799</v>
      </c>
      <c r="N43" s="107"/>
    </row>
    <row r="44" spans="4:14" ht="15.6" x14ac:dyDescent="0.3">
      <c r="D44" s="107" t="s">
        <v>563</v>
      </c>
      <c r="E44" s="38">
        <v>25</v>
      </c>
      <c r="F44" s="39">
        <v>25</v>
      </c>
      <c r="G44" s="44">
        <v>610</v>
      </c>
      <c r="H44" s="43">
        <f>F44*B2</f>
        <v>14.184042553191489</v>
      </c>
      <c r="I44" s="43">
        <f t="shared" si="6"/>
        <v>2.8368085106382979</v>
      </c>
      <c r="J44" s="44">
        <v>118.53</v>
      </c>
      <c r="K44" s="43">
        <f t="shared" si="7"/>
        <v>19.754999999999999</v>
      </c>
      <c r="L44" s="43">
        <f t="shared" si="8"/>
        <v>632.59180851063832</v>
      </c>
      <c r="M44" s="106">
        <v>44853</v>
      </c>
      <c r="N44" s="107" t="s">
        <v>564</v>
      </c>
    </row>
    <row r="45" spans="4:14" ht="15.6" x14ac:dyDescent="0.3">
      <c r="D45" s="107" t="s">
        <v>349</v>
      </c>
      <c r="E45" s="38">
        <v>27</v>
      </c>
      <c r="F45" s="39">
        <v>25</v>
      </c>
      <c r="G45" s="44">
        <v>580</v>
      </c>
      <c r="H45" s="43">
        <f>F45*B2</f>
        <v>14.184042553191489</v>
      </c>
      <c r="I45" s="43">
        <f t="shared" si="6"/>
        <v>2.8368085106382979</v>
      </c>
      <c r="J45" s="44">
        <v>118.18</v>
      </c>
      <c r="K45" s="43">
        <f>J45/6</f>
        <v>19.696666666666669</v>
      </c>
      <c r="L45" s="43">
        <f>G45+I45+K45</f>
        <v>602.53347517730504</v>
      </c>
      <c r="M45" s="106">
        <v>44687</v>
      </c>
      <c r="N45" s="107" t="s">
        <v>361</v>
      </c>
    </row>
  </sheetData>
  <mergeCells count="22">
    <mergeCell ref="N33:N34"/>
    <mergeCell ref="I33:I34"/>
    <mergeCell ref="J33:J34"/>
    <mergeCell ref="K33:K34"/>
    <mergeCell ref="L33:L34"/>
    <mergeCell ref="M33:M34"/>
    <mergeCell ref="D33:D34"/>
    <mergeCell ref="E33:E34"/>
    <mergeCell ref="F33:F34"/>
    <mergeCell ref="G33:G34"/>
    <mergeCell ref="H33:H34"/>
    <mergeCell ref="I1:I2"/>
    <mergeCell ref="D1:D2"/>
    <mergeCell ref="E1:E2"/>
    <mergeCell ref="F1:F2"/>
    <mergeCell ref="G1:G2"/>
    <mergeCell ref="H1:H2"/>
    <mergeCell ref="J1:J2"/>
    <mergeCell ref="K1:K2"/>
    <mergeCell ref="L1:L2"/>
    <mergeCell ref="M1:M2"/>
    <mergeCell ref="N1:N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6177D-8F4C-413D-9F01-D41476BD9A87}">
  <dimension ref="A1:O36"/>
  <sheetViews>
    <sheetView zoomScale="60" zoomScaleNormal="60" workbookViewId="0">
      <selection activeCell="G36" sqref="G36"/>
    </sheetView>
  </sheetViews>
  <sheetFormatPr defaultColWidth="9.109375" defaultRowHeight="13.8" x14ac:dyDescent="0.25"/>
  <cols>
    <col min="1" max="1" width="27.5546875" style="93" bestFit="1" customWidth="1"/>
    <col min="2" max="2" width="15.44140625" style="93" bestFit="1" customWidth="1"/>
    <col min="3" max="3" width="14" style="93" customWidth="1"/>
    <col min="4" max="4" width="16.44140625" style="92" bestFit="1" customWidth="1"/>
    <col min="5" max="5" width="8.5546875" style="93" bestFit="1" customWidth="1"/>
    <col min="6" max="6" width="9.109375" style="93"/>
    <col min="7" max="7" width="12.33203125" style="93" customWidth="1"/>
    <col min="8" max="8" width="14" style="93" customWidth="1"/>
    <col min="9" max="9" width="12.44140625" style="93" customWidth="1"/>
    <col min="10" max="10" width="16.5546875" style="93" customWidth="1"/>
    <col min="11" max="12" width="13.109375" style="93" customWidth="1"/>
    <col min="13" max="13" width="14.109375" style="93" customWidth="1"/>
    <col min="14" max="14" width="14" style="93" customWidth="1"/>
    <col min="15" max="15" width="24.109375" style="93" bestFit="1" customWidth="1"/>
    <col min="16" max="16384" width="9.109375" style="93"/>
  </cols>
  <sheetData>
    <row r="1" spans="1:15" ht="15.75" customHeight="1" x14ac:dyDescent="0.3">
      <c r="A1" s="33" t="s">
        <v>71</v>
      </c>
      <c r="B1" s="34">
        <f>362.44</f>
        <v>362.44</v>
      </c>
      <c r="C1" s="604"/>
      <c r="D1" s="600" t="s">
        <v>72</v>
      </c>
      <c r="E1" s="600" t="s">
        <v>0</v>
      </c>
      <c r="F1" s="601" t="s">
        <v>21</v>
      </c>
      <c r="G1" s="601" t="s">
        <v>1</v>
      </c>
      <c r="H1" s="601" t="s">
        <v>73</v>
      </c>
      <c r="I1" s="601" t="s">
        <v>74</v>
      </c>
      <c r="J1" s="601" t="s">
        <v>77</v>
      </c>
      <c r="K1" s="601" t="s">
        <v>22</v>
      </c>
      <c r="L1" s="601" t="s">
        <v>23</v>
      </c>
      <c r="M1" s="601" t="s">
        <v>24</v>
      </c>
      <c r="N1" s="598" t="s">
        <v>75</v>
      </c>
      <c r="O1" s="598" t="s">
        <v>76</v>
      </c>
    </row>
    <row r="2" spans="1:15" ht="42" customHeight="1" x14ac:dyDescent="0.25">
      <c r="A2" s="35" t="s">
        <v>25</v>
      </c>
      <c r="B2" s="99">
        <f>B1/F30</f>
        <v>0.51409929078014183</v>
      </c>
      <c r="C2" s="605"/>
      <c r="D2" s="600"/>
      <c r="E2" s="600"/>
      <c r="F2" s="601"/>
      <c r="G2" s="601"/>
      <c r="H2" s="601"/>
      <c r="I2" s="601"/>
      <c r="J2" s="601"/>
      <c r="K2" s="601"/>
      <c r="L2" s="601"/>
      <c r="M2" s="601"/>
      <c r="N2" s="598"/>
      <c r="O2" s="598"/>
    </row>
    <row r="3" spans="1:15" ht="15.6" x14ac:dyDescent="0.3">
      <c r="A3" s="35"/>
      <c r="B3" s="99"/>
      <c r="C3" s="605"/>
      <c r="D3" s="39" t="s">
        <v>132</v>
      </c>
      <c r="E3" s="38">
        <v>1</v>
      </c>
      <c r="F3" s="39">
        <v>25</v>
      </c>
      <c r="G3" s="44">
        <v>600</v>
      </c>
      <c r="H3" s="43">
        <f>F3*B2</f>
        <v>12.852482269503545</v>
      </c>
      <c r="I3" s="43">
        <f t="shared" ref="I3:I8" si="0">H3/12</f>
        <v>1.0710401891252954</v>
      </c>
      <c r="J3" s="43">
        <f>I3*6</f>
        <v>6.4262411347517725</v>
      </c>
      <c r="K3" s="104">
        <v>118.43</v>
      </c>
      <c r="L3" s="43">
        <f>K3/6</f>
        <v>19.738333333333333</v>
      </c>
      <c r="M3" s="105">
        <f>G3+J3+L3</f>
        <v>626.16457446808511</v>
      </c>
      <c r="N3" s="106">
        <v>44407</v>
      </c>
      <c r="O3" s="107"/>
    </row>
    <row r="4" spans="1:15" ht="15.6" x14ac:dyDescent="0.3">
      <c r="A4" s="33"/>
      <c r="B4" s="34"/>
      <c r="C4" s="605"/>
      <c r="D4" s="107"/>
      <c r="E4" s="38">
        <v>2</v>
      </c>
      <c r="F4" s="39">
        <v>35</v>
      </c>
      <c r="G4" s="39"/>
      <c r="H4" s="43">
        <f>F4*B2</f>
        <v>17.993475177304965</v>
      </c>
      <c r="I4" s="43">
        <f t="shared" si="0"/>
        <v>1.4994562647754137</v>
      </c>
      <c r="J4" s="43"/>
      <c r="K4" s="44"/>
      <c r="L4" s="43"/>
      <c r="M4" s="97"/>
      <c r="N4" s="106"/>
      <c r="O4" s="107"/>
    </row>
    <row r="5" spans="1:15" ht="15.6" x14ac:dyDescent="0.3">
      <c r="A5" s="68"/>
      <c r="B5" s="100"/>
      <c r="C5" s="102"/>
      <c r="D5" s="107"/>
      <c r="E5" s="38">
        <v>3</v>
      </c>
      <c r="F5" s="39">
        <v>25</v>
      </c>
      <c r="G5" s="39"/>
      <c r="H5" s="43">
        <f>F5*B2</f>
        <v>12.852482269503545</v>
      </c>
      <c r="I5" s="97">
        <f t="shared" si="0"/>
        <v>1.0710401891252954</v>
      </c>
      <c r="J5" s="97"/>
      <c r="K5" s="97"/>
      <c r="L5" s="97"/>
      <c r="M5" s="97"/>
      <c r="N5" s="106"/>
      <c r="O5" s="107"/>
    </row>
    <row r="6" spans="1:15" ht="15" customHeight="1" x14ac:dyDescent="0.3">
      <c r="D6" s="107"/>
      <c r="E6" s="38">
        <v>4</v>
      </c>
      <c r="F6" s="39">
        <v>25</v>
      </c>
      <c r="G6" s="39"/>
      <c r="H6" s="43">
        <f>F6*B2</f>
        <v>12.852482269503545</v>
      </c>
      <c r="I6" s="43">
        <f t="shared" si="0"/>
        <v>1.0710401891252954</v>
      </c>
      <c r="J6" s="43"/>
      <c r="K6" s="44"/>
      <c r="L6" s="43"/>
      <c r="M6" s="97"/>
      <c r="N6" s="106"/>
      <c r="O6" s="107"/>
    </row>
    <row r="7" spans="1:15" ht="15.6" x14ac:dyDescent="0.3">
      <c r="D7" s="107"/>
      <c r="E7" s="38">
        <v>5</v>
      </c>
      <c r="F7" s="39">
        <v>25</v>
      </c>
      <c r="G7" s="39"/>
      <c r="H7" s="43">
        <f>F7*B2</f>
        <v>12.852482269503545</v>
      </c>
      <c r="I7" s="43">
        <f t="shared" si="0"/>
        <v>1.0710401891252954</v>
      </c>
      <c r="J7" s="43"/>
      <c r="K7" s="44"/>
      <c r="L7" s="43"/>
      <c r="M7" s="97"/>
      <c r="N7" s="106"/>
      <c r="O7" s="107"/>
    </row>
    <row r="8" spans="1:15" ht="16.5" customHeight="1" x14ac:dyDescent="0.3">
      <c r="D8" s="107"/>
      <c r="E8" s="38">
        <v>6</v>
      </c>
      <c r="F8" s="39">
        <v>25</v>
      </c>
      <c r="G8" s="39"/>
      <c r="H8" s="43">
        <f>F8*B2</f>
        <v>12.852482269503545</v>
      </c>
      <c r="I8" s="43">
        <f t="shared" si="0"/>
        <v>1.0710401891252954</v>
      </c>
      <c r="J8" s="43"/>
      <c r="K8" s="44"/>
      <c r="L8" s="43"/>
      <c r="M8" s="97"/>
      <c r="N8" s="106"/>
      <c r="O8" s="107"/>
    </row>
    <row r="9" spans="1:15" ht="15.6" x14ac:dyDescent="0.3">
      <c r="D9" s="107"/>
      <c r="E9" s="38">
        <v>7</v>
      </c>
      <c r="F9" s="39">
        <v>25</v>
      </c>
      <c r="G9" s="39"/>
      <c r="H9" s="43">
        <f>F9*B2</f>
        <v>12.852482269503545</v>
      </c>
      <c r="I9" s="43">
        <f t="shared" ref="I9:I17" si="1">H9/12</f>
        <v>1.0710401891252954</v>
      </c>
      <c r="J9" s="43"/>
      <c r="K9" s="44"/>
      <c r="L9" s="43"/>
      <c r="M9" s="97"/>
      <c r="N9" s="106"/>
      <c r="O9" s="107"/>
    </row>
    <row r="10" spans="1:15" ht="15.6" x14ac:dyDescent="0.3">
      <c r="D10" s="107"/>
      <c r="E10" s="38">
        <v>8</v>
      </c>
      <c r="F10" s="39">
        <v>25</v>
      </c>
      <c r="G10" s="39"/>
      <c r="H10" s="43">
        <f>F10*B2</f>
        <v>12.852482269503545</v>
      </c>
      <c r="I10" s="43">
        <f t="shared" si="1"/>
        <v>1.0710401891252954</v>
      </c>
      <c r="J10" s="43"/>
      <c r="K10" s="44"/>
      <c r="L10" s="43"/>
      <c r="M10" s="97"/>
      <c r="N10" s="106"/>
      <c r="O10" s="107"/>
    </row>
    <row r="11" spans="1:15" ht="15" customHeight="1" x14ac:dyDescent="0.3">
      <c r="D11" s="107"/>
      <c r="E11" s="38">
        <v>9</v>
      </c>
      <c r="F11" s="39">
        <v>25</v>
      </c>
      <c r="G11" s="44"/>
      <c r="H11" s="43">
        <f>F11*B2</f>
        <v>12.852482269503545</v>
      </c>
      <c r="I11" s="97">
        <f t="shared" si="1"/>
        <v>1.0710401891252954</v>
      </c>
      <c r="J11" s="97"/>
      <c r="K11" s="42"/>
      <c r="L11" s="97"/>
      <c r="M11" s="97"/>
      <c r="N11" s="106"/>
      <c r="O11" s="107"/>
    </row>
    <row r="12" spans="1:15" ht="15.6" x14ac:dyDescent="0.3">
      <c r="D12" s="107" t="s">
        <v>92</v>
      </c>
      <c r="E12" s="38">
        <v>10</v>
      </c>
      <c r="F12" s="39">
        <v>25</v>
      </c>
      <c r="G12" s="44">
        <v>600</v>
      </c>
      <c r="H12" s="43">
        <f>F12*B2</f>
        <v>12.852482269503545</v>
      </c>
      <c r="I12" s="43">
        <f t="shared" si="1"/>
        <v>1.0710401891252954</v>
      </c>
      <c r="J12" s="43">
        <f>I12*8</f>
        <v>8.5683215130023633</v>
      </c>
      <c r="K12" s="44">
        <v>106.95</v>
      </c>
      <c r="L12" s="115">
        <f>K12/6</f>
        <v>17.824999999999999</v>
      </c>
      <c r="M12" s="43">
        <f>G12+J12+L12</f>
        <v>626.39332151300243</v>
      </c>
      <c r="N12" s="106">
        <v>44317</v>
      </c>
      <c r="O12" s="107"/>
    </row>
    <row r="13" spans="1:15" ht="15.6" x14ac:dyDescent="0.3">
      <c r="D13" s="107"/>
      <c r="E13" s="38">
        <v>11</v>
      </c>
      <c r="F13" s="39">
        <v>35</v>
      </c>
      <c r="G13" s="39"/>
      <c r="H13" s="43">
        <f>F13*B2</f>
        <v>17.993475177304965</v>
      </c>
      <c r="I13" s="97">
        <f t="shared" si="1"/>
        <v>1.4994562647754137</v>
      </c>
      <c r="J13" s="97"/>
      <c r="K13" s="42"/>
      <c r="L13" s="97"/>
      <c r="M13" s="43"/>
      <c r="N13" s="106"/>
      <c r="O13" s="107"/>
    </row>
    <row r="14" spans="1:15" ht="15.6" x14ac:dyDescent="0.3">
      <c r="D14" s="107"/>
      <c r="E14" s="38">
        <v>12</v>
      </c>
      <c r="F14" s="39">
        <v>25</v>
      </c>
      <c r="G14" s="39"/>
      <c r="H14" s="43">
        <f>F14*B2</f>
        <v>12.852482269503545</v>
      </c>
      <c r="I14" s="43">
        <f t="shared" si="1"/>
        <v>1.0710401891252954</v>
      </c>
      <c r="J14" s="43"/>
      <c r="K14" s="43"/>
      <c r="L14" s="43"/>
      <c r="M14" s="43"/>
      <c r="N14" s="108"/>
      <c r="O14" s="107"/>
    </row>
    <row r="15" spans="1:15" ht="15.6" x14ac:dyDescent="0.3">
      <c r="D15" s="107"/>
      <c r="E15" s="38">
        <v>13</v>
      </c>
      <c r="F15" s="39">
        <v>25</v>
      </c>
      <c r="G15" s="39"/>
      <c r="H15" s="43">
        <f>F15*B2</f>
        <v>12.852482269503545</v>
      </c>
      <c r="I15" s="43">
        <f t="shared" si="1"/>
        <v>1.0710401891252954</v>
      </c>
      <c r="J15" s="43"/>
      <c r="K15" s="44"/>
      <c r="L15" s="43"/>
      <c r="M15" s="43"/>
      <c r="N15" s="106"/>
      <c r="O15" s="107"/>
    </row>
    <row r="16" spans="1:15" ht="15.6" x14ac:dyDescent="0.3">
      <c r="D16" s="107"/>
      <c r="E16" s="38">
        <v>14</v>
      </c>
      <c r="F16" s="39">
        <v>25</v>
      </c>
      <c r="G16" s="39"/>
      <c r="H16" s="97">
        <f>F16*B2</f>
        <v>12.852482269503545</v>
      </c>
      <c r="I16" s="97">
        <f t="shared" si="1"/>
        <v>1.0710401891252954</v>
      </c>
      <c r="J16" s="97"/>
      <c r="K16" s="44"/>
      <c r="L16" s="97"/>
      <c r="M16" s="43"/>
      <c r="N16" s="106"/>
      <c r="O16" s="107"/>
    </row>
    <row r="17" spans="4:15" ht="15.6" x14ac:dyDescent="0.3">
      <c r="D17" s="107" t="s">
        <v>141</v>
      </c>
      <c r="E17" s="38">
        <v>15</v>
      </c>
      <c r="F17" s="39">
        <v>25</v>
      </c>
      <c r="G17" s="44">
        <v>730</v>
      </c>
      <c r="H17" s="43">
        <f>F17*B2</f>
        <v>12.852482269503545</v>
      </c>
      <c r="I17" s="43">
        <f t="shared" si="1"/>
        <v>1.0710401891252954</v>
      </c>
      <c r="J17" s="43">
        <f>I17*5</f>
        <v>5.3552009456264766</v>
      </c>
      <c r="K17" s="44">
        <v>119.94</v>
      </c>
      <c r="L17" s="43">
        <f>K17/6</f>
        <v>19.989999999999998</v>
      </c>
      <c r="M17" s="43">
        <f>G17+J17+L17</f>
        <v>755.34520094562652</v>
      </c>
      <c r="N17" s="106">
        <v>44414</v>
      </c>
      <c r="O17" s="107" t="s">
        <v>143</v>
      </c>
    </row>
    <row r="18" spans="4:15" ht="15.6" x14ac:dyDescent="0.3">
      <c r="D18" s="107" t="s">
        <v>100</v>
      </c>
      <c r="E18" s="38">
        <v>16</v>
      </c>
      <c r="F18" s="39">
        <v>25</v>
      </c>
      <c r="G18" s="44">
        <v>640</v>
      </c>
      <c r="H18" s="97">
        <f>F18*B2</f>
        <v>12.852482269503545</v>
      </c>
      <c r="I18" s="97">
        <f t="shared" ref="I18:I23" si="2">H18/12</f>
        <v>1.0710401891252954</v>
      </c>
      <c r="J18" s="97">
        <f>I18*7</f>
        <v>7.4972813238770684</v>
      </c>
      <c r="K18" s="44">
        <v>118.87</v>
      </c>
      <c r="L18" s="97">
        <f>K18/6</f>
        <v>19.811666666666667</v>
      </c>
      <c r="M18" s="97">
        <f>G18+J18+L18</f>
        <v>667.30894799054363</v>
      </c>
      <c r="N18" s="106"/>
      <c r="O18" s="107"/>
    </row>
    <row r="19" spans="4:15" ht="15.6" x14ac:dyDescent="0.3">
      <c r="D19" s="107" t="s">
        <v>119</v>
      </c>
      <c r="E19" s="38">
        <v>17</v>
      </c>
      <c r="F19" s="39">
        <v>25</v>
      </c>
      <c r="G19" s="44">
        <v>640</v>
      </c>
      <c r="H19" s="43">
        <f>F19*B2</f>
        <v>12.852482269503545</v>
      </c>
      <c r="I19" s="43">
        <f t="shared" si="2"/>
        <v>1.0710401891252954</v>
      </c>
      <c r="J19" s="97">
        <f>I19*6</f>
        <v>6.4262411347517725</v>
      </c>
      <c r="K19" s="44">
        <v>118.87</v>
      </c>
      <c r="L19" s="97">
        <f>K19/6</f>
        <v>19.811666666666667</v>
      </c>
      <c r="M19" s="97">
        <f>G19+J19+L19</f>
        <v>666.23790780141849</v>
      </c>
      <c r="N19" s="106"/>
      <c r="O19" s="107"/>
    </row>
    <row r="20" spans="4:15" ht="15.75" customHeight="1" x14ac:dyDescent="0.3">
      <c r="D20" s="110" t="s">
        <v>103</v>
      </c>
      <c r="E20" s="38">
        <v>18</v>
      </c>
      <c r="F20" s="39">
        <v>25</v>
      </c>
      <c r="G20" s="44">
        <v>650</v>
      </c>
      <c r="H20" s="43">
        <f>F20*B2</f>
        <v>12.852482269503545</v>
      </c>
      <c r="I20" s="43">
        <f t="shared" si="2"/>
        <v>1.0710401891252954</v>
      </c>
      <c r="J20" s="43">
        <f>I20*7</f>
        <v>7.4972813238770684</v>
      </c>
      <c r="K20" s="44">
        <v>119.02</v>
      </c>
      <c r="L20" s="44">
        <f>K20/6</f>
        <v>19.836666666666666</v>
      </c>
      <c r="M20" s="97">
        <f>G20+J20+L20</f>
        <v>677.33394799054372</v>
      </c>
      <c r="N20" s="106"/>
      <c r="O20" s="107"/>
    </row>
    <row r="21" spans="4:15" ht="15.6" x14ac:dyDescent="0.3">
      <c r="D21" s="107" t="s">
        <v>142</v>
      </c>
      <c r="E21" s="38">
        <v>19</v>
      </c>
      <c r="F21" s="39">
        <v>25</v>
      </c>
      <c r="G21" s="44">
        <v>600</v>
      </c>
      <c r="H21" s="43">
        <f>F21*B2</f>
        <v>12.852482269503545</v>
      </c>
      <c r="I21" s="43">
        <f t="shared" si="2"/>
        <v>1.0710401891252954</v>
      </c>
      <c r="J21" s="43">
        <f>I21*5</f>
        <v>5.3552009456264766</v>
      </c>
      <c r="K21" s="44">
        <v>118.43</v>
      </c>
      <c r="L21" s="43">
        <f>K21/6</f>
        <v>19.738333333333333</v>
      </c>
      <c r="M21" s="97">
        <f>G21+J21+L21</f>
        <v>625.09353427895985</v>
      </c>
      <c r="N21" s="106">
        <v>44432</v>
      </c>
      <c r="O21" s="107"/>
    </row>
    <row r="22" spans="4:15" ht="16.5" customHeight="1" x14ac:dyDescent="0.3">
      <c r="D22" s="107"/>
      <c r="E22" s="38">
        <v>20</v>
      </c>
      <c r="F22" s="39">
        <v>35</v>
      </c>
      <c r="G22" s="39"/>
      <c r="H22" s="43">
        <f>F22*B2</f>
        <v>17.993475177304965</v>
      </c>
      <c r="I22" s="43">
        <f t="shared" si="2"/>
        <v>1.4994562647754137</v>
      </c>
      <c r="J22" s="43"/>
      <c r="K22" s="44"/>
      <c r="L22" s="43"/>
      <c r="M22" s="97"/>
      <c r="N22" s="106"/>
      <c r="O22" s="107"/>
    </row>
    <row r="23" spans="4:15" ht="15.6" x14ac:dyDescent="0.3">
      <c r="D23" s="107"/>
      <c r="E23" s="38">
        <v>21</v>
      </c>
      <c r="F23" s="39">
        <v>25</v>
      </c>
      <c r="G23" s="39"/>
      <c r="H23" s="43">
        <f>F23*B2</f>
        <v>12.852482269503545</v>
      </c>
      <c r="I23" s="43">
        <f t="shared" si="2"/>
        <v>1.0710401891252954</v>
      </c>
      <c r="J23" s="43"/>
      <c r="K23" s="44"/>
      <c r="L23" s="43"/>
      <c r="M23" s="97"/>
      <c r="N23" s="106"/>
      <c r="O23" s="107"/>
    </row>
    <row r="24" spans="4:15" ht="15.6" x14ac:dyDescent="0.3">
      <c r="D24" s="107"/>
      <c r="E24" s="38">
        <v>22</v>
      </c>
      <c r="F24" s="39">
        <v>25</v>
      </c>
      <c r="G24" s="39"/>
      <c r="H24" s="43">
        <f>F24*B2</f>
        <v>12.852482269503545</v>
      </c>
      <c r="I24" s="43">
        <f t="shared" ref="I24:I29" si="3">H24/12</f>
        <v>1.0710401891252954</v>
      </c>
      <c r="J24" s="43"/>
      <c r="K24" s="44"/>
      <c r="L24" s="43"/>
      <c r="M24" s="97"/>
      <c r="N24" s="106"/>
      <c r="O24" s="107"/>
    </row>
    <row r="25" spans="4:15" ht="15.6" x14ac:dyDescent="0.3">
      <c r="D25" s="107"/>
      <c r="E25" s="38">
        <v>23</v>
      </c>
      <c r="F25" s="39">
        <v>25</v>
      </c>
      <c r="G25" s="39"/>
      <c r="H25" s="43">
        <f>F25*B2</f>
        <v>12.852482269503545</v>
      </c>
      <c r="I25" s="43">
        <f t="shared" si="3"/>
        <v>1.0710401891252954</v>
      </c>
      <c r="J25" s="43"/>
      <c r="K25" s="42"/>
      <c r="L25" s="42"/>
      <c r="M25" s="97"/>
      <c r="N25" s="106"/>
      <c r="O25" s="107"/>
    </row>
    <row r="26" spans="4:15" ht="15.6" x14ac:dyDescent="0.3">
      <c r="D26" s="107"/>
      <c r="E26" s="38">
        <v>24</v>
      </c>
      <c r="F26" s="39">
        <v>25</v>
      </c>
      <c r="G26" s="39"/>
      <c r="H26" s="43">
        <f>F26*B2</f>
        <v>12.852482269503545</v>
      </c>
      <c r="I26" s="43">
        <f t="shared" si="3"/>
        <v>1.0710401891252954</v>
      </c>
      <c r="J26" s="43"/>
      <c r="K26" s="42"/>
      <c r="L26" s="42"/>
      <c r="M26" s="97"/>
      <c r="N26" s="106"/>
      <c r="O26" s="107"/>
    </row>
    <row r="27" spans="4:15" ht="15.6" x14ac:dyDescent="0.3">
      <c r="D27" s="110" t="s">
        <v>87</v>
      </c>
      <c r="E27" s="38">
        <v>25</v>
      </c>
      <c r="F27" s="39">
        <v>25</v>
      </c>
      <c r="G27" s="44">
        <v>704</v>
      </c>
      <c r="H27" s="43">
        <f>F27*B2</f>
        <v>12.852482269503545</v>
      </c>
      <c r="I27" s="43">
        <f t="shared" si="3"/>
        <v>1.0710401891252954</v>
      </c>
      <c r="J27" s="43">
        <f>I27*8</f>
        <v>8.5683215130023633</v>
      </c>
      <c r="K27" s="42">
        <v>119.7</v>
      </c>
      <c r="L27" s="42">
        <f>K27/6</f>
        <v>19.95</v>
      </c>
      <c r="M27" s="97">
        <f>G27+J27+L27</f>
        <v>732.51832151300243</v>
      </c>
      <c r="N27" s="106">
        <v>44345</v>
      </c>
      <c r="O27" s="107"/>
    </row>
    <row r="28" spans="4:15" ht="15.6" x14ac:dyDescent="0.3">
      <c r="D28" s="107"/>
      <c r="E28" s="38">
        <v>26</v>
      </c>
      <c r="F28" s="39">
        <v>25</v>
      </c>
      <c r="G28" s="39"/>
      <c r="H28" s="43">
        <f>F28*B2</f>
        <v>12.852482269503545</v>
      </c>
      <c r="I28" s="43">
        <f t="shared" si="3"/>
        <v>1.0710401891252954</v>
      </c>
      <c r="J28" s="43"/>
      <c r="K28" s="42"/>
      <c r="L28" s="42"/>
      <c r="M28" s="97"/>
      <c r="N28" s="106"/>
      <c r="O28" s="107"/>
    </row>
    <row r="29" spans="4:15" ht="15.6" x14ac:dyDescent="0.3">
      <c r="D29" s="107" t="s">
        <v>86</v>
      </c>
      <c r="E29" s="38">
        <v>27</v>
      </c>
      <c r="F29" s="39">
        <v>25</v>
      </c>
      <c r="G29" s="44">
        <v>650</v>
      </c>
      <c r="H29" s="43">
        <f>F29*B2</f>
        <v>12.852482269503545</v>
      </c>
      <c r="I29" s="43">
        <f t="shared" si="3"/>
        <v>1.0710401891252954</v>
      </c>
      <c r="J29" s="43">
        <f>I29*8</f>
        <v>8.5683215130023633</v>
      </c>
      <c r="K29" s="42">
        <v>119.02</v>
      </c>
      <c r="L29" s="42">
        <f>K29/6</f>
        <v>19.836666666666666</v>
      </c>
      <c r="M29" s="97">
        <f>G29+J29+L29</f>
        <v>678.40498817966909</v>
      </c>
      <c r="N29" s="106">
        <v>44330</v>
      </c>
      <c r="O29" s="107"/>
    </row>
    <row r="30" spans="4:15" ht="15.6" x14ac:dyDescent="0.3">
      <c r="D30" s="103"/>
      <c r="E30" s="36" t="s">
        <v>4</v>
      </c>
      <c r="F30" s="35">
        <f>SUM(F3:F29)</f>
        <v>705</v>
      </c>
      <c r="G30" s="35"/>
      <c r="H30" s="37">
        <f>SUM(H3:H29)</f>
        <v>362.43999999999988</v>
      </c>
      <c r="I30" s="37">
        <f>SUM(I3:I29)</f>
        <v>30.203333333333326</v>
      </c>
      <c r="J30" s="37"/>
      <c r="K30" s="33"/>
      <c r="L30" s="33"/>
      <c r="M30" s="33"/>
      <c r="N30" s="103"/>
      <c r="O30" s="101"/>
    </row>
    <row r="31" spans="4:15" x14ac:dyDescent="0.25">
      <c r="F31" s="93">
        <v>750</v>
      </c>
      <c r="G31" s="93" t="s">
        <v>144</v>
      </c>
      <c r="H31" s="94"/>
    </row>
    <row r="34" spans="4:4" x14ac:dyDescent="0.25">
      <c r="D34" s="93"/>
    </row>
    <row r="35" spans="4:4" x14ac:dyDescent="0.25">
      <c r="D35" s="93"/>
    </row>
    <row r="36" spans="4:4" x14ac:dyDescent="0.25">
      <c r="D36" s="93"/>
    </row>
  </sheetData>
  <mergeCells count="13">
    <mergeCell ref="O1:O2"/>
    <mergeCell ref="D1:D2"/>
    <mergeCell ref="C1:C4"/>
    <mergeCell ref="N1:N2"/>
    <mergeCell ref="I1:I2"/>
    <mergeCell ref="K1:K2"/>
    <mergeCell ref="L1:L2"/>
    <mergeCell ref="M1:M2"/>
    <mergeCell ref="E1:E2"/>
    <mergeCell ref="F1:F2"/>
    <mergeCell ref="H1:H2"/>
    <mergeCell ref="J1:J2"/>
    <mergeCell ref="G1:G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64</vt:i4>
      </vt:variant>
    </vt:vector>
  </HeadingPairs>
  <TitlesOfParts>
    <vt:vector size="64" baseType="lpstr">
      <vt:lpstr>VIGÊNCIA MAIO 2021</vt:lpstr>
      <vt:lpstr>VIGÊNCIA JUNHO 2021</vt:lpstr>
      <vt:lpstr>VIGÊNCIA JULHO 2021</vt:lpstr>
      <vt:lpstr>VIGÊNCIA AGOSTO 2021</vt:lpstr>
      <vt:lpstr>VIGÊNCIA SETEMBRO 2021</vt:lpstr>
      <vt:lpstr>VIGÊNCIA OUTUBRO 2021</vt:lpstr>
      <vt:lpstr>VIGÊNCIA NOVEMBRO 2021</vt:lpstr>
      <vt:lpstr>VIGÊNCIA DEZEMBRO 2021</vt:lpstr>
      <vt:lpstr>VIGÊNCIA JANEIRO 2022</vt:lpstr>
      <vt:lpstr>VIGÊNCIA FEVEREIRO 2022</vt:lpstr>
      <vt:lpstr>VIGÊNCIA MARÇO 2022</vt:lpstr>
      <vt:lpstr>VIGÊNCIA ABRIL 2022</vt:lpstr>
      <vt:lpstr>VIGÊNCIA MAIO 2022</vt:lpstr>
      <vt:lpstr>VIGÊNCIA JUNHO 2022</vt:lpstr>
      <vt:lpstr>VIGÊNCIA JULHO 2022</vt:lpstr>
      <vt:lpstr>VIGÊNCIA AGOSTO 2022</vt:lpstr>
      <vt:lpstr>VIGÊNCIA SETEMBRO 2022</vt:lpstr>
      <vt:lpstr>VIGÊNCIA OUTUBRO 2022</vt:lpstr>
      <vt:lpstr>VIGÊNCIA NOVEMBRO 2022</vt:lpstr>
      <vt:lpstr>VIGÊNCIA DEZEMBRO 2022</vt:lpstr>
      <vt:lpstr>VIGÊNCIA JANEIRO 2023</vt:lpstr>
      <vt:lpstr>VIGÊNCIA FEVEREIRO 2023</vt:lpstr>
      <vt:lpstr>VIGÊNCIA MARÇO 2023</vt:lpstr>
      <vt:lpstr>VIGÊNCIA ABRIL 2023</vt:lpstr>
      <vt:lpstr>VIGÊNCIA MAIO 2023</vt:lpstr>
      <vt:lpstr>VIGÊNCIA JUNHO 2023</vt:lpstr>
      <vt:lpstr>VIGÊNCIA JULHO 2023</vt:lpstr>
      <vt:lpstr>VIGÊNCIA AGOSTO 2023</vt:lpstr>
      <vt:lpstr>VIGÊNCIA SETEMBRO 2023</vt:lpstr>
      <vt:lpstr>VIGÊNCIA OUTUBRO 2023</vt:lpstr>
      <vt:lpstr>VIGÊNCIA NOVEMBRO 2023</vt:lpstr>
      <vt:lpstr>VIGÊNCIA DEZEMBRO 2023</vt:lpstr>
      <vt:lpstr>VIGÊNCIA JANEIRO 2024</vt:lpstr>
      <vt:lpstr>VIGÊNCIA FEVEREIRO 2024</vt:lpstr>
      <vt:lpstr>VIGÊNCIA MARÇO 2024</vt:lpstr>
      <vt:lpstr>VIGÊNCIA ABRIL 2024</vt:lpstr>
      <vt:lpstr>VIGÊNCIA MAIO 2024</vt:lpstr>
      <vt:lpstr>VIGÊNCIA JUNHO 2024</vt:lpstr>
      <vt:lpstr>VIGÊNCIA JULHO 2024</vt:lpstr>
      <vt:lpstr>VIGÊNCIA AGOSTO 2024</vt:lpstr>
      <vt:lpstr>VIGÊNCIA SETEMBRO 2024</vt:lpstr>
      <vt:lpstr>VIGÊNCIA OUTUBRO 2024</vt:lpstr>
      <vt:lpstr>VIGÊNCIA NOVEMBRO 2024</vt:lpstr>
      <vt:lpstr>VIGÊNCIA DEZEMBRO 2024</vt:lpstr>
      <vt:lpstr>JANEIRO 2025</vt:lpstr>
      <vt:lpstr>FEVEREIRO 2025</vt:lpstr>
      <vt:lpstr>MARÇO 2025</vt:lpstr>
      <vt:lpstr>ABRIL 2025</vt:lpstr>
      <vt:lpstr>MAIO 2025</vt:lpstr>
      <vt:lpstr>JUNHO 2025</vt:lpstr>
      <vt:lpstr>JULHO 2025</vt:lpstr>
      <vt:lpstr>AGOSTO 2025</vt:lpstr>
      <vt:lpstr>SETEMBRO 2025</vt:lpstr>
      <vt:lpstr>OUTUBRO 2025</vt:lpstr>
      <vt:lpstr>NOVEMBRO 2025</vt:lpstr>
      <vt:lpstr>DEZEMBRO 2025</vt:lpstr>
      <vt:lpstr>JAN 26</vt:lpstr>
      <vt:lpstr>FEV 26</vt:lpstr>
      <vt:lpstr>MAR 26</vt:lpstr>
      <vt:lpstr>GERAL 2025</vt:lpstr>
      <vt:lpstr>GERAL 2024</vt:lpstr>
      <vt:lpstr>GERAL 2023</vt:lpstr>
      <vt:lpstr>GERAL 2022</vt:lpstr>
      <vt:lpstr>GERAL 2021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Sheyla</dc:creator>
  <cp:lastModifiedBy>Anelise Feitosa</cp:lastModifiedBy>
  <cp:revision/>
  <cp:lastPrinted>2024-10-15T13:41:07Z</cp:lastPrinted>
  <dcterms:created xsi:type="dcterms:W3CDTF">2014-03-20T11:01:00Z</dcterms:created>
  <dcterms:modified xsi:type="dcterms:W3CDTF">2026-04-16T12:28:10Z</dcterms:modified>
</cp:coreProperties>
</file>